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C388894E-FAC7-4C7B-AC33-D4CDAAEB5F89}"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1" r:id="rId3"/>
    <sheet name="Spellcasting"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Spellcasting!#REF!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Skills!$A$1:$K$35</definedName>
    <definedName name="_xlnm.Print_Area" localSheetId="3">Spellcasting!#REF!</definedName>
    <definedName name="_xlnm.Print_Area" localSheetId="2">Spells!$A$1:$I$4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E13" i="4"/>
  <c r="B13" i="4"/>
  <c r="G19" i="6" l="1"/>
  <c r="M19" i="6"/>
  <c r="I9" i="6"/>
  <c r="I10" i="6"/>
  <c r="H44" i="15"/>
  <c r="H48" i="15"/>
  <c r="H46" i="15"/>
  <c r="H45" i="15"/>
  <c r="H43" i="15"/>
  <c r="H42" i="15"/>
  <c r="H41" i="15"/>
  <c r="H40" i="15"/>
  <c r="H39" i="15"/>
  <c r="H38" i="15"/>
  <c r="B50" i="15"/>
  <c r="H22" i="15"/>
  <c r="E58" i="15"/>
  <c r="B6" i="4"/>
  <c r="I5" i="6" l="1"/>
  <c r="I6" i="6" l="1"/>
  <c r="K5" i="22" l="1"/>
  <c r="A6" i="22" s="1"/>
  <c r="I5" i="22" l="1"/>
  <c r="L8" i="22"/>
  <c r="J8" i="22"/>
  <c r="H8" i="22" l="1"/>
  <c r="I11" i="6" l="1"/>
  <c r="J5" i="22" l="1"/>
  <c r="A5" i="22" s="1"/>
  <c r="I3" i="6" l="1"/>
  <c r="A4" i="22" l="1"/>
  <c r="H5" i="22"/>
  <c r="A3" i="22" s="1"/>
  <c r="H47" i="15" l="1"/>
  <c r="H37" i="15"/>
  <c r="H36" i="15"/>
  <c r="H35" i="15"/>
  <c r="H34" i="15"/>
  <c r="H33" i="15"/>
  <c r="H32" i="15"/>
  <c r="H31" i="15"/>
  <c r="H30" i="15"/>
  <c r="H29" i="15"/>
  <c r="H28" i="15"/>
  <c r="H27" i="15"/>
  <c r="H26" i="15"/>
  <c r="H25" i="15"/>
  <c r="H24" i="15"/>
  <c r="H23" i="15"/>
  <c r="H21" i="15"/>
  <c r="H20" i="15"/>
  <c r="H19" i="15"/>
  <c r="H18" i="15"/>
  <c r="H17" i="15"/>
  <c r="H16" i="15"/>
  <c r="H15" i="15"/>
  <c r="H14" i="15"/>
  <c r="H13" i="15"/>
  <c r="H12" i="15"/>
  <c r="H11" i="15"/>
  <c r="H10" i="15"/>
  <c r="H9" i="15"/>
  <c r="H8" i="15"/>
  <c r="H7" i="15"/>
  <c r="H6" i="15"/>
  <c r="H11" i="6" l="1"/>
  <c r="J11" i="6" s="1"/>
  <c r="G18" i="19"/>
  <c r="M27" i="6" l="1"/>
  <c r="H4" i="15" l="1"/>
  <c r="H3" i="15"/>
  <c r="G19" i="19" l="1"/>
  <c r="H5" i="15"/>
  <c r="E9" i="4" l="1"/>
  <c r="C8" i="4" l="1"/>
  <c r="E6" i="4" l="1"/>
  <c r="H5" i="6"/>
  <c r="J5" i="6" s="1"/>
  <c r="H3" i="6"/>
  <c r="J3" i="6" s="1"/>
  <c r="H6" i="6"/>
  <c r="J6" i="6" s="1"/>
  <c r="D9" i="15"/>
  <c r="C6" i="6"/>
  <c r="E9" i="15" l="1"/>
  <c r="G9" i="15"/>
  <c r="I9" i="15" s="1"/>
  <c r="C10" i="4"/>
  <c r="E10" i="4" l="1"/>
  <c r="B7" i="4"/>
  <c r="D3" i="15"/>
  <c r="D10" i="15"/>
  <c r="C9" i="4"/>
  <c r="C11" i="4"/>
  <c r="C12" i="4"/>
  <c r="D5" i="15" s="1"/>
  <c r="C13" i="4"/>
  <c r="E54" i="15" l="1"/>
  <c r="E53" i="15"/>
  <c r="E51" i="15"/>
  <c r="E57" i="15"/>
  <c r="E56" i="15"/>
  <c r="E52" i="15"/>
  <c r="E55" i="15"/>
  <c r="E11" i="4"/>
  <c r="H9" i="6"/>
  <c r="J9" i="6" s="1"/>
  <c r="H10" i="6"/>
  <c r="J10" i="6" s="1"/>
  <c r="D5" i="22"/>
  <c r="D6" i="22"/>
  <c r="D3" i="22"/>
  <c r="D4" i="22"/>
  <c r="D8" i="15"/>
  <c r="D15" i="15"/>
  <c r="D13" i="15"/>
  <c r="G3" i="15"/>
  <c r="I3" i="15" s="1"/>
  <c r="E3" i="15"/>
  <c r="E10" i="15"/>
  <c r="G10" i="15"/>
  <c r="I10" i="15" s="1"/>
  <c r="D4" i="15"/>
  <c r="D7" i="15"/>
  <c r="E5" i="15"/>
  <c r="G5" i="15"/>
  <c r="I5" i="15" s="1"/>
  <c r="D14" i="15"/>
  <c r="D6" i="15"/>
  <c r="D11" i="15"/>
  <c r="D12" i="15"/>
  <c r="D29" i="15"/>
  <c r="D30" i="15"/>
  <c r="D25" i="15"/>
  <c r="D27" i="15"/>
  <c r="D32" i="15"/>
  <c r="D26" i="15"/>
  <c r="D31" i="15"/>
  <c r="H49" i="15"/>
  <c r="E50" i="15" l="1"/>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43" i="15"/>
  <c r="D19" i="15"/>
  <c r="D24" i="15"/>
  <c r="D45" i="15"/>
  <c r="D42" i="15"/>
  <c r="D47" i="15"/>
  <c r="D44" i="15"/>
  <c r="D46" i="15"/>
  <c r="D39" i="15"/>
  <c r="D48" i="15"/>
  <c r="D35" i="15"/>
  <c r="D41" i="15"/>
  <c r="D49"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4"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 xml:space="preserve">BAB 4 +1 Small
</t>
        </r>
        <r>
          <rPr>
            <i/>
            <sz val="12"/>
            <color indexed="81"/>
            <rFont val="Times New Roman"/>
            <family val="1"/>
          </rPr>
          <t>haste +1        bless +1
shaken -2</t>
        </r>
      </text>
    </comment>
    <comment ref="E8" authorId="0" shapeId="0" xr:uid="{00000000-0006-0000-0000-000003000000}">
      <text>
        <r>
          <rPr>
            <sz val="12"/>
            <color indexed="81"/>
            <rFont val="Times New Roman"/>
            <family val="1"/>
          </rPr>
          <t>See PHB 162</t>
        </r>
      </text>
    </comment>
    <comment ref="E9" authorId="0" shapeId="0" xr:uid="{00000000-0006-0000-0000-000004000000}">
      <text>
        <r>
          <rPr>
            <sz val="12"/>
            <color indexed="81"/>
            <rFont val="Times New Roman"/>
            <family val="1"/>
          </rPr>
          <t>Haversack weighs 5 lbs.; included in the formula</t>
        </r>
      </text>
    </comment>
    <comment ref="E10" authorId="0" shapeId="0" xr:uid="{00000000-0006-0000-0000-000005000000}">
      <text>
        <r>
          <rPr>
            <sz val="12"/>
            <color indexed="81"/>
            <rFont val="Times New Roman"/>
            <family val="1"/>
          </rPr>
          <t>[(7 * 4 Warmage) * 75%] + (7 * 1 Con)</t>
        </r>
      </text>
    </comment>
    <comment ref="E11" authorId="0" shapeId="0" xr:uid="{00000000-0006-0000-0000-000006000000}">
      <text>
        <r>
          <rPr>
            <i/>
            <sz val="12"/>
            <color indexed="81"/>
            <rFont val="Times New Roman"/>
            <family val="1"/>
          </rPr>
          <t>+6 gm armor
+4 shield
+1 haste</t>
        </r>
      </text>
    </comment>
    <comment ref="B13" authorId="0" shapeId="0" xr:uid="{00000000-0006-0000-0000-000007000000}">
      <text>
        <r>
          <rPr>
            <sz val="12"/>
            <color indexed="81"/>
            <rFont val="Times New Roman"/>
            <family val="1"/>
          </rPr>
          <t>Cloak of Charisma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+1</t>
        </r>
      </text>
    </comment>
    <comment ref="F4" authorId="0" shapeId="0" xr:uid="{00000000-0006-0000-0100-000002000000}">
      <text>
        <r>
          <rPr>
            <sz val="12"/>
            <color indexed="81"/>
            <rFont val="Times New Roman"/>
            <family val="1"/>
          </rPr>
          <t>Vest of Resistance +1</t>
        </r>
      </text>
    </comment>
    <comment ref="F5" authorId="0" shapeId="0" xr:uid="{00000000-0006-0000-0100-000003000000}">
      <text>
        <r>
          <rPr>
            <sz val="12"/>
            <color indexed="81"/>
            <rFont val="Times New Roman"/>
            <family val="1"/>
          </rPr>
          <t>Vest of Resistance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Phosphorescent moss</t>
        </r>
      </text>
    </comment>
    <comment ref="D7" authorId="0" shapeId="0" xr:uid="{00000000-0006-0000-0200-000002000000}">
      <text>
        <r>
          <rPr>
            <sz val="12"/>
            <color indexed="81"/>
            <rFont val="Times New Roman"/>
            <family val="1"/>
          </rPr>
          <t>Ink and weapon of choice</t>
        </r>
      </text>
    </comment>
    <comment ref="D10" authorId="0" shapeId="0" xr:uid="{00000000-0006-0000-0200-000003000000}">
      <text>
        <r>
          <rPr>
            <sz val="12"/>
            <color indexed="81"/>
            <rFont val="Times New Roman"/>
            <family val="1"/>
          </rPr>
          <t>pebble incribed with a sytlized fist</t>
        </r>
      </text>
    </comment>
    <comment ref="D11" authorId="0" shapeId="0" xr:uid="{00000000-0006-0000-0200-000004000000}">
      <text>
        <r>
          <rPr>
            <sz val="12"/>
            <color indexed="81"/>
            <rFont val="Times New Roman"/>
            <family val="1"/>
          </rPr>
          <t>5 GP worth of jade</t>
        </r>
      </text>
    </comment>
    <comment ref="D22" authorId="0" shapeId="0" xr:uid="{00000000-0006-0000-0200-000005000000}">
      <text>
        <r>
          <rPr>
            <sz val="12"/>
            <color indexed="81"/>
            <rFont val="Times New Roman"/>
            <family val="1"/>
          </rPr>
          <t>Phosphorous, sulfur, or other combustible powder</t>
        </r>
      </text>
    </comment>
    <comment ref="D23" authorId="0" shapeId="0" xr:uid="{00000000-0006-0000-0200-000006000000}">
      <text>
        <r>
          <rPr>
            <sz val="12"/>
            <color indexed="81"/>
            <rFont val="Times New Roman"/>
            <family val="1"/>
          </rPr>
          <t>½ lb. gold dust
(25-GP value)</t>
        </r>
      </text>
    </comment>
    <comment ref="D24" authorId="0" shapeId="0" xr:uid="{00000000-0006-0000-0200-000007000000}">
      <text>
        <r>
          <rPr>
            <sz val="12"/>
            <color indexed="81"/>
            <rFont val="Times New Roman"/>
            <family val="1"/>
          </rPr>
          <t>bit of sulfur</t>
        </r>
      </text>
    </comment>
    <comment ref="D25" authorId="0" shapeId="0" xr:uid="{00000000-0006-0000-0200-000008000000}">
      <text>
        <r>
          <rPr>
            <sz val="12"/>
            <color indexed="81"/>
            <rFont val="Times New Roman"/>
            <family val="1"/>
          </rPr>
          <t>drop of water or piece of ice</t>
        </r>
      </text>
    </comment>
    <comment ref="D26" authorId="0" shapeId="0" xr:uid="{00000000-0006-0000-0200-000009000000}">
      <text>
        <r>
          <rPr>
            <sz val="12"/>
            <color indexed="81"/>
            <rFont val="Times New Roman"/>
            <family val="1"/>
          </rPr>
          <t>Powdered rhubarb leaf and adder's stomach</t>
        </r>
      </text>
    </comment>
    <comment ref="D27" authorId="0" shapeId="0" xr:uid="{00000000-0006-0000-0200-00000A000000}">
      <text>
        <r>
          <rPr>
            <sz val="12"/>
            <color indexed="81"/>
            <rFont val="Times New Roman"/>
            <family val="1"/>
          </rPr>
          <t>Fire source</t>
        </r>
      </text>
    </comment>
    <comment ref="D29" authorId="0" shapeId="0" xr:uid="{00000000-0006-0000-0200-00000B000000}">
      <text/>
    </comment>
    <comment ref="D31" authorId="0" shapeId="0" xr:uid="{00000000-0006-0000-0200-00000C000000}">
      <text>
        <r>
          <rPr>
            <sz val="12"/>
            <color indexed="81"/>
            <rFont val="Times New Roman"/>
            <family val="1"/>
          </rPr>
          <t>phosphorous (warm) or glowworm (chill)</t>
        </r>
      </text>
    </comment>
    <comment ref="D32" authorId="0" shapeId="0" xr:uid="{00000000-0006-0000-0200-00000D000000}">
      <text>
        <r>
          <rPr>
            <sz val="12"/>
            <color indexed="81"/>
            <rFont val="Times New Roman"/>
            <family val="1"/>
          </rPr>
          <t>Bat guano &amp; sulfur</t>
        </r>
      </text>
    </comment>
    <comment ref="D33" authorId="0" shapeId="0" xr:uid="{00000000-0006-0000-0200-00000E000000}">
      <text>
        <r>
          <rPr>
            <sz val="12"/>
            <color indexed="81"/>
            <rFont val="Times New Roman"/>
            <family val="1"/>
          </rPr>
          <t>Bat guano &amp; sulfur</t>
        </r>
      </text>
    </comment>
    <comment ref="D35" authorId="0" shapeId="0" xr:uid="{00000000-0006-0000-0200-00000F000000}">
      <text>
        <r>
          <rPr>
            <sz val="12"/>
            <color indexed="81"/>
            <rFont val="Times New Roman"/>
            <family val="1"/>
          </rPr>
          <t>pinch of dust &amp; a few drops of water</t>
        </r>
      </text>
    </comment>
    <comment ref="D36" authorId="0" shapeId="0" xr:uid="{00000000-0006-0000-0200-000010000000}">
      <text>
        <r>
          <rPr>
            <sz val="12"/>
            <color indexed="81"/>
            <rFont val="Times New Roman"/>
            <family val="1"/>
          </rPr>
          <t>Fur AND rod of amber or crystal</t>
        </r>
      </text>
    </comment>
    <comment ref="D37" authorId="0" shapeId="0" xr:uid="{00000000-0006-0000-0200-000011000000}">
      <text>
        <r>
          <rPr>
            <sz val="12"/>
            <color indexed="81"/>
            <rFont val="Times New Roman"/>
            <family val="1"/>
          </rPr>
          <t>small dagger</t>
        </r>
      </text>
    </comment>
    <comment ref="D38" authorId="0" shapeId="0" xr:uid="{00000000-0006-0000-0200-000012000000}">
      <text>
        <r>
          <rPr>
            <sz val="12"/>
            <color indexed="81"/>
            <rFont val="Times New Roman"/>
            <family val="1"/>
          </rPr>
          <t>pinch of dust &amp; few drops of water</t>
        </r>
      </text>
    </comment>
    <comment ref="D39" authorId="0" shapeId="0" xr:uid="{00000000-0006-0000-0200-000013000000}">
      <text>
        <r>
          <rPr>
            <sz val="12"/>
            <color indexed="81"/>
            <rFont val="Times New Roman"/>
            <family val="1"/>
          </rPr>
          <t>rotten egg or skunk cabbage leaves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14ABA30-9160-4E0C-99E3-0C6A4DA3A608}">
      <text>
        <r>
          <rPr>
            <sz val="12"/>
            <color indexed="81"/>
            <rFont val="Times New Roman"/>
            <family val="1"/>
          </rPr>
          <t xml:space="preserve">You can cast spells without material components.
</t>
        </r>
        <r>
          <rPr>
            <b/>
            <sz val="12"/>
            <color indexed="81"/>
            <rFont val="Times New Roman"/>
            <family val="1"/>
          </rPr>
          <t xml:space="preserve">Prerequisite:  </t>
        </r>
        <r>
          <rPr>
            <sz val="12"/>
            <color indexed="81"/>
            <rFont val="Times New Roman"/>
            <family val="1"/>
          </rPr>
          <t xml:space="preserve">Any other metamagic feat.
</t>
        </r>
        <r>
          <rPr>
            <b/>
            <sz val="12"/>
            <color indexed="81"/>
            <rFont val="Times New Roman"/>
            <family val="1"/>
          </rPr>
          <t xml:space="preserve">Benefit:  </t>
        </r>
        <r>
          <rPr>
            <sz val="12"/>
            <color indexed="81"/>
            <rFont val="Times New Roman"/>
            <family val="1"/>
          </rPr>
          <t>A spell cast with Eschew Materials can be cast with no material components.  Spells without material compoentns are not affected.  Spells with material components with a gp cost of more than 1 gp are not affected.  An eschewed spell uses up a spell slot of the spell's normal level.
FR ~ Faiths and Pantheons 214</t>
        </r>
      </text>
    </comment>
    <comment ref="A3" authorId="0" shapeId="0" xr:uid="{00000000-0006-0000-0400-000001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shapeId="0" xr:uid="{BB140A83-70E6-46FE-8AA7-3D238CBF1F4A}">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49390FAA-A171-44BA-BE6C-CFAFB8636306}">
      <text>
        <r>
          <rPr>
            <sz val="12"/>
            <color indexed="81"/>
            <rFont val="Times New Roman"/>
            <family val="1"/>
          </rPr>
          <t xml:space="preserve">Your ability to deal spell damage is particularly striking.
</t>
        </r>
        <r>
          <rPr>
            <b/>
            <sz val="12"/>
            <color indexed="81"/>
            <rFont val="Times New Roman"/>
            <family val="1"/>
          </rPr>
          <t xml:space="preserve">Prerequisite:  </t>
        </r>
        <r>
          <rPr>
            <sz val="12"/>
            <color indexed="81"/>
            <rFont val="Times New Roman"/>
            <family val="1"/>
          </rPr>
          <t xml:space="preserve">Warmage level 4th.
</t>
        </r>
        <r>
          <rPr>
            <b/>
            <sz val="12"/>
            <color indexed="81"/>
            <rFont val="Times New Roman"/>
            <family val="1"/>
          </rPr>
          <t xml:space="preserve">Benefit:  </t>
        </r>
        <r>
          <rPr>
            <sz val="12"/>
            <color indexed="81"/>
            <rFont val="Times New Roman"/>
            <family val="1"/>
          </rPr>
          <t xml:space="preserve">You gain a +1 bonus on your warmage edge, plus an additional +1 bonus per four warmage levels. For instance, an 8th-level warmage with 18 Intelligence gets a +7 bonus on the damage dealt by any spell that deals hit point damage.
</t>
        </r>
        <r>
          <rPr>
            <b/>
            <sz val="12"/>
            <color indexed="81"/>
            <rFont val="Times New Roman"/>
            <family val="1"/>
          </rPr>
          <t xml:space="preserve">Normal:  </t>
        </r>
        <r>
          <rPr>
            <sz val="12"/>
            <color indexed="81"/>
            <rFont val="Times New Roman"/>
            <family val="1"/>
          </rPr>
          <t>A character’s warmage edge is equal to his Intelligence modifier.
Complete Arcane 79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0" authorId="0" shapeId="0" xr:uid="{00000000-0006-0000-0600-000001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Amulet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Faint; (DC 25) divination
</t>
        </r>
        <r>
          <rPr>
            <b/>
            <sz val="12"/>
            <color indexed="81"/>
            <rFont val="Times New Roman"/>
            <family val="1"/>
          </rPr>
          <t xml:space="preserve">Activation:  </t>
        </r>
        <r>
          <rPr>
            <sz val="12"/>
            <color indexed="81"/>
            <rFont val="Times New Roman"/>
            <family val="1"/>
          </rPr>
          <t xml:space="preserve">3/day, as cleric CL 10
</t>
        </r>
        <r>
          <rPr>
            <b/>
            <sz val="12"/>
            <color indexed="81"/>
            <rFont val="Times New Roman"/>
            <family val="1"/>
          </rPr>
          <t xml:space="preserve">Weight:  </t>
        </r>
        <r>
          <rPr>
            <sz val="12"/>
            <color indexed="81"/>
            <rFont val="Times New Roman"/>
            <family val="1"/>
          </rPr>
          <t xml:space="preserve">0 lbs.
This periapt allows the wearer to cast </t>
        </r>
        <r>
          <rPr>
            <i/>
            <sz val="12"/>
            <color indexed="81"/>
            <rFont val="Times New Roman"/>
            <family val="1"/>
          </rPr>
          <t>true seeing</t>
        </r>
        <r>
          <rPr>
            <sz val="12"/>
            <color indexed="81"/>
            <rFont val="Times New Roman"/>
            <family val="1"/>
          </rPr>
          <t xml:space="preserve"> as if they were a CL 10 cleric.  The item must be worn for 24 hours before its properties can be accessed.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true seeing</t>
        </r>
        <r>
          <rPr>
            <sz val="12"/>
            <color indexed="81"/>
            <rFont val="Times New Roman"/>
            <family val="1"/>
          </rPr>
          <t>.
In-house item</t>
        </r>
      </text>
    </comment>
  </commentList>
</comments>
</file>

<file path=xl/sharedStrings.xml><?xml version="1.0" encoding="utf-8"?>
<sst xmlns="http://schemas.openxmlformats.org/spreadsheetml/2006/main" count="645" uniqueCount="308">
  <si>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</si>
  <si>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</si>
  <si>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</si>
  <si>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</si>
  <si>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</si>
  <si>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</si>
  <si>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</si>
  <si>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</si>
  <si>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</si>
  <si>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</si>
  <si>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</si>
  <si>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</si>
  <si>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</si>
  <si>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</si>
  <si>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</si>
  <si>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</si>
  <si>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</si>
  <si>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</si>
  <si>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</si>
  <si>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</si>
  <si>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</si>
  <si>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</si>
  <si>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</si>
  <si>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</si>
  <si>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</si>
  <si>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</si>
  <si>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</si>
  <si>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</si>
  <si>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</si>
  <si>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</si>
  <si>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</si>
  <si>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</si>
  <si>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</si>
  <si>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</si>
  <si>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</si>
  <si>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</si>
  <si>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</si>
  <si>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</si>
  <si>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</si>
  <si>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</si>
  <si>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</si>
  <si>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</si>
  <si>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</si>
  <si>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</si>
  <si>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</si>
  <si>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</si>
  <si>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</si>
  <si>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</si>
  <si>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</si>
  <si>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</si>
  <si>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</si>
  <si>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</si>
  <si>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</si>
  <si>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</si>
  <si>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</si>
  <si>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</si>
  <si>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</si>
  <si>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</si>
  <si>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</si>
  <si>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</si>
  <si>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</si>
  <si>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</si>
  <si>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</si>
  <si>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</si>
  <si>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</si>
  <si>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</si>
  <si>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</si>
  <si>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</si>
  <si>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</si>
  <si>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</si>
  <si>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</si>
  <si>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</si>
  <si>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</si>
  <si>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</si>
  <si>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</si>
  <si>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</si>
  <si>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</si>
  <si>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</si>
  <si>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</si>
  <si>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</si>
  <si>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</si>
  <si>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</si>
  <si>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</si>
  <si>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</si>
  <si>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</si>
  <si>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</si>
  <si>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</si>
  <si>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</si>
  <si>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</si>
  <si>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</si>
  <si>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</si>
  <si>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</si>
  <si>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Roll</t>
  </si>
  <si>
    <t>Spell</t>
  </si>
  <si>
    <t>-</t>
  </si>
  <si>
    <t>Level</t>
  </si>
  <si>
    <t>DC</t>
  </si>
  <si>
    <t>Cast?</t>
  </si>
  <si>
    <t>Knowledge:  Religion</t>
  </si>
  <si>
    <t>Knowledge:  Dungeoneering</t>
  </si>
  <si>
    <t>Skill/Save</t>
  </si>
  <si>
    <t>1st</t>
  </si>
  <si>
    <t>2nd</t>
  </si>
  <si>
    <t>3rd</t>
  </si>
  <si>
    <t>4th</t>
  </si>
  <si>
    <t>5th</t>
  </si>
  <si>
    <t>6th</t>
  </si>
  <si>
    <t>7th</t>
  </si>
  <si>
    <t>0th</t>
  </si>
  <si>
    <t>Total Daily Spells</t>
  </si>
  <si>
    <t>Knowledge:  Archit./Engin.</t>
  </si>
  <si>
    <t>Knowledge:  History</t>
  </si>
  <si>
    <t>Scroll Case</t>
  </si>
  <si>
    <t>Initiative:</t>
  </si>
  <si>
    <t>Bludgeon</t>
  </si>
  <si>
    <t>Ranged Touch Spells</t>
  </si>
  <si>
    <t>1d3</t>
  </si>
  <si>
    <t>CLev</t>
  </si>
  <si>
    <t>Knowledge:  Nature</t>
  </si>
  <si>
    <t>Knowledge:  Nobility &amp; Royalty</t>
  </si>
  <si>
    <t>FF AC:</t>
  </si>
  <si>
    <t>Male</t>
  </si>
  <si>
    <t>30’</t>
  </si>
  <si>
    <t>Acid Splash</t>
  </si>
  <si>
    <t>Light</t>
  </si>
  <si>
    <t>Traveller’s Outfit</t>
  </si>
  <si>
    <t>School</t>
  </si>
  <si>
    <t xml:space="preserve">Components </t>
  </si>
  <si>
    <t>Casting</t>
  </si>
  <si>
    <t>Range</t>
  </si>
  <si>
    <t>Duration</t>
  </si>
  <si>
    <t>Conjuration</t>
  </si>
  <si>
    <t>V S</t>
  </si>
  <si>
    <t>1 SA</t>
  </si>
  <si>
    <t>25’ + 2½’/lvl</t>
  </si>
  <si>
    <t>Instant</t>
  </si>
  <si>
    <t>Evocation</t>
  </si>
  <si>
    <t>Touch</t>
  </si>
  <si>
    <t>100’ + 10’/lvl</t>
  </si>
  <si>
    <t>10 min/lvl</t>
  </si>
  <si>
    <t>Ray of Frost</t>
  </si>
  <si>
    <t>V M/DF</t>
  </si>
  <si>
    <t>Wands, Scrolls and Potions</t>
  </si>
  <si>
    <t>Grapple, Unarmed Strike</t>
  </si>
  <si>
    <t>x2</t>
  </si>
  <si>
    <t>Value</t>
  </si>
  <si>
    <t>PHB</t>
  </si>
  <si>
    <t>Reference</t>
  </si>
  <si>
    <t>Page</t>
  </si>
  <si>
    <t>Caster Class</t>
  </si>
  <si>
    <t>Equity on this page:</t>
  </si>
  <si>
    <t>Total Equity:</t>
  </si>
  <si>
    <t>Fortitude</t>
  </si>
  <si>
    <t>Reflex</t>
  </si>
  <si>
    <t>Warmage</t>
  </si>
  <si>
    <t>Warmage 1</t>
  </si>
  <si>
    <t>Craft:  [type]</t>
  </si>
  <si>
    <t>Perform:    [type]</t>
  </si>
  <si>
    <t>Charisma Bonus</t>
  </si>
  <si>
    <t>Warmage Spells</t>
  </si>
  <si>
    <t>Warmage Spells by Level</t>
  </si>
  <si>
    <t>Base</t>
  </si>
  <si>
    <t>Spell Effects</t>
  </si>
  <si>
    <t>CL</t>
  </si>
  <si>
    <t>CROSS-CLASS SKILL</t>
  </si>
  <si>
    <t>Daily Slots</t>
  </si>
  <si>
    <t>Magic Missile</t>
  </si>
  <si>
    <t>Scorching Ray</t>
  </si>
  <si>
    <t>SF</t>
  </si>
  <si>
    <t>Bypass Spell Resistance</t>
  </si>
  <si>
    <t>Warmage Features</t>
  </si>
  <si>
    <t>Armored Mage (Light)</t>
  </si>
  <si>
    <t xml:space="preserve">Warmage Edge </t>
  </si>
  <si>
    <t>Simple Weapons, Light Armor</t>
  </si>
  <si>
    <t>Height:</t>
  </si>
  <si>
    <t>Weight:</t>
  </si>
  <si>
    <t>Age:</t>
  </si>
  <si>
    <t>Human</t>
  </si>
  <si>
    <t>Common, Elven, Dwarven</t>
  </si>
  <si>
    <t>1st:  Point-blank Shot</t>
  </si>
  <si>
    <t>6th:  Extra Edge</t>
  </si>
  <si>
    <t>Warmage 2</t>
  </si>
  <si>
    <t>Warmage 3</t>
  </si>
  <si>
    <t>Warmage 4</t>
  </si>
  <si>
    <t>Warmage 5</t>
  </si>
  <si>
    <t>Warmage 6</t>
  </si>
  <si>
    <t>Warmage 7</t>
  </si>
  <si>
    <t>Profession:  Soldier</t>
  </si>
  <si>
    <t>Speak Language:  [Type]</t>
  </si>
  <si>
    <t>Sudden Empower</t>
  </si>
  <si>
    <t>Light Shields, (Med. Arm @8)</t>
  </si>
  <si>
    <t>3rd:  Weapon Focus (Ranged Spell)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</si>
  <si>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</si>
  <si>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Disrupt Undead</t>
  </si>
  <si>
    <t>Mithral Breastplate +1</t>
  </si>
  <si>
    <t>20’</t>
  </si>
  <si>
    <t>Lesser Crystal of Screening</t>
  </si>
  <si>
    <t>five</t>
  </si>
  <si>
    <t>+5 to AC vs. incorporeal attacks</t>
  </si>
  <si>
    <t>Buckler +1</t>
  </si>
  <si>
    <t>MW Sickle</t>
  </si>
  <si>
    <t>1</t>
  </si>
  <si>
    <t>Slashing</t>
  </si>
  <si>
    <t>1d6</t>
  </si>
  <si>
    <t>Least Crystal of Life Drinking</t>
  </si>
  <si>
    <t>Heals 1 hp/hit</t>
  </si>
  <si>
    <t>Boots of Desperation</t>
  </si>
  <si>
    <t>swift if at 21 HP or less, +30’ to speed and +5 Dodge for 1rd, usable 3/day</t>
  </si>
  <si>
    <t>Circlet of Mages</t>
  </si>
  <si>
    <t>+2 Concentration, free action to retain L1-3 slot, 5 daily chg, 1chg/L</t>
  </si>
  <si>
    <t>Cloak of Charisma +2</t>
  </si>
  <si>
    <t>Accuracy</t>
  </si>
  <si>
    <t>Burning Hands</t>
  </si>
  <si>
    <t>Chill Touch</t>
  </si>
  <si>
    <t>Fist of Stone</t>
  </si>
  <si>
    <t>Hail of Stone</t>
  </si>
  <si>
    <t>Orb of Acid, Lesser</t>
  </si>
  <si>
    <t>Orb of Cold, Lesser</t>
  </si>
  <si>
    <t>Orb of Electricity, Lesser</t>
  </si>
  <si>
    <t>Orb of Fire, Lesser</t>
  </si>
  <si>
    <t>Orb of Sound, Lesser</t>
  </si>
  <si>
    <t>Shocking Grasp</t>
  </si>
  <si>
    <t>True Strike</t>
  </si>
  <si>
    <t>Blades of Fire</t>
  </si>
  <si>
    <t>Continual Flame</t>
  </si>
  <si>
    <t>Fire Trap</t>
  </si>
  <si>
    <t>Fireburst</t>
  </si>
  <si>
    <t>Ice Knife</t>
  </si>
  <si>
    <t>Melf’s Acid Arrow</t>
  </si>
  <si>
    <t>Pyrotechnics</t>
  </si>
  <si>
    <t>Shatter</t>
  </si>
  <si>
    <t>Whirling Blade</t>
  </si>
  <si>
    <t>Fire Shield</t>
  </si>
  <si>
    <t>Fireball</t>
  </si>
  <si>
    <t>Flame Arrow</t>
  </si>
  <si>
    <t>Gust of Wind</t>
  </si>
  <si>
    <t>Ice Storm</t>
  </si>
  <si>
    <t>Lightning Bolt</t>
  </si>
  <si>
    <t>Ring of Blades</t>
  </si>
  <si>
    <t>Sleet Storm</t>
  </si>
  <si>
    <t>Stinking Cloud</t>
  </si>
  <si>
    <t>Transmutation</t>
  </si>
  <si>
    <t>V S M</t>
  </si>
  <si>
    <t>Complete Arcane</t>
  </si>
  <si>
    <t>15’</t>
  </si>
  <si>
    <t>Necromancy</t>
  </si>
  <si>
    <t>Personal</t>
  </si>
  <si>
    <t>1 minute</t>
  </si>
  <si>
    <t>1 FR</t>
  </si>
  <si>
    <t>Divination</t>
  </si>
  <si>
    <t>V F</t>
  </si>
  <si>
    <t>special</t>
  </si>
  <si>
    <t>V</t>
  </si>
  <si>
    <t>Swift</t>
  </si>
  <si>
    <t>1 round</t>
  </si>
  <si>
    <t>Illusion</t>
  </si>
  <si>
    <t>Permanent</t>
  </si>
  <si>
    <t>Abjuration</t>
  </si>
  <si>
    <t>10 minutes</t>
  </si>
  <si>
    <t>Perm.</t>
  </si>
  <si>
    <t>5’</t>
  </si>
  <si>
    <t>400’ + 40’/lvl</t>
  </si>
  <si>
    <t>Tome &amp; Blood</t>
  </si>
  <si>
    <t>V S M F</t>
  </si>
  <si>
    <t>V S M/DF</t>
  </si>
  <si>
    <t>V S F</t>
  </si>
  <si>
    <t>60’</t>
  </si>
  <si>
    <t>1 rnd/lvl</t>
  </si>
  <si>
    <t>1 full round</t>
  </si>
  <si>
    <t>120’</t>
  </si>
  <si>
    <t>1 min/lvl</t>
  </si>
  <si>
    <t>1d4+1 rounds</t>
  </si>
  <si>
    <t>Greatreach Bracers</t>
  </si>
  <si>
    <t>swift command makes reach 15’ for 1 round; use 3/d</t>
  </si>
  <si>
    <t>imm action; either +2 deflect vs single attack or cast Feather Fall, usable 4/d</t>
  </si>
  <si>
    <t>Ring of Piercing Spells</t>
  </si>
  <si>
    <t>swift action +2d6 damage on MT spell vs flanked target; usable 3/d</t>
  </si>
  <si>
    <t>Vest of Resistance +1</t>
  </si>
  <si>
    <t>1d6+9</t>
  </si>
  <si>
    <t>Fist of Stone Slam</t>
  </si>
  <si>
    <t>Sling</t>
  </si>
  <si>
    <t>1d4</t>
  </si>
  <si>
    <t>Human:  Eschew Materials</t>
  </si>
  <si>
    <t>Advanced Learning:  Wind Wall</t>
  </si>
  <si>
    <t>Advanced Learning:  Floating Disk</t>
  </si>
  <si>
    <t>+3 with FoS</t>
  </si>
  <si>
    <t>Bullets</t>
  </si>
  <si>
    <t>+0</t>
  </si>
  <si>
    <t>Ring of Four Winds</t>
  </si>
  <si>
    <t>* Advanced Learning</t>
  </si>
  <si>
    <t>Spell alters natural attack</t>
  </si>
  <si>
    <t>3</t>
  </si>
  <si>
    <t>Grapple:</t>
  </si>
  <si>
    <t>Gloves of Dexterity +2</t>
  </si>
  <si>
    <t>Peridot Periapt of True Seeing</t>
  </si>
  <si>
    <t>Guiding Light*</t>
  </si>
  <si>
    <t>Spell Compendium</t>
  </si>
  <si>
    <t>Weapon Focus Included</t>
  </si>
  <si>
    <t>Nirzok</t>
  </si>
  <si>
    <t>NPC</t>
  </si>
  <si>
    <t>5’ 8”</t>
  </si>
  <si>
    <t>142 lbs.</t>
  </si>
  <si>
    <t>Speed:</t>
  </si>
  <si>
    <t>AC:</t>
  </si>
  <si>
    <t>Neutral Evil</t>
  </si>
  <si>
    <t>ELSABET</t>
  </si>
  <si>
    <t>SARADETTE</t>
  </si>
  <si>
    <t>BARKLEY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</si>
</sst>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4"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i/>
      <sz val="12"/>
      <color rgb="FFFF0000"/>
      <name val="Times New Roman"/>
      <family val="1"/>
    </font>
    <font>
      <b/>
      <sz val="12"/>
      <color rgb="FFFF0000"/>
      <name val="Times New Roman"/>
      <family val="1"/>
    </font>
    <font>
      <b/>
      <sz val="12"/>
      <color theme="0"/>
      <name val="Times New Roman"/>
      <family val="1"/>
    </font>
    <font>
      <i/>
      <sz val="14"/>
      <color rgb="FFFF0000"/>
      <name val="Times New Roman"/>
      <family val="1"/>
    </font>
    <font>
      <sz val="12"/>
      <color theme="0"/>
      <name val="Times New Roman"/>
      <family val="1"/>
    </font>
    <font>
      <sz val="13"/>
      <color rgb="FFFF0000"/>
      <name val="Times New Roman"/>
      <family val="1"/>
    </font>
    <font>
      <i/>
      <sz val="12"/>
      <name val="Times New Roman"/>
      <family val="1"/>
    </font>
    <font>
      <i/>
      <sz val="13"/>
      <name val="Times New Roman"/>
      <family val="1"/>
    </font>
    <font>
      <b/>
      <sz val="13"/>
      <color rgb="FF00B0F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s>
  <borders count="13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cellStyleXfs>
  <cellXfs count="446">
    <xf numFmtId="0" fontId="0" fillId="0" borderId="0" xfId="0"/>
    <xf numFmtId="0" fontId="12" fillId="3" borderId="73"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44" fillId="10" borderId="35" xfId="0" applyFont="1" applyFill="1" applyBorder="1" applyAlignment="1">
      <alignment horizontal="center" vertical="center" wrapText="1"/>
    </xf>
    <xf numFmtId="0" fontId="12" fillId="3" borderId="74" xfId="0" applyFont="1" applyFill="1" applyBorder="1" applyAlignment="1">
      <alignment horizontal="center" vertical="center"/>
    </xf>
    <xf numFmtId="0" fontId="4" fillId="0" borderId="0" xfId="0" applyFont="1" applyAlignment="1">
      <alignment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wrapText="1"/>
    </xf>
    <xf numFmtId="9" fontId="7" fillId="0" borderId="25" xfId="2" applyFont="1" applyFill="1" applyBorder="1" applyAlignment="1">
      <alignment horizontal="center" vertical="center" shrinkToFit="1"/>
    </xf>
    <xf numFmtId="0" fontId="2" fillId="0" borderId="79" xfId="0" applyFont="1" applyBorder="1" applyAlignment="1">
      <alignment horizontal="center" vertical="center"/>
    </xf>
    <xf numFmtId="0" fontId="2" fillId="0" borderId="79" xfId="0" quotePrefix="1" applyFont="1" applyBorder="1" applyAlignment="1">
      <alignment horizontal="center" vertical="center" wrapText="1"/>
    </xf>
    <xf numFmtId="49" fontId="2" fillId="0" borderId="79" xfId="2" applyNumberFormat="1" applyFont="1" applyFill="1" applyBorder="1" applyAlignment="1">
      <alignment horizontal="center" vertical="center"/>
    </xf>
    <xf numFmtId="0" fontId="2" fillId="0" borderId="79" xfId="0" applyFont="1" applyBorder="1" applyAlignment="1">
      <alignment horizontal="center" vertical="center" shrinkToFit="1"/>
    </xf>
    <xf numFmtId="164" fontId="2" fillId="0" borderId="79" xfId="0" applyNumberFormat="1"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5" fillId="0" borderId="83" xfId="0" quotePrefix="1" applyFont="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Border="1" applyAlignment="1">
      <alignment horizontal="center" vertical="center" shrinkToFit="1"/>
    </xf>
    <xf numFmtId="164" fontId="2" fillId="0" borderId="83" xfId="0" applyNumberFormat="1" applyFont="1" applyBorder="1" applyAlignment="1">
      <alignment horizontal="center" vertical="center"/>
    </xf>
    <xf numFmtId="0" fontId="2" fillId="0" borderId="81" xfId="0" quotePrefix="1" applyFont="1" applyBorder="1" applyAlignment="1">
      <alignment horizontal="center" vertical="center"/>
    </xf>
    <xf numFmtId="1" fontId="5" fillId="0" borderId="84" xfId="0" applyNumberFormat="1" applyFont="1" applyBorder="1" applyAlignment="1">
      <alignment horizontal="center" vertical="center"/>
    </xf>
    <xf numFmtId="0" fontId="2" fillId="0" borderId="101" xfId="0" quotePrefix="1" applyFont="1" applyBorder="1" applyAlignment="1">
      <alignment horizontal="center"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Alignment="1">
      <alignment horizontal="center" vertical="center"/>
    </xf>
    <xf numFmtId="0" fontId="2" fillId="0" borderId="88" xfId="0" applyFont="1" applyBorder="1" applyAlignment="1">
      <alignment horizontal="center" vertical="center" shrinkToFit="1"/>
    </xf>
    <xf numFmtId="0" fontId="2" fillId="0" borderId="92"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3" xfId="0" applyFont="1" applyBorder="1" applyAlignment="1">
      <alignment horizontal="center" vertical="center" shrinkToFit="1"/>
    </xf>
    <xf numFmtId="0" fontId="2" fillId="0" borderId="67"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68"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8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Continuous" vertical="center"/>
    </xf>
    <xf numFmtId="0" fontId="21" fillId="7" borderId="22" xfId="0" applyFont="1" applyFill="1" applyBorder="1" applyAlignment="1">
      <alignment horizontal="centerContinuous" vertical="center"/>
    </xf>
    <xf numFmtId="0" fontId="21" fillId="7" borderId="86"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2" fillId="0" borderId="83" xfId="0" quotePrefix="1" applyFont="1" applyBorder="1" applyAlignment="1">
      <alignment horizontal="center" vertical="center"/>
    </xf>
    <xf numFmtId="9" fontId="5" fillId="0" borderId="83" xfId="0" applyNumberFormat="1" applyFont="1" applyBorder="1" applyAlignment="1">
      <alignment horizontal="center" vertical="center"/>
    </xf>
    <xf numFmtId="164" fontId="2" fillId="0" borderId="87" xfId="0" applyNumberFormat="1" applyFont="1" applyBorder="1" applyAlignment="1">
      <alignment horizontal="centerContinuous" vertical="center"/>
    </xf>
    <xf numFmtId="0" fontId="5" fillId="0" borderId="85" xfId="0" applyFont="1" applyBorder="1" applyAlignment="1">
      <alignment horizontal="centerContinuous" vertical="center"/>
    </xf>
    <xf numFmtId="0" fontId="18" fillId="0" borderId="0" xfId="0" applyFont="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3" xfId="0" applyFont="1" applyBorder="1" applyAlignment="1">
      <alignment horizontal="centerContinuous" vertical="center"/>
    </xf>
    <xf numFmtId="0" fontId="2" fillId="0" borderId="94" xfId="0" applyFont="1" applyBorder="1" applyAlignment="1">
      <alignment horizontal="centerContinuous" vertical="center"/>
    </xf>
    <xf numFmtId="0" fontId="2" fillId="0" borderId="80" xfId="0" applyFont="1" applyBorder="1" applyAlignment="1">
      <alignment horizontal="centerContinuous" vertical="center"/>
    </xf>
    <xf numFmtId="49" fontId="2" fillId="0" borderId="80" xfId="0" applyNumberFormat="1" applyFont="1" applyBorder="1" applyAlignment="1">
      <alignment horizontal="center" vertical="center"/>
    </xf>
    <xf numFmtId="49" fontId="2" fillId="0" borderId="80" xfId="0" applyNumberFormat="1" applyFont="1" applyBorder="1" applyAlignment="1">
      <alignment horizontal="centerContinuous" vertical="center"/>
    </xf>
    <xf numFmtId="49" fontId="2" fillId="0" borderId="95" xfId="0" applyNumberFormat="1" applyFont="1" applyBorder="1" applyAlignment="1">
      <alignment horizontal="centerContinuous" vertical="center"/>
    </xf>
    <xf numFmtId="0" fontId="2" fillId="0" borderId="96" xfId="0" applyFont="1" applyBorder="1" applyAlignment="1">
      <alignment horizontal="centerContinuous" vertical="center"/>
    </xf>
    <xf numFmtId="0" fontId="2" fillId="0" borderId="97" xfId="0" applyFont="1" applyBorder="1" applyAlignment="1">
      <alignment horizontal="centerContinuous" vertical="center"/>
    </xf>
    <xf numFmtId="0" fontId="5" fillId="0" borderId="98" xfId="0" applyFont="1" applyBorder="1" applyAlignment="1">
      <alignment horizontal="centerContinuous" vertical="center"/>
    </xf>
    <xf numFmtId="0" fontId="5" fillId="0" borderId="84" xfId="0" applyFont="1" applyBorder="1" applyAlignment="1">
      <alignment horizontal="centerContinuous" vertical="center"/>
    </xf>
    <xf numFmtId="49" fontId="2" fillId="0" borderId="83" xfId="0" applyNumberFormat="1" applyFont="1" applyBorder="1" applyAlignment="1">
      <alignment horizontal="center" vertical="center"/>
    </xf>
    <xf numFmtId="49" fontId="2" fillId="0" borderId="84" xfId="0" applyNumberFormat="1" applyFont="1" applyBorder="1" applyAlignment="1">
      <alignment horizontal="centerContinuous" vertical="center"/>
    </xf>
    <xf numFmtId="49" fontId="2" fillId="0" borderId="87" xfId="0" applyNumberFormat="1" applyFont="1" applyBorder="1" applyAlignment="1">
      <alignment horizontal="centerContinuous" vertical="center"/>
    </xf>
    <xf numFmtId="0" fontId="21" fillId="7" borderId="90" xfId="0" applyFont="1" applyFill="1" applyBorder="1" applyAlignment="1">
      <alignment horizontal="center" vertical="center"/>
    </xf>
    <xf numFmtId="0" fontId="21" fillId="7" borderId="91" xfId="0" applyFont="1" applyFill="1" applyBorder="1" applyAlignment="1">
      <alignment horizontal="centerContinuous" vertical="center"/>
    </xf>
    <xf numFmtId="0" fontId="7" fillId="0" borderId="0" xfId="0" applyFont="1" applyAlignment="1">
      <alignment horizontal="center" vertical="center" wrapText="1"/>
    </xf>
    <xf numFmtId="0" fontId="46" fillId="0" borderId="31" xfId="0" applyFont="1" applyBorder="1" applyAlignment="1">
      <alignment horizontal="centerContinuous"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2" xfId="0" applyFont="1" applyBorder="1" applyAlignment="1">
      <alignment horizontal="centerContinuous" vertical="center"/>
    </xf>
    <xf numFmtId="0" fontId="7" fillId="0" borderId="46" xfId="0" applyFont="1" applyBorder="1" applyAlignment="1">
      <alignment horizontal="centerContinuous" vertical="center"/>
    </xf>
    <xf numFmtId="0" fontId="7" fillId="0" borderId="25" xfId="0" applyFont="1" applyBorder="1" applyAlignment="1">
      <alignment horizontal="center" vertical="center"/>
    </xf>
    <xf numFmtId="0" fontId="49" fillId="0" borderId="23" xfId="5" applyFont="1" applyBorder="1" applyAlignment="1">
      <alignment horizontal="centerContinuous" vertical="center" wrapText="1"/>
    </xf>
    <xf numFmtId="0" fontId="15" fillId="0" borderId="0" xfId="5" applyFont="1" applyAlignment="1">
      <alignment horizontal="centerContinuous" vertical="center" wrapText="1"/>
    </xf>
    <xf numFmtId="0" fontId="2" fillId="0" borderId="0" xfId="5" applyAlignment="1">
      <alignment vertical="center"/>
    </xf>
    <xf numFmtId="0" fontId="2" fillId="0" borderId="0" xfId="5" applyAlignment="1">
      <alignment vertical="center" wrapText="1"/>
    </xf>
    <xf numFmtId="0" fontId="12" fillId="12" borderId="73"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Alignment="1">
      <alignment vertical="center" wrapText="1"/>
    </xf>
    <xf numFmtId="0" fontId="7" fillId="0" borderId="1" xfId="0" applyFont="1" applyBorder="1" applyAlignment="1">
      <alignment horizontal="center" vertical="center" shrinkToFit="1"/>
    </xf>
    <xf numFmtId="0" fontId="7" fillId="13" borderId="25" xfId="0" applyFont="1" applyFill="1" applyBorder="1" applyAlignment="1">
      <alignment horizontal="center" vertical="center" wrapText="1"/>
    </xf>
    <xf numFmtId="0" fontId="7" fillId="0" borderId="26" xfId="10" applyNumberFormat="1" applyFont="1" applyFill="1" applyBorder="1" applyAlignment="1">
      <alignment horizontal="center" vertical="center" shrinkToFit="1"/>
    </xf>
    <xf numFmtId="0" fontId="7" fillId="0" borderId="54" xfId="0" applyFont="1" applyBorder="1" applyAlignment="1">
      <alignment horizontal="center" vertical="center" shrinkToFit="1"/>
    </xf>
    <xf numFmtId="0" fontId="7" fillId="13" borderId="55" xfId="0" applyFont="1" applyFill="1" applyBorder="1" applyAlignment="1">
      <alignment horizontal="center" vertical="center" wrapText="1"/>
    </xf>
    <xf numFmtId="0" fontId="2" fillId="0" borderId="15" xfId="0" applyFont="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Font="1" applyBorder="1" applyAlignment="1">
      <alignment horizontal="center" vertical="center" wrapText="1"/>
    </xf>
    <xf numFmtId="0" fontId="4" fillId="0" borderId="0" xfId="5" applyFont="1" applyAlignment="1">
      <alignment horizontal="right" vertical="center" wrapText="1"/>
    </xf>
    <xf numFmtId="0" fontId="2" fillId="0" borderId="0" xfId="5" applyAlignment="1">
      <alignment horizontal="left" vertical="center" wrapText="1"/>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45" fillId="10" borderId="26" xfId="0" applyFont="1" applyFill="1" applyBorder="1" applyAlignment="1">
      <alignment horizontal="center" vertical="center"/>
    </xf>
    <xf numFmtId="0" fontId="13" fillId="0" borderId="26" xfId="0" applyFont="1" applyBorder="1" applyAlignment="1">
      <alignment horizontal="center" vertical="center"/>
    </xf>
    <xf numFmtId="0" fontId="42" fillId="0" borderId="54" xfId="0" applyFont="1" applyBorder="1" applyAlignment="1">
      <alignment vertical="center"/>
    </xf>
    <xf numFmtId="0" fontId="6" fillId="0" borderId="55" xfId="0" applyFont="1" applyBorder="1" applyAlignment="1">
      <alignment horizontal="center" vertical="center"/>
    </xf>
    <xf numFmtId="0" fontId="7" fillId="0" borderId="55" xfId="0" applyFont="1" applyBorder="1" applyAlignment="1">
      <alignment horizontal="center" vertical="center"/>
    </xf>
    <xf numFmtId="0" fontId="44" fillId="0" borderId="55" xfId="0" applyFont="1" applyBorder="1" applyAlignment="1">
      <alignment horizontal="center" vertical="center" wrapText="1"/>
    </xf>
    <xf numFmtId="0" fontId="7" fillId="0" borderId="55" xfId="0" applyFont="1" applyBorder="1" applyAlignment="1">
      <alignment horizontal="center" vertical="center" wrapText="1"/>
    </xf>
    <xf numFmtId="1" fontId="7" fillId="0" borderId="55" xfId="0" applyNumberFormat="1" applyFont="1" applyBorder="1" applyAlignment="1">
      <alignment horizontal="center" vertical="center" wrapText="1"/>
    </xf>
    <xf numFmtId="0" fontId="45" fillId="10" borderId="55" xfId="0" applyFont="1" applyFill="1" applyBorder="1" applyAlignment="1">
      <alignment horizontal="center" vertical="center"/>
    </xf>
    <xf numFmtId="49" fontId="7" fillId="0" borderId="55" xfId="0" applyNumberFormat="1" applyFont="1" applyBorder="1" applyAlignment="1">
      <alignment horizontal="center" vertical="center" wrapText="1"/>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19" fillId="0" borderId="0" xfId="0" applyFont="1" applyAlignment="1">
      <alignment vertical="center"/>
    </xf>
    <xf numFmtId="0" fontId="32" fillId="0" borderId="0" xfId="0" applyFont="1" applyAlignment="1">
      <alignment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Font="1" applyFill="1" applyBorder="1" applyAlignment="1">
      <alignment horizontal="center" vertical="center"/>
    </xf>
    <xf numFmtId="0" fontId="10" fillId="6" borderId="26" xfId="0" applyFont="1" applyFill="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11" fillId="0" borderId="26" xfId="0" applyFont="1" applyBorder="1" applyAlignment="1">
      <alignment horizontal="center" vertical="center"/>
    </xf>
    <xf numFmtId="0" fontId="14" fillId="9" borderId="1" xfId="0" applyFont="1" applyFill="1" applyBorder="1" applyAlignment="1">
      <alignment vertical="center"/>
    </xf>
    <xf numFmtId="0" fontId="7" fillId="9" borderId="25" xfId="0"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Font="1" applyFill="1" applyBorder="1" applyAlignment="1">
      <alignment horizontal="center" vertical="center"/>
    </xf>
    <xf numFmtId="0" fontId="14" fillId="9" borderId="26" xfId="0"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22"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8" fillId="0" borderId="26" xfId="0" applyFont="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Font="1" applyFill="1" applyBorder="1" applyAlignment="1">
      <alignment horizontal="center" vertical="center"/>
    </xf>
    <xf numFmtId="0" fontId="11" fillId="9" borderId="26" xfId="0" applyFont="1" applyFill="1" applyBorder="1" applyAlignment="1">
      <alignment horizontal="center" vertical="center"/>
    </xf>
    <xf numFmtId="0" fontId="7" fillId="6"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13" fillId="0" borderId="8" xfId="0" applyFont="1" applyBorder="1" applyAlignment="1">
      <alignment vertical="center"/>
    </xf>
    <xf numFmtId="0" fontId="7" fillId="0" borderId="44" xfId="0" applyFont="1" applyBorder="1" applyAlignment="1">
      <alignment horizontal="center" vertical="center"/>
    </xf>
    <xf numFmtId="49" fontId="24" fillId="0" borderId="44" xfId="0" applyNumberFormat="1" applyFont="1" applyBorder="1" applyAlignment="1">
      <alignment horizontal="center" vertical="center"/>
    </xf>
    <xf numFmtId="0" fontId="24" fillId="0" borderId="45" xfId="0" applyFont="1" applyBorder="1" applyAlignment="1">
      <alignment horizontal="center" vertical="center"/>
    </xf>
    <xf numFmtId="0" fontId="13" fillId="0" borderId="45" xfId="0" applyFont="1" applyBorder="1" applyAlignment="1">
      <alignment horizontal="center" vertical="center"/>
    </xf>
    <xf numFmtId="49" fontId="7" fillId="0" borderId="45" xfId="0" applyNumberFormat="1" applyFont="1" applyBorder="1" applyAlignment="1">
      <alignment horizontal="center" vertical="center"/>
    </xf>
    <xf numFmtId="0" fontId="45" fillId="10" borderId="44" xfId="0" applyFont="1" applyFill="1" applyBorder="1" applyAlignment="1">
      <alignment horizontal="center" vertical="center"/>
    </xf>
    <xf numFmtId="0" fontId="7" fillId="0" borderId="3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3" fillId="2" borderId="61" xfId="0" applyFont="1" applyFill="1" applyBorder="1" applyAlignment="1">
      <alignment horizontal="right" vertical="center"/>
    </xf>
    <xf numFmtId="0" fontId="43" fillId="2" borderId="62" xfId="0" applyFont="1" applyFill="1" applyBorder="1" applyAlignment="1">
      <alignment horizontal="left" vertical="center"/>
    </xf>
    <xf numFmtId="0" fontId="20" fillId="2" borderId="62" xfId="0" applyFont="1" applyFill="1" applyBorder="1" applyAlignment="1">
      <alignment horizontal="left" vertical="center"/>
    </xf>
    <xf numFmtId="0" fontId="4" fillId="2" borderId="62" xfId="0" applyFont="1" applyFill="1" applyBorder="1" applyAlignment="1">
      <alignment horizontal="centerContinuous" vertical="center"/>
    </xf>
    <xf numFmtId="0" fontId="5" fillId="2" borderId="62" xfId="0" applyFont="1" applyFill="1" applyBorder="1" applyAlignment="1">
      <alignment horizontal="centerContinuous" vertical="center"/>
    </xf>
    <xf numFmtId="0" fontId="35" fillId="2" borderId="10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99" xfId="0" applyFont="1" applyFill="1" applyBorder="1" applyAlignment="1">
      <alignment horizontal="right"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0" xfId="0" applyFont="1" applyBorder="1" applyAlignment="1">
      <alignment horizontal="centerContinuous" vertical="center"/>
    </xf>
    <xf numFmtId="0" fontId="7" fillId="0" borderId="12" xfId="0" applyFont="1" applyBorder="1" applyAlignment="1">
      <alignment horizontal="center" vertical="center"/>
    </xf>
    <xf numFmtId="0" fontId="8" fillId="2" borderId="14" xfId="0" applyFont="1" applyFill="1" applyBorder="1" applyAlignment="1">
      <alignment horizontal="right" vertical="center"/>
    </xf>
    <xf numFmtId="0" fontId="26" fillId="0" borderId="15" xfId="0"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Border="1" applyAlignment="1">
      <alignment horizontal="center" vertical="center"/>
    </xf>
    <xf numFmtId="0" fontId="7" fillId="0" borderId="27" xfId="0" applyFont="1" applyBorder="1" applyAlignment="1">
      <alignment horizontal="center" vertical="center" shrinkToFit="1"/>
    </xf>
    <xf numFmtId="0" fontId="7" fillId="14" borderId="25" xfId="0" applyFont="1" applyFill="1" applyBorder="1" applyAlignment="1">
      <alignment horizontal="center" vertical="center" wrapText="1"/>
    </xf>
    <xf numFmtId="0" fontId="2" fillId="0" borderId="106" xfId="0" applyFont="1" applyBorder="1" applyAlignment="1">
      <alignment horizontal="centerContinuous" vertical="center" shrinkToFit="1"/>
    </xf>
    <xf numFmtId="0" fontId="21" fillId="0" borderId="107" xfId="0" applyFont="1" applyBorder="1" applyAlignment="1">
      <alignment horizontal="centerContinuous" vertical="center"/>
    </xf>
    <xf numFmtId="0" fontId="2" fillId="0" borderId="108" xfId="0" applyFont="1" applyBorder="1" applyAlignment="1">
      <alignment horizontal="center" vertical="center"/>
    </xf>
    <xf numFmtId="0" fontId="2" fillId="0" borderId="109" xfId="0" applyFont="1" applyBorder="1" applyAlignment="1">
      <alignment horizontal="centerContinuous" vertical="center"/>
    </xf>
    <xf numFmtId="0" fontId="2" fillId="0" borderId="110" xfId="0" applyFont="1" applyBorder="1" applyAlignment="1">
      <alignment horizontal="centerContinuous" vertical="center"/>
    </xf>
    <xf numFmtId="0" fontId="2" fillId="0" borderId="0" xfId="0" applyFont="1" applyAlignment="1">
      <alignment vertical="center"/>
    </xf>
    <xf numFmtId="0" fontId="7" fillId="14" borderId="55" xfId="0" applyFont="1" applyFill="1" applyBorder="1" applyAlignment="1">
      <alignment horizontal="center" vertical="center" wrapText="1"/>
    </xf>
    <xf numFmtId="0" fontId="2" fillId="0" borderId="97" xfId="0" applyFont="1" applyBorder="1" applyAlignment="1">
      <alignment horizontal="centerContinuous" vertical="center" shrinkToFit="1"/>
    </xf>
    <xf numFmtId="0" fontId="21" fillId="0" borderId="87" xfId="0" applyFont="1" applyBorder="1" applyAlignment="1">
      <alignment horizontal="centerContinuous" vertical="center"/>
    </xf>
    <xf numFmtId="0" fontId="2" fillId="0" borderId="84" xfId="0" applyFont="1" applyBorder="1" applyAlignment="1">
      <alignment horizontal="centerContinuous" vertical="center"/>
    </xf>
    <xf numFmtId="0" fontId="2" fillId="0" borderId="85" xfId="0" applyFont="1" applyBorder="1" applyAlignment="1">
      <alignment horizontal="centerContinuous" vertical="center"/>
    </xf>
    <xf numFmtId="1" fontId="5" fillId="0" borderId="109" xfId="0" applyNumberFormat="1" applyFont="1" applyBorder="1" applyAlignment="1">
      <alignment horizontal="center" vertical="center"/>
    </xf>
    <xf numFmtId="1" fontId="48" fillId="10" borderId="109" xfId="0" applyNumberFormat="1" applyFont="1" applyFill="1" applyBorder="1" applyAlignment="1">
      <alignment horizontal="center" vertical="center"/>
    </xf>
    <xf numFmtId="1" fontId="2" fillId="0" borderId="109" xfId="0" applyNumberFormat="1" applyFont="1" applyBorder="1" applyAlignment="1">
      <alignment horizontal="center" vertical="center"/>
    </xf>
    <xf numFmtId="1" fontId="5" fillId="0" borderId="0" xfId="0" applyNumberFormat="1" applyFont="1" applyAlignment="1">
      <alignment vertical="center"/>
    </xf>
    <xf numFmtId="1" fontId="21" fillId="7" borderId="31" xfId="0" applyNumberFormat="1" applyFont="1" applyFill="1" applyBorder="1" applyAlignment="1">
      <alignment horizontal="center" vertical="center"/>
    </xf>
    <xf numFmtId="1" fontId="2" fillId="0" borderId="51" xfId="0" applyNumberFormat="1" applyFont="1" applyBorder="1" applyAlignment="1">
      <alignment horizontal="center" vertical="center"/>
    </xf>
    <xf numFmtId="1" fontId="2" fillId="0" borderId="75"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5" fillId="0" borderId="0" xfId="0" applyNumberFormat="1" applyFont="1" applyAlignment="1">
      <alignment horizontal="center" vertical="center"/>
    </xf>
    <xf numFmtId="0" fontId="2" fillId="0" borderId="78" xfId="0" applyFont="1" applyBorder="1" applyAlignment="1">
      <alignment horizontal="center" vertical="center"/>
    </xf>
    <xf numFmtId="1" fontId="2" fillId="0" borderId="0" xfId="0" applyNumberFormat="1" applyFont="1" applyAlignment="1">
      <alignment horizontal="center" vertical="center"/>
    </xf>
    <xf numFmtId="0" fontId="7" fillId="0" borderId="26" xfId="2" applyNumberFormat="1" applyFont="1" applyBorder="1" applyAlignment="1">
      <alignment horizontal="center" vertical="center" shrinkToFit="1"/>
    </xf>
    <xf numFmtId="0" fontId="7" fillId="0" borderId="26" xfId="0" applyFont="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15" borderId="25" xfId="0" applyFont="1" applyFill="1" applyBorder="1" applyAlignment="1">
      <alignment horizontal="center" vertical="center" wrapText="1"/>
    </xf>
    <xf numFmtId="0" fontId="51" fillId="0" borderId="1" xfId="0" applyFont="1" applyBorder="1" applyAlignment="1">
      <alignment vertical="center"/>
    </xf>
    <xf numFmtId="0" fontId="6" fillId="0" borderId="25" xfId="0" applyFont="1" applyBorder="1" applyAlignment="1">
      <alignment horizontal="center" vertical="center"/>
    </xf>
    <xf numFmtId="0" fontId="7" fillId="0" borderId="25" xfId="0" applyFont="1" applyBorder="1" applyAlignment="1">
      <alignment horizontal="center" vertical="center" wrapText="1"/>
    </xf>
    <xf numFmtId="1" fontId="7" fillId="0" borderId="25"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52" fillId="0" borderId="1" xfId="0" applyFont="1" applyBorder="1" applyAlignment="1">
      <alignment vertical="center"/>
    </xf>
    <xf numFmtId="0" fontId="7" fillId="0" borderId="60" xfId="0" quotePrefix="1" applyFont="1" applyBorder="1" applyAlignment="1">
      <alignment horizontal="center" vertical="center"/>
    </xf>
    <xf numFmtId="0" fontId="10" fillId="0" borderId="26" xfId="0" applyFont="1" applyBorder="1" applyAlignment="1">
      <alignment horizontal="center" vertical="center"/>
    </xf>
    <xf numFmtId="1" fontId="2" fillId="9" borderId="46" xfId="0" applyNumberFormat="1" applyFont="1" applyFill="1" applyBorder="1" applyAlignment="1">
      <alignment horizontal="center" vertical="center"/>
    </xf>
    <xf numFmtId="0" fontId="2" fillId="0" borderId="76" xfId="0" applyFont="1" applyBorder="1" applyAlignment="1">
      <alignment horizontal="center" vertical="center"/>
    </xf>
    <xf numFmtId="0" fontId="41" fillId="0" borderId="31" xfId="0" applyFont="1" applyBorder="1" applyAlignment="1">
      <alignment horizontal="centerContinuous" vertical="center"/>
    </xf>
    <xf numFmtId="0" fontId="53" fillId="0" borderId="31" xfId="0" applyFont="1" applyBorder="1" applyAlignment="1">
      <alignment horizontal="centerContinuous" vertical="center" wrapText="1"/>
    </xf>
    <xf numFmtId="0" fontId="54" fillId="0" borderId="31" xfId="0" applyFont="1" applyBorder="1" applyAlignment="1">
      <alignment horizontal="centerContinuous" vertical="center" wrapText="1"/>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13" fillId="9" borderId="26" xfId="0" applyFont="1" applyFill="1" applyBorder="1" applyAlignment="1">
      <alignment horizontal="center" vertical="center"/>
    </xf>
    <xf numFmtId="0" fontId="45" fillId="10" borderId="13" xfId="0" applyFont="1" applyFill="1" applyBorder="1" applyAlignment="1">
      <alignment horizontal="center" vertical="center"/>
    </xf>
    <xf numFmtId="0" fontId="7" fillId="16" borderId="25"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5" xfId="0" applyFont="1" applyFill="1" applyBorder="1" applyAlignment="1">
      <alignment horizontal="center" vertical="center" wrapText="1"/>
    </xf>
    <xf numFmtId="0" fontId="55" fillId="0" borderId="57" xfId="0" applyFont="1" applyBorder="1" applyAlignment="1">
      <alignment horizontal="centerContinuous" wrapText="1"/>
    </xf>
    <xf numFmtId="0" fontId="4" fillId="0" borderId="57" xfId="0" applyFont="1" applyBorder="1" applyAlignment="1">
      <alignment horizontal="centerContinuous" wrapText="1"/>
    </xf>
    <xf numFmtId="0" fontId="4" fillId="0" borderId="58" xfId="0" applyFont="1" applyBorder="1" applyAlignment="1">
      <alignment horizontal="centerContinuous" wrapText="1"/>
    </xf>
    <xf numFmtId="0" fontId="2" fillId="0" borderId="0" xfId="0" applyFont="1" applyAlignment="1">
      <alignment vertical="center" wrapText="1"/>
    </xf>
    <xf numFmtId="0" fontId="56"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2" fillId="0" borderId="111" xfId="0" applyFont="1" applyBorder="1" applyAlignment="1">
      <alignment horizontal="center" shrinkToFit="1"/>
    </xf>
    <xf numFmtId="0" fontId="2" fillId="0" borderId="112" xfId="0" applyFont="1" applyBorder="1" applyAlignment="1">
      <alignment horizontal="center"/>
    </xf>
    <xf numFmtId="0" fontId="2" fillId="5" borderId="113" xfId="2" applyNumberFormat="1" applyFont="1" applyFill="1" applyBorder="1" applyAlignment="1">
      <alignment horizontal="center" shrinkToFit="1"/>
    </xf>
    <xf numFmtId="0" fontId="4" fillId="0" borderId="63" xfId="0" applyFont="1" applyBorder="1" applyAlignment="1">
      <alignment horizontal="right"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11" borderId="65" xfId="0" applyFont="1" applyFill="1" applyBorder="1" applyAlignment="1">
      <alignment horizontal="center" vertical="center" wrapText="1"/>
    </xf>
    <xf numFmtId="0" fontId="2" fillId="11" borderId="66" xfId="0" applyFont="1" applyFill="1" applyBorder="1" applyAlignment="1">
      <alignment horizontal="center" vertical="center" wrapText="1"/>
    </xf>
    <xf numFmtId="0" fontId="2" fillId="0" borderId="53" xfId="0" applyFont="1" applyBorder="1" applyAlignment="1">
      <alignment horizontal="center" shrinkToFit="1"/>
    </xf>
    <xf numFmtId="0" fontId="2" fillId="0" borderId="38" xfId="0" applyFont="1" applyBorder="1" applyAlignment="1">
      <alignment horizontal="center"/>
    </xf>
    <xf numFmtId="0" fontId="2" fillId="5" borderId="39" xfId="2" applyNumberFormat="1" applyFont="1" applyFill="1" applyBorder="1" applyAlignment="1">
      <alignment horizontal="center" shrinkToFit="1"/>
    </xf>
    <xf numFmtId="0" fontId="4" fillId="0" borderId="34" xfId="0" applyFont="1" applyBorder="1" applyAlignment="1">
      <alignment horizontal="right" vertical="center"/>
    </xf>
    <xf numFmtId="0" fontId="2" fillId="0" borderId="67"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16" borderId="41" xfId="2" applyNumberFormat="1" applyFont="1" applyFill="1" applyBorder="1" applyAlignment="1">
      <alignment horizontal="center" shrinkToFit="1"/>
    </xf>
    <xf numFmtId="0" fontId="4" fillId="0" borderId="46" xfId="0" applyFont="1" applyBorder="1" applyAlignment="1">
      <alignment horizontal="right" vertical="center"/>
    </xf>
    <xf numFmtId="0" fontId="57" fillId="7" borderId="68"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57" fillId="10" borderId="69" xfId="0" applyFont="1" applyFill="1" applyBorder="1" applyAlignment="1">
      <alignment horizontal="center"/>
    </xf>
    <xf numFmtId="0" fontId="57" fillId="10" borderId="103" xfId="0" applyFont="1" applyFill="1" applyBorder="1" applyAlignment="1">
      <alignment horizontal="centerContinuous"/>
    </xf>
    <xf numFmtId="0" fontId="57" fillId="10" borderId="104" xfId="0" applyFont="1" applyFill="1" applyBorder="1" applyAlignment="1">
      <alignment horizontal="centerContinuous"/>
    </xf>
    <xf numFmtId="0" fontId="57" fillId="10" borderId="105" xfId="0" applyFont="1" applyFill="1" applyBorder="1" applyAlignment="1">
      <alignment horizontal="centerContinuous"/>
    </xf>
    <xf numFmtId="0" fontId="4" fillId="0" borderId="16" xfId="0" applyFont="1" applyBorder="1" applyAlignment="1">
      <alignment horizontal="center"/>
    </xf>
    <xf numFmtId="0" fontId="2" fillId="0" borderId="9" xfId="0" applyFont="1" applyBorder="1" applyAlignment="1">
      <alignment horizontal="centerContinuous" wrapText="1"/>
    </xf>
    <xf numFmtId="0" fontId="7" fillId="0" borderId="1" xfId="0" quotePrefix="1" applyFont="1" applyBorder="1" applyAlignment="1">
      <alignment vertical="center"/>
    </xf>
    <xf numFmtId="0" fontId="7" fillId="0" borderId="2" xfId="0" quotePrefix="1" applyFont="1" applyBorder="1" applyAlignment="1">
      <alignment horizontal="center" vertical="center"/>
    </xf>
    <xf numFmtId="0" fontId="7" fillId="9" borderId="27" xfId="0" quotePrefix="1" applyFont="1" applyFill="1" applyBorder="1" applyAlignment="1">
      <alignment horizontal="center" vertical="center"/>
    </xf>
    <xf numFmtId="0" fontId="2" fillId="0" borderId="89" xfId="0" applyFont="1" applyBorder="1" applyAlignment="1">
      <alignment horizontal="center" shrinkToFit="1"/>
    </xf>
    <xf numFmtId="0" fontId="2" fillId="0" borderId="40" xfId="0" applyFont="1" applyBorder="1" applyAlignment="1">
      <alignment horizontal="center"/>
    </xf>
    <xf numFmtId="0" fontId="58" fillId="0" borderId="56" xfId="0" applyFont="1" applyBorder="1" applyAlignment="1">
      <alignment horizontal="centerContinuous" wrapText="1"/>
    </xf>
    <xf numFmtId="0" fontId="7" fillId="0" borderId="15" xfId="0" applyFont="1" applyBorder="1" applyAlignment="1">
      <alignment horizontal="center" vertical="center"/>
    </xf>
    <xf numFmtId="1" fontId="48" fillId="10" borderId="83" xfId="0" applyNumberFormat="1" applyFont="1" applyFill="1" applyBorder="1" applyAlignment="1">
      <alignment horizontal="center" vertical="center"/>
    </xf>
    <xf numFmtId="0" fontId="59" fillId="17" borderId="82" xfId="0" applyFont="1" applyFill="1" applyBorder="1" applyAlignment="1">
      <alignment horizontal="center" vertical="center"/>
    </xf>
    <xf numFmtId="0" fontId="59" fillId="17" borderId="83" xfId="0" applyFont="1" applyFill="1" applyBorder="1" applyAlignment="1">
      <alignment horizontal="center" vertical="center"/>
    </xf>
    <xf numFmtId="49" fontId="59" fillId="17" borderId="83" xfId="0" applyNumberFormat="1" applyFont="1" applyFill="1" applyBorder="1" applyAlignment="1">
      <alignment horizontal="center" vertical="center"/>
    </xf>
    <xf numFmtId="164" fontId="59" fillId="17" borderId="83" xfId="0" applyNumberFormat="1" applyFont="1" applyFill="1" applyBorder="1" applyAlignment="1">
      <alignment horizontal="center" vertical="center"/>
    </xf>
    <xf numFmtId="1" fontId="59" fillId="17" borderId="84" xfId="0" applyNumberFormat="1" applyFont="1" applyFill="1" applyBorder="1" applyAlignment="1">
      <alignment horizontal="center" vertical="center"/>
    </xf>
    <xf numFmtId="0" fontId="59" fillId="17" borderId="101" xfId="0" applyFont="1" applyFill="1" applyBorder="1" applyAlignment="1">
      <alignment horizontal="center" vertical="center"/>
    </xf>
    <xf numFmtId="1" fontId="59" fillId="17" borderId="46" xfId="0" applyNumberFormat="1" applyFont="1" applyFill="1" applyBorder="1" applyAlignment="1">
      <alignment horizontal="center" vertical="center"/>
    </xf>
    <xf numFmtId="0" fontId="4" fillId="0" borderId="45" xfId="0" applyFont="1" applyBorder="1" applyAlignment="1">
      <alignment horizontal="centerContinuous" wrapText="1"/>
    </xf>
    <xf numFmtId="0" fontId="2" fillId="0" borderId="10" xfId="0" applyFont="1" applyBorder="1" applyAlignment="1">
      <alignment horizontal="centerContinuous" wrapText="1"/>
    </xf>
    <xf numFmtId="0" fontId="60" fillId="0" borderId="34" xfId="0" applyFont="1" applyBorder="1" applyAlignment="1">
      <alignment horizontal="center" vertical="center" shrinkToFit="1"/>
    </xf>
    <xf numFmtId="0" fontId="60" fillId="0" borderId="52" xfId="0" applyFont="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Font="1" applyFill="1" applyBorder="1" applyAlignment="1">
      <alignment horizontal="center" vertical="center"/>
    </xf>
    <xf numFmtId="0" fontId="14" fillId="6" borderId="26" xfId="0"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4" xfId="0" applyFont="1" applyFill="1" applyBorder="1" applyAlignment="1">
      <alignment horizontal="centerContinuous" vertical="center" wrapText="1"/>
    </xf>
    <xf numFmtId="3" fontId="5" fillId="0" borderId="0" xfId="0" applyNumberFormat="1" applyFont="1" applyAlignment="1">
      <alignment vertical="center"/>
    </xf>
    <xf numFmtId="164" fontId="21" fillId="3" borderId="31" xfId="0" applyNumberFormat="1" applyFont="1" applyFill="1" applyBorder="1" applyAlignment="1">
      <alignment horizontal="center" vertical="center"/>
    </xf>
    <xf numFmtId="1" fontId="2" fillId="0" borderId="51"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1"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22" fillId="6" borderId="26" xfId="0" applyFont="1" applyFill="1" applyBorder="1" applyAlignment="1">
      <alignment horizontal="center" vertical="center"/>
    </xf>
    <xf numFmtId="49" fontId="7" fillId="18"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7" fillId="0" borderId="70" xfId="0" applyFont="1" applyBorder="1" applyAlignment="1">
      <alignment horizontal="centerContinuous" vertical="center"/>
    </xf>
    <xf numFmtId="0" fontId="2" fillId="0" borderId="72" xfId="0" applyFont="1" applyBorder="1" applyAlignment="1">
      <alignment horizontal="centerContinuous" vertical="center"/>
    </xf>
    <xf numFmtId="0" fontId="21" fillId="7" borderId="54" xfId="0" applyFont="1" applyFill="1" applyBorder="1" applyAlignment="1">
      <alignment horizontal="centerContinuous" vertical="center" wrapText="1"/>
    </xf>
    <xf numFmtId="0" fontId="21" fillId="7" borderId="59" xfId="0" applyFont="1" applyFill="1" applyBorder="1" applyAlignment="1">
      <alignment horizontal="center" vertical="center" wrapText="1"/>
    </xf>
    <xf numFmtId="0" fontId="21" fillId="7" borderId="60" xfId="0" applyFont="1" applyFill="1" applyBorder="1" applyAlignment="1">
      <alignment horizontal="center" vertical="center" wrapText="1"/>
    </xf>
    <xf numFmtId="1" fontId="7" fillId="0" borderId="28" xfId="0" applyNumberFormat="1" applyFont="1" applyBorder="1" applyAlignment="1">
      <alignment horizontal="center" vertical="center"/>
    </xf>
    <xf numFmtId="49" fontId="16" fillId="0" borderId="32" xfId="0" applyNumberFormat="1" applyFont="1" applyBorder="1" applyAlignment="1">
      <alignment horizontal="center" shrinkToFit="1"/>
    </xf>
    <xf numFmtId="164" fontId="2" fillId="0" borderId="84" xfId="0" quotePrefix="1" applyNumberFormat="1" applyFont="1" applyBorder="1" applyAlignment="1">
      <alignment horizontal="centerContinuous" vertical="center"/>
    </xf>
    <xf numFmtId="0" fontId="2" fillId="0" borderId="114" xfId="0" applyFont="1" applyBorder="1" applyAlignment="1">
      <alignment horizontal="center" vertical="center" shrinkToFit="1"/>
    </xf>
    <xf numFmtId="0" fontId="2" fillId="0" borderId="115" xfId="0" applyFont="1" applyBorder="1" applyAlignment="1">
      <alignment horizontal="center" vertical="center"/>
    </xf>
    <xf numFmtId="0" fontId="2" fillId="0" borderId="115" xfId="0" quotePrefix="1" applyFont="1" applyBorder="1" applyAlignment="1">
      <alignment horizontal="center" vertical="center"/>
    </xf>
    <xf numFmtId="9" fontId="2" fillId="0" borderId="115" xfId="0" applyNumberFormat="1" applyFont="1" applyBorder="1" applyAlignment="1">
      <alignment horizontal="center" vertical="center"/>
    </xf>
    <xf numFmtId="49" fontId="2" fillId="0" borderId="115" xfId="0" quotePrefix="1" applyNumberFormat="1" applyFont="1" applyBorder="1" applyAlignment="1">
      <alignment horizontal="center" vertical="center"/>
    </xf>
    <xf numFmtId="164" fontId="2" fillId="0" borderId="115" xfId="0" applyNumberFormat="1" applyFont="1" applyBorder="1" applyAlignment="1">
      <alignment horizontal="center" vertical="center"/>
    </xf>
    <xf numFmtId="164" fontId="2" fillId="0" borderId="116" xfId="0" applyNumberFormat="1" applyFont="1" applyBorder="1" applyAlignment="1">
      <alignment horizontal="centerContinuous" vertical="center"/>
    </xf>
    <xf numFmtId="164" fontId="2" fillId="0" borderId="117" xfId="0" applyNumberFormat="1" applyFont="1" applyBorder="1" applyAlignment="1">
      <alignment horizontal="centerContinuous" vertical="center"/>
    </xf>
    <xf numFmtId="0" fontId="5" fillId="0" borderId="118" xfId="0" quotePrefix="1" applyFont="1" applyBorder="1" applyAlignment="1">
      <alignment horizontal="centerContinuous" vertical="center"/>
    </xf>
    <xf numFmtId="1" fontId="2" fillId="0" borderId="119" xfId="0" applyNumberFormat="1" applyFont="1" applyBorder="1" applyAlignment="1">
      <alignment horizontal="center" vertical="center"/>
    </xf>
    <xf numFmtId="0" fontId="2" fillId="0" borderId="120" xfId="0" applyFont="1" applyBorder="1" applyAlignment="1">
      <alignment horizontal="center" vertical="center" shrinkToFit="1"/>
    </xf>
    <xf numFmtId="0" fontId="2" fillId="0" borderId="121" xfId="0" applyFont="1" applyBorder="1" applyAlignment="1">
      <alignment horizontal="center" vertical="center"/>
    </xf>
    <xf numFmtId="0" fontId="2" fillId="0" borderId="121" xfId="0" quotePrefix="1" applyFont="1" applyBorder="1" applyAlignment="1">
      <alignment horizontal="center" vertical="center"/>
    </xf>
    <xf numFmtId="9" fontId="2" fillId="0" borderId="121" xfId="0" applyNumberFormat="1" applyFont="1" applyBorder="1" applyAlignment="1">
      <alignment horizontal="center" vertical="center"/>
    </xf>
    <xf numFmtId="49" fontId="2" fillId="0" borderId="121" xfId="0" quotePrefix="1" applyNumberFormat="1" applyFont="1" applyBorder="1" applyAlignment="1">
      <alignment horizontal="center" vertical="center"/>
    </xf>
    <xf numFmtId="164" fontId="2" fillId="0" borderId="121" xfId="0" applyNumberFormat="1" applyFont="1" applyBorder="1" applyAlignment="1">
      <alignment horizontal="center" vertical="center"/>
    </xf>
    <xf numFmtId="164" fontId="2" fillId="0" borderId="122" xfId="0" applyNumberFormat="1" applyFont="1" applyBorder="1" applyAlignment="1">
      <alignment horizontal="centerContinuous" vertical="center"/>
    </xf>
    <xf numFmtId="164" fontId="2" fillId="0" borderId="123" xfId="0" applyNumberFormat="1" applyFont="1" applyBorder="1" applyAlignment="1">
      <alignment horizontal="centerContinuous" vertical="center"/>
    </xf>
    <xf numFmtId="0" fontId="5" fillId="0" borderId="124" xfId="0" quotePrefix="1" applyFont="1" applyBorder="1" applyAlignment="1">
      <alignment horizontal="centerContinuous" vertical="center"/>
    </xf>
    <xf numFmtId="1" fontId="2" fillId="0" borderId="125" xfId="0" applyNumberFormat="1" applyFont="1" applyBorder="1" applyAlignment="1">
      <alignment horizontal="center" vertical="center"/>
    </xf>
    <xf numFmtId="0" fontId="2" fillId="0" borderId="38" xfId="0" quotePrefix="1" applyFont="1" applyBorder="1" applyAlignment="1">
      <alignment horizontal="left" vertical="center"/>
    </xf>
    <xf numFmtId="0" fontId="7" fillId="8" borderId="24" xfId="0" quotePrefix="1" applyFont="1" applyFill="1" applyBorder="1" applyAlignment="1">
      <alignment horizontal="center" vertical="center"/>
    </xf>
    <xf numFmtId="0" fontId="7" fillId="9" borderId="1" xfId="0" applyFont="1" applyFill="1" applyBorder="1" applyAlignment="1">
      <alignment horizontal="center" vertical="center" shrinkToFit="1"/>
    </xf>
    <xf numFmtId="0" fontId="7" fillId="9" borderId="8" xfId="0" applyFont="1" applyFill="1" applyBorder="1" applyAlignment="1">
      <alignment horizontal="center" vertical="center" shrinkToFit="1"/>
    </xf>
    <xf numFmtId="9" fontId="7" fillId="9" borderId="25" xfId="2" applyFont="1" applyFill="1" applyBorder="1" applyAlignment="1">
      <alignment horizontal="center" vertical="center" shrinkToFit="1"/>
    </xf>
    <xf numFmtId="9" fontId="7" fillId="9" borderId="26" xfId="2" applyFont="1" applyFill="1" applyBorder="1" applyAlignment="1">
      <alignment horizontal="center" vertical="center" shrinkToFit="1"/>
    </xf>
    <xf numFmtId="0" fontId="7" fillId="9" borderId="26" xfId="0" applyFont="1" applyFill="1" applyBorder="1" applyAlignment="1">
      <alignment horizontal="center" vertical="center" shrinkToFit="1"/>
    </xf>
    <xf numFmtId="0" fontId="7" fillId="9" borderId="26" xfId="10" applyNumberFormat="1" applyFont="1" applyFill="1" applyBorder="1" applyAlignment="1">
      <alignment horizontal="center" vertical="center" shrinkToFit="1"/>
    </xf>
    <xf numFmtId="0" fontId="7" fillId="9" borderId="26" xfId="2" applyNumberFormat="1" applyFont="1" applyFill="1" applyBorder="1" applyAlignment="1">
      <alignment horizontal="center" vertical="center" shrinkToFit="1"/>
    </xf>
    <xf numFmtId="0" fontId="7" fillId="9" borderId="27" xfId="0" quotePrefix="1" applyFont="1" applyFill="1" applyBorder="1" applyAlignment="1">
      <alignment horizontal="center" vertical="center" wrapText="1"/>
    </xf>
    <xf numFmtId="0" fontId="7" fillId="9" borderId="27" xfId="0" applyFont="1" applyFill="1" applyBorder="1" applyAlignment="1">
      <alignment horizontal="center" vertical="center" wrapText="1"/>
    </xf>
    <xf numFmtId="9" fontId="7" fillId="9" borderId="44" xfId="2" applyFont="1" applyFill="1" applyBorder="1" applyAlignment="1">
      <alignment horizontal="center" vertical="center" shrinkToFit="1"/>
    </xf>
    <xf numFmtId="9" fontId="7" fillId="9" borderId="45" xfId="2" applyFont="1" applyFill="1" applyBorder="1" applyAlignment="1">
      <alignment horizontal="center" vertical="center" shrinkToFit="1"/>
    </xf>
    <xf numFmtId="0" fontId="7" fillId="9" borderId="45" xfId="0" applyFont="1" applyFill="1" applyBorder="1" applyAlignment="1">
      <alignment horizontal="center" vertical="center" shrinkToFit="1"/>
    </xf>
    <xf numFmtId="0" fontId="7" fillId="9" borderId="45" xfId="2" applyNumberFormat="1" applyFont="1" applyFill="1" applyBorder="1" applyAlignment="1">
      <alignment horizontal="center" vertical="center" shrinkToFit="1"/>
    </xf>
    <xf numFmtId="0" fontId="7" fillId="9" borderId="33" xfId="0" applyFont="1" applyFill="1" applyBorder="1" applyAlignment="1">
      <alignment horizontal="center" vertical="center" shrinkToFit="1"/>
    </xf>
    <xf numFmtId="0" fontId="2" fillId="0" borderId="126" xfId="0" applyFont="1" applyBorder="1" applyAlignment="1">
      <alignment horizontal="center" vertical="center" shrinkToFit="1"/>
    </xf>
    <xf numFmtId="0" fontId="2" fillId="0" borderId="127" xfId="0" applyFont="1" applyBorder="1" applyAlignment="1">
      <alignment horizontal="center" vertical="center" shrinkToFit="1"/>
    </xf>
    <xf numFmtId="164" fontId="5" fillId="0" borderId="128" xfId="0" applyNumberFormat="1" applyFont="1" applyBorder="1" applyAlignment="1">
      <alignment horizontal="center" vertical="center" shrinkToFit="1"/>
    </xf>
    <xf numFmtId="0" fontId="5" fillId="0" borderId="128" xfId="0" applyFont="1" applyBorder="1" applyAlignment="1">
      <alignment horizontal="left" vertical="center"/>
    </xf>
    <xf numFmtId="0" fontId="5" fillId="0" borderId="129" xfId="0" applyFont="1" applyBorder="1" applyAlignment="1">
      <alignment horizontal="left" vertical="center" shrinkToFit="1"/>
    </xf>
    <xf numFmtId="1" fontId="5" fillId="0" borderId="125" xfId="0" applyNumberFormat="1" applyFont="1" applyBorder="1" applyAlignment="1">
      <alignment horizontal="center" vertical="center" shrinkToFit="1"/>
    </xf>
    <xf numFmtId="0" fontId="2" fillId="0" borderId="130" xfId="0" applyFont="1" applyBorder="1" applyAlignment="1">
      <alignment horizontal="center" vertical="center"/>
    </xf>
    <xf numFmtId="0" fontId="2" fillId="0" borderId="76" xfId="0" quotePrefix="1" applyFont="1" applyBorder="1" applyAlignment="1">
      <alignment horizontal="center" vertical="center" wrapText="1"/>
    </xf>
    <xf numFmtId="49" fontId="2" fillId="0" borderId="76" xfId="2" applyNumberFormat="1" applyFont="1" applyFill="1" applyBorder="1" applyAlignment="1">
      <alignment horizontal="center" vertical="center"/>
    </xf>
    <xf numFmtId="0" fontId="2" fillId="0" borderId="76" xfId="0" applyFont="1" applyBorder="1" applyAlignment="1">
      <alignment horizontal="center" vertical="center" shrinkToFit="1"/>
    </xf>
    <xf numFmtId="164" fontId="2" fillId="0" borderId="76" xfId="0" applyNumberFormat="1" applyFont="1" applyBorder="1" applyAlignment="1">
      <alignment horizontal="center" vertical="center"/>
    </xf>
    <xf numFmtId="1" fontId="2" fillId="0" borderId="77" xfId="0" applyNumberFormat="1" applyFont="1" applyBorder="1" applyAlignment="1">
      <alignment horizontal="center" vertical="center"/>
    </xf>
    <xf numFmtId="1" fontId="48" fillId="10" borderId="77" xfId="0" applyNumberFormat="1" applyFont="1" applyFill="1" applyBorder="1" applyAlignment="1">
      <alignment horizontal="center" vertical="center"/>
    </xf>
    <xf numFmtId="0" fontId="2" fillId="0" borderId="131" xfId="0" quotePrefix="1" applyFont="1" applyBorder="1" applyAlignment="1">
      <alignment horizontal="center" vertical="center"/>
    </xf>
    <xf numFmtId="1" fontId="2" fillId="0" borderId="34" xfId="0" applyNumberFormat="1" applyFont="1" applyBorder="1" applyAlignment="1">
      <alignment horizontal="center" vertical="center"/>
    </xf>
    <xf numFmtId="0" fontId="2" fillId="8" borderId="130" xfId="0" applyFont="1" applyFill="1" applyBorder="1" applyAlignment="1">
      <alignment horizontal="center" vertical="center"/>
    </xf>
    <xf numFmtId="0" fontId="2" fillId="8" borderId="76" xfId="0" applyFont="1" applyFill="1" applyBorder="1" applyAlignment="1">
      <alignment horizontal="center" vertical="center"/>
    </xf>
    <xf numFmtId="0" fontId="2" fillId="8" borderId="76" xfId="0" quotePrefix="1" applyFont="1" applyFill="1" applyBorder="1" applyAlignment="1">
      <alignment horizontal="center" vertical="center" wrapText="1"/>
    </xf>
    <xf numFmtId="49" fontId="2" fillId="8" borderId="76" xfId="2" applyNumberFormat="1" applyFont="1" applyFill="1" applyBorder="1" applyAlignment="1">
      <alignment horizontal="center" vertical="center"/>
    </xf>
    <xf numFmtId="0" fontId="2" fillId="8" borderId="76" xfId="0" applyFont="1" applyFill="1" applyBorder="1" applyAlignment="1">
      <alignment horizontal="center" vertical="center" shrinkToFit="1"/>
    </xf>
    <xf numFmtId="164" fontId="2" fillId="8" borderId="76" xfId="0" applyNumberFormat="1" applyFont="1" applyFill="1" applyBorder="1" applyAlignment="1">
      <alignment horizontal="center" vertical="center"/>
    </xf>
    <xf numFmtId="1" fontId="2" fillId="8" borderId="76" xfId="0" applyNumberFormat="1" applyFont="1" applyFill="1" applyBorder="1" applyAlignment="1">
      <alignment horizontal="center" vertical="center"/>
    </xf>
    <xf numFmtId="1" fontId="48" fillId="10" borderId="76" xfId="0" applyNumberFormat="1" applyFont="1" applyFill="1" applyBorder="1" applyAlignment="1">
      <alignment horizontal="center" vertical="center"/>
    </xf>
    <xf numFmtId="1" fontId="2" fillId="8" borderId="77" xfId="0" applyNumberFormat="1" applyFont="1" applyFill="1" applyBorder="1" applyAlignment="1">
      <alignment horizontal="center" vertical="center"/>
    </xf>
    <xf numFmtId="0" fontId="2" fillId="8" borderId="131" xfId="0" quotePrefix="1" applyFont="1" applyFill="1" applyBorder="1" applyAlignment="1">
      <alignment horizontal="center" vertical="center"/>
    </xf>
    <xf numFmtId="1" fontId="2" fillId="8" borderId="34" xfId="0" applyNumberFormat="1" applyFont="1" applyFill="1" applyBorder="1" applyAlignment="1">
      <alignment horizontal="center" vertical="center"/>
    </xf>
    <xf numFmtId="0" fontId="22" fillId="6" borderId="1" xfId="0" applyFont="1" applyFill="1" applyBorder="1" applyAlignment="1">
      <alignment vertical="center"/>
    </xf>
    <xf numFmtId="0" fontId="27" fillId="0" borderId="75" xfId="0" quotePrefix="1" applyFont="1" applyBorder="1" applyAlignment="1">
      <alignment horizontal="centerContinuous" vertical="center" shrinkToFit="1"/>
    </xf>
    <xf numFmtId="0" fontId="39" fillId="0" borderId="46" xfId="0" applyFont="1" applyBorder="1" applyAlignment="1">
      <alignment horizontal="center" vertical="center" shrinkToFit="1"/>
    </xf>
    <xf numFmtId="1" fontId="2" fillId="0" borderId="112" xfId="0" applyNumberFormat="1" applyFont="1" applyBorder="1" applyAlignment="1">
      <alignment horizontal="center"/>
    </xf>
    <xf numFmtId="1" fontId="2" fillId="0" borderId="38" xfId="0" applyNumberFormat="1" applyFont="1" applyBorder="1" applyAlignment="1">
      <alignment horizontal="center"/>
    </xf>
    <xf numFmtId="1" fontId="2" fillId="0" borderId="40" xfId="0" applyNumberFormat="1" applyFont="1" applyBorder="1" applyAlignment="1">
      <alignment horizontal="center"/>
    </xf>
    <xf numFmtId="0" fontId="62" fillId="0" borderId="1" xfId="0" applyFont="1" applyBorder="1" applyAlignment="1">
      <alignment horizontal="center" vertical="center" shrinkToFit="1"/>
    </xf>
    <xf numFmtId="0" fontId="61" fillId="0" borderId="0" xfId="5" applyFont="1" applyAlignment="1">
      <alignment vertical="center" wrapText="1"/>
    </xf>
    <xf numFmtId="1" fontId="7" fillId="0" borderId="71" xfId="0" applyNumberFormat="1" applyFont="1" applyBorder="1" applyAlignment="1">
      <alignment horizontal="center" vertical="center"/>
    </xf>
    <xf numFmtId="165" fontId="2" fillId="0" borderId="0" xfId="0" applyNumberFormat="1" applyFont="1" applyAlignment="1">
      <alignment horizontal="center" vertical="center"/>
    </xf>
    <xf numFmtId="0" fontId="6" fillId="4" borderId="30" xfId="0" applyFont="1" applyFill="1" applyBorder="1" applyAlignment="1">
      <alignment horizontal="right" vertical="center"/>
    </xf>
    <xf numFmtId="0" fontId="7" fillId="0" borderId="32" xfId="0" applyFont="1" applyBorder="1" applyAlignment="1">
      <alignment horizontal="center" vertical="center" shrinkToFit="1"/>
    </xf>
    <xf numFmtId="0" fontId="63" fillId="2" borderId="4" xfId="0" applyFont="1" applyFill="1" applyBorder="1" applyAlignment="1">
      <alignment horizontal="right"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9" xr:uid="{00000000-0005-0000-0000-000006000000}"/>
    <cellStyle name="Normal 5" xfId="7" xr:uid="{00000000-0005-0000-0000-000007000000}"/>
    <cellStyle name="Percent" xfId="2" builtinId="5"/>
    <cellStyle name="Percent 2" xfId="3" xr:uid="{00000000-0005-0000-0000-000009000000}"/>
    <cellStyle name="Percent 2 2" xfId="10" xr:uid="{00000000-0005-0000-0000-00000A000000}"/>
  </cellStyles>
  <dxfs count="1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89FD5F64-1031-4B81-BDAE-E4C957338C19}"/>
  </tableStyles>
  <colors>
    <mruColors>
      <color rgb="FF009900"/>
      <color rgb="FFCCFFCC"/>
      <color rgb="FF00FF99"/>
      <color rgb="FF6600CC"/>
      <color rgb="FF00FF00"/>
      <color rgb="FF0000FF"/>
      <color rgb="FF00CC66"/>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581025</xdr:colOff>
      <xdr:row>1</xdr:row>
      <xdr:rowOff>123825</xdr:rowOff>
    </xdr:from>
    <xdr:to>
      <xdr:col>3</xdr:col>
      <xdr:colOff>283845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heetViews>
  <sheetFormatPr defaultColWidth="13" defaultRowHeight="15.6" x14ac:dyDescent="0.3"/>
  <cols>
    <col min="1" max="1" width="14.3984375" style="188" bestFit="1" customWidth="1"/>
    <col min="2" max="2" width="10" style="190" customWidth="1"/>
    <col min="3" max="3" width="5.5" style="190" customWidth="1"/>
    <col min="4" max="4" width="13.69921875" style="188" bestFit="1" customWidth="1"/>
    <col min="5" max="5" width="9.59765625" style="190" bestFit="1" customWidth="1"/>
    <col min="6" max="6" width="14.69921875" style="188" customWidth="1"/>
    <col min="7" max="7" width="17.09765625" style="190" customWidth="1"/>
    <col min="8" max="16384" width="13" style="30"/>
  </cols>
  <sheetData>
    <row r="1" spans="1:7" ht="29.4" thickTop="1" thickBot="1" x14ac:dyDescent="0.35">
      <c r="A1" s="192" t="s">
        <v>298</v>
      </c>
      <c r="B1" s="193"/>
      <c r="C1" s="194"/>
      <c r="D1" s="195"/>
      <c r="E1" s="196"/>
      <c r="F1" s="195"/>
      <c r="G1" s="197" t="s">
        <v>299</v>
      </c>
    </row>
    <row r="2" spans="1:7" ht="17.399999999999999" thickTop="1" x14ac:dyDescent="0.3">
      <c r="A2" s="198" t="s">
        <v>0</v>
      </c>
      <c r="B2" s="199" t="s">
        <v>177</v>
      </c>
      <c r="C2" s="199"/>
      <c r="D2" s="200" t="s">
        <v>176</v>
      </c>
      <c r="E2" s="201">
        <v>42</v>
      </c>
      <c r="F2" s="202"/>
      <c r="G2" s="203"/>
    </row>
    <row r="3" spans="1:7" ht="16.8" x14ac:dyDescent="0.3">
      <c r="A3" s="198" t="s">
        <v>63</v>
      </c>
      <c r="B3" s="199" t="s">
        <v>154</v>
      </c>
      <c r="C3" s="199"/>
      <c r="D3" s="200" t="s">
        <v>64</v>
      </c>
      <c r="E3" s="201">
        <v>7</v>
      </c>
      <c r="F3" s="200"/>
      <c r="G3" s="203"/>
    </row>
    <row r="4" spans="1:7" ht="16.8" x14ac:dyDescent="0.3">
      <c r="A4" s="198" t="s">
        <v>174</v>
      </c>
      <c r="B4" s="199" t="s">
        <v>300</v>
      </c>
      <c r="C4" s="199"/>
      <c r="D4" s="200" t="s">
        <v>175</v>
      </c>
      <c r="E4" s="201" t="s">
        <v>301</v>
      </c>
      <c r="F4" s="200"/>
      <c r="G4" s="203"/>
    </row>
    <row r="5" spans="1:7" ht="17.399999999999999" thickBot="1" x14ac:dyDescent="0.35">
      <c r="A5" s="198" t="s">
        <v>65</v>
      </c>
      <c r="B5" s="199" t="s">
        <v>304</v>
      </c>
      <c r="C5" s="199"/>
      <c r="D5" s="200" t="s">
        <v>1</v>
      </c>
      <c r="E5" s="201" t="s">
        <v>121</v>
      </c>
      <c r="F5" s="200"/>
      <c r="G5" s="203"/>
    </row>
    <row r="6" spans="1:7" ht="17.399999999999999" thickTop="1" x14ac:dyDescent="0.3">
      <c r="A6" s="204" t="s">
        <v>85</v>
      </c>
      <c r="B6" s="363">
        <f>3</f>
        <v>3</v>
      </c>
      <c r="C6" s="364"/>
      <c r="D6" s="205" t="s">
        <v>292</v>
      </c>
      <c r="E6" s="441">
        <f>B6+C8</f>
        <v>3</v>
      </c>
      <c r="F6" s="206"/>
      <c r="G6" s="203"/>
    </row>
    <row r="7" spans="1:7" ht="17.399999999999999" thickBot="1" x14ac:dyDescent="0.35">
      <c r="A7" s="207" t="s">
        <v>113</v>
      </c>
      <c r="B7" s="208" t="str">
        <f>C10</f>
        <v>+1</v>
      </c>
      <c r="C7" s="209"/>
      <c r="D7" s="443" t="s">
        <v>302</v>
      </c>
      <c r="E7" s="210" t="s">
        <v>122</v>
      </c>
      <c r="F7" s="206"/>
      <c r="G7" s="203"/>
    </row>
    <row r="8" spans="1:7" ht="17.399999999999999" thickTop="1" x14ac:dyDescent="0.3">
      <c r="A8" s="211" t="s">
        <v>2</v>
      </c>
      <c r="B8" s="332">
        <v>10</v>
      </c>
      <c r="C8" s="212" t="str">
        <f>IF(B8&gt;9.9,CONCATENATE("+",ROUNDDOWN((B8-10)/2,0)),ROUNDUP((B8-10)/2,0))</f>
        <v>+0</v>
      </c>
      <c r="D8" s="213" t="s">
        <v>71</v>
      </c>
      <c r="E8" s="369" t="s">
        <v>192</v>
      </c>
      <c r="F8" s="206"/>
      <c r="G8" s="203"/>
    </row>
    <row r="9" spans="1:7" ht="16.8" x14ac:dyDescent="0.3">
      <c r="A9" s="214" t="s">
        <v>3</v>
      </c>
      <c r="B9" s="218">
        <v>12</v>
      </c>
      <c r="C9" s="215" t="str">
        <f t="shared" ref="C9:C13" si="0">IF(B9&gt;9.9,CONCATENATE("+",ROUNDDOWN((B9-10)/2,0)),ROUNDUP((B9-10)/2,0))</f>
        <v>+1</v>
      </c>
      <c r="D9" s="216" t="s">
        <v>72</v>
      </c>
      <c r="E9" s="217">
        <f>SUM(Martial!G6:G20)+SUM(Equipment!C3:C16)+5</f>
        <v>38.75</v>
      </c>
      <c r="F9" s="206"/>
      <c r="G9" s="203"/>
    </row>
    <row r="10" spans="1:7" ht="16.8" x14ac:dyDescent="0.3">
      <c r="A10" s="445" t="s">
        <v>12</v>
      </c>
      <c r="B10" s="218">
        <v>12</v>
      </c>
      <c r="C10" s="219" t="str">
        <f t="shared" si="0"/>
        <v>+1</v>
      </c>
      <c r="D10" s="216" t="s">
        <v>14</v>
      </c>
      <c r="E10" s="220">
        <f>ROUNDUP(((E3*6)*0.75)+(E3*C10),0)</f>
        <v>39</v>
      </c>
      <c r="F10" s="206"/>
      <c r="G10" s="203"/>
    </row>
    <row r="11" spans="1:7" ht="16.8" x14ac:dyDescent="0.3">
      <c r="A11" s="221" t="s">
        <v>13</v>
      </c>
      <c r="B11" s="218">
        <v>15</v>
      </c>
      <c r="C11" s="215" t="str">
        <f t="shared" si="0"/>
        <v>+2</v>
      </c>
      <c r="D11" s="222" t="s">
        <v>86</v>
      </c>
      <c r="E11" s="368">
        <f>10+C9</f>
        <v>11</v>
      </c>
      <c r="F11" s="326"/>
      <c r="G11" s="203"/>
    </row>
    <row r="12" spans="1:7" ht="16.8" x14ac:dyDescent="0.3">
      <c r="A12" s="223" t="s">
        <v>15</v>
      </c>
      <c r="B12" s="218">
        <v>9</v>
      </c>
      <c r="C12" s="215">
        <f t="shared" si="0"/>
        <v>-1</v>
      </c>
      <c r="D12" s="222" t="s">
        <v>120</v>
      </c>
      <c r="E12" s="368">
        <f>$E$13-$C$9</f>
        <v>18</v>
      </c>
      <c r="F12" s="326"/>
      <c r="G12" s="203"/>
    </row>
    <row r="13" spans="1:7" ht="17.399999999999999" thickBot="1" x14ac:dyDescent="0.35">
      <c r="A13" s="224" t="s">
        <v>11</v>
      </c>
      <c r="B13" s="392">
        <f>17+2</f>
        <v>19</v>
      </c>
      <c r="C13" s="225" t="str">
        <f t="shared" si="0"/>
        <v>+4</v>
      </c>
      <c r="D13" s="226" t="s">
        <v>303</v>
      </c>
      <c r="E13" s="362">
        <f>E11+SUM(Martial!B14:B16)</f>
        <v>19</v>
      </c>
      <c r="F13" s="326"/>
      <c r="G13" s="203"/>
    </row>
    <row r="14" spans="1:7" s="6" customFormat="1" ht="17.399999999999999" thickTop="1" x14ac:dyDescent="0.3">
      <c r="A14" s="227"/>
      <c r="B14" s="228"/>
      <c r="C14" s="228"/>
      <c r="D14" s="228"/>
      <c r="E14" s="228"/>
      <c r="F14" s="228"/>
      <c r="G14" s="229"/>
    </row>
    <row r="15" spans="1:7" s="6" customFormat="1" ht="16.8" x14ac:dyDescent="0.3">
      <c r="A15" s="230"/>
      <c r="B15" s="231"/>
      <c r="C15" s="231"/>
      <c r="D15" s="231"/>
      <c r="E15" s="231"/>
      <c r="F15" s="231"/>
      <c r="G15" s="232"/>
    </row>
    <row r="16" spans="1:7" s="6" customFormat="1" ht="16.8" x14ac:dyDescent="0.3">
      <c r="A16" s="230"/>
      <c r="B16" s="231"/>
      <c r="C16" s="231"/>
      <c r="D16" s="231"/>
      <c r="E16" s="231"/>
      <c r="F16" s="231"/>
      <c r="G16" s="232"/>
    </row>
    <row r="17" spans="1:7" s="6" customFormat="1" ht="16.8" x14ac:dyDescent="0.3">
      <c r="A17" s="230"/>
      <c r="B17" s="231"/>
      <c r="C17" s="231"/>
      <c r="D17" s="231"/>
      <c r="E17" s="231"/>
      <c r="F17" s="231"/>
      <c r="G17" s="232"/>
    </row>
    <row r="18" spans="1:7" s="6" customFormat="1" ht="16.8" x14ac:dyDescent="0.3">
      <c r="A18" s="230"/>
      <c r="B18" s="231"/>
      <c r="C18" s="231"/>
      <c r="D18" s="231"/>
      <c r="E18" s="231"/>
      <c r="F18" s="231"/>
      <c r="G18" s="232"/>
    </row>
    <row r="19" spans="1:7" s="6" customFormat="1" ht="16.8" x14ac:dyDescent="0.3">
      <c r="A19" s="230"/>
      <c r="B19" s="231"/>
      <c r="C19" s="231"/>
      <c r="D19" s="231"/>
      <c r="E19" s="231"/>
      <c r="F19" s="231"/>
      <c r="G19" s="232"/>
    </row>
    <row r="20" spans="1:7" s="6" customFormat="1" ht="16.8" x14ac:dyDescent="0.3">
      <c r="A20" s="230"/>
      <c r="B20" s="231"/>
      <c r="C20" s="231"/>
      <c r="D20" s="231"/>
      <c r="E20" s="231"/>
      <c r="F20" s="231"/>
      <c r="G20" s="232"/>
    </row>
    <row r="21" spans="1:7" s="6" customFormat="1" ht="16.8" x14ac:dyDescent="0.3">
      <c r="A21" s="230"/>
      <c r="B21" s="231"/>
      <c r="C21" s="231"/>
      <c r="D21" s="231"/>
      <c r="E21" s="231"/>
      <c r="F21" s="231"/>
      <c r="G21" s="232"/>
    </row>
    <row r="22" spans="1:7" ht="17.399999999999999" thickBot="1" x14ac:dyDescent="0.35">
      <c r="A22" s="233"/>
      <c r="B22" s="234"/>
      <c r="C22" s="234"/>
      <c r="D22" s="234"/>
      <c r="E22" s="234"/>
      <c r="F22" s="234"/>
      <c r="G22" s="235"/>
    </row>
    <row r="23" spans="1:7" ht="16.2" thickTop="1" x14ac:dyDescent="0.3"/>
  </sheetData>
  <phoneticPr fontId="0" type="noConversion"/>
  <conditionalFormatting sqref="E9">
    <cfRule type="cellIs" dxfId="16" priority="1" stopIfTrue="1" operator="greaterThan">
      <formula>50</formula>
    </cfRule>
    <cfRule type="cellIs" dxfId="15"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31.5" style="188" bestFit="1" customWidth="1"/>
    <col min="2" max="2" width="5.8984375" style="188" bestFit="1" customWidth="1"/>
    <col min="3" max="3" width="7.59765625" style="190" hidden="1" customWidth="1"/>
    <col min="4" max="4" width="7.19921875" style="190" hidden="1" customWidth="1"/>
    <col min="5" max="5" width="9.19921875" style="190" bestFit="1" customWidth="1"/>
    <col min="6" max="6" width="7.3984375" style="190" customWidth="1"/>
    <col min="7" max="7" width="6" style="190" bestFit="1" customWidth="1"/>
    <col min="8" max="8" width="5.19921875" style="190" bestFit="1" customWidth="1"/>
    <col min="9" max="9" width="7.5" style="190" customWidth="1"/>
    <col min="10" max="10" width="26.59765625" style="188" customWidth="1"/>
    <col min="11" max="16384" width="13" style="30"/>
  </cols>
  <sheetData>
    <row r="1" spans="1:10" ht="23.4" thickBot="1" x14ac:dyDescent="0.35">
      <c r="A1" s="118" t="s">
        <v>10</v>
      </c>
      <c r="B1" s="119"/>
      <c r="C1" s="119"/>
      <c r="D1" s="119"/>
      <c r="E1" s="119"/>
      <c r="F1" s="119"/>
      <c r="G1" s="119"/>
      <c r="H1" s="119"/>
      <c r="I1" s="119"/>
      <c r="J1" s="119"/>
    </row>
    <row r="2" spans="1:10" s="6" customFormat="1" ht="34.200000000000003" thickBot="1" x14ac:dyDescent="0.35">
      <c r="A2" s="1" t="s">
        <v>100</v>
      </c>
      <c r="B2" s="2" t="s">
        <v>29</v>
      </c>
      <c r="C2" s="2" t="s">
        <v>36</v>
      </c>
      <c r="D2" s="2" t="s">
        <v>28</v>
      </c>
      <c r="E2" s="3" t="s">
        <v>61</v>
      </c>
      <c r="F2" s="3" t="s">
        <v>37</v>
      </c>
      <c r="G2" s="3" t="s">
        <v>66</v>
      </c>
      <c r="H2" s="4" t="s">
        <v>92</v>
      </c>
      <c r="I2" s="3" t="s">
        <v>79</v>
      </c>
      <c r="J2" s="5" t="s">
        <v>77</v>
      </c>
    </row>
    <row r="3" spans="1:10" s="6" customFormat="1" ht="16.8" x14ac:dyDescent="0.3">
      <c r="A3" s="266" t="s">
        <v>152</v>
      </c>
      <c r="B3" s="267">
        <v>2</v>
      </c>
      <c r="C3" s="99" t="s">
        <v>31</v>
      </c>
      <c r="D3" s="99" t="str">
        <f>IF(C3="Str",'Personal File'!$C$8,IF(C3="Dex",'Personal File'!$C$9,IF(C3="Con",'Personal File'!$C$10,IF(C3="Int",'Personal File'!$C$11,IF(C3="Wis",'Personal File'!$C$12,IF(C3="Cha",'Personal File'!$C$13))))))</f>
        <v>+1</v>
      </c>
      <c r="E3" s="273" t="str">
        <f t="shared" ref="E3" si="0">CONCATENATE(C3," (",D3,")")</f>
        <v>Con (+1)</v>
      </c>
      <c r="F3" s="268">
        <v>1</v>
      </c>
      <c r="G3" s="269">
        <f t="shared" ref="G3:G4" si="1">B3+D3+F3</f>
        <v>4</v>
      </c>
      <c r="H3" s="120">
        <f t="shared" ref="H3:H48" ca="1" si="2">RANDBETWEEN(1,20)</f>
        <v>11</v>
      </c>
      <c r="I3" s="270">
        <f t="shared" ref="I3:I4" ca="1" si="3">SUM(G3:H3)</f>
        <v>15</v>
      </c>
      <c r="J3" s="327"/>
    </row>
    <row r="4" spans="1:10" s="6" customFormat="1" ht="16.8" x14ac:dyDescent="0.3">
      <c r="A4" s="271" t="s">
        <v>153</v>
      </c>
      <c r="B4" s="267">
        <v>2</v>
      </c>
      <c r="C4" s="99" t="s">
        <v>34</v>
      </c>
      <c r="D4" s="99" t="str">
        <f>IF(C4="Str",'Personal File'!$C$8,IF(C4="Dex",'Personal File'!$C$9,IF(C4="Con",'Personal File'!$C$10,IF(C4="Int",'Personal File'!$C$11,IF(C4="Wis",'Personal File'!$C$12,IF(C4="Cha",'Personal File'!$C$13))))))</f>
        <v>+1</v>
      </c>
      <c r="E4" s="121" t="str">
        <f t="shared" ref="E4" si="4">CONCATENATE(C4," (",D4,")")</f>
        <v>Dex (+1)</v>
      </c>
      <c r="F4" s="143">
        <v>1</v>
      </c>
      <c r="G4" s="269">
        <f t="shared" si="1"/>
        <v>4</v>
      </c>
      <c r="H4" s="120">
        <f t="shared" ca="1" si="2"/>
        <v>19</v>
      </c>
      <c r="I4" s="270">
        <f t="shared" ca="1" si="3"/>
        <v>23</v>
      </c>
      <c r="J4" s="179"/>
    </row>
    <row r="5" spans="1:10" s="6" customFormat="1" ht="16.8" x14ac:dyDescent="0.3">
      <c r="A5" s="122" t="s">
        <v>68</v>
      </c>
      <c r="B5" s="123">
        <v>5</v>
      </c>
      <c r="C5" s="124" t="s">
        <v>33</v>
      </c>
      <c r="D5" s="124">
        <f>IF(C5="Str",'Personal File'!$C$8,IF(C5="Dex",'Personal File'!$C$9,IF(C5="Con",'Personal File'!$C$10,IF(C5="Int",'Personal File'!$C$11,IF(C5="Wis",'Personal File'!$C$12,IF(C5="Cha",'Personal File'!$C$13))))))</f>
        <v>-1</v>
      </c>
      <c r="E5" s="125" t="str">
        <f t="shared" ref="E5:E6" si="5">CONCATENATE(C5," (",D5,")")</f>
        <v>Wis (-1)</v>
      </c>
      <c r="F5" s="126">
        <v>1</v>
      </c>
      <c r="G5" s="127">
        <f t="shared" ref="G5:G49" si="6">B5+D5+F5</f>
        <v>5</v>
      </c>
      <c r="H5" s="128">
        <f t="shared" ca="1" si="2"/>
        <v>19</v>
      </c>
      <c r="I5" s="129">
        <f t="shared" ref="I5" ca="1" si="7">SUM(G5:H5)</f>
        <v>24</v>
      </c>
      <c r="J5" s="272"/>
    </row>
    <row r="6" spans="1:10" s="137" customFormat="1" ht="16.8" x14ac:dyDescent="0.3">
      <c r="A6" s="155" t="s">
        <v>38</v>
      </c>
      <c r="B6" s="99">
        <v>0</v>
      </c>
      <c r="C6" s="156" t="s">
        <v>32</v>
      </c>
      <c r="D6" s="157" t="str">
        <f>IF(C6="Str",'Personal File'!$C$8,IF(C6="Dex",'Personal File'!$C$9,IF(C6="Con",'Personal File'!$C$10,IF(C6="Int",'Personal File'!$C$11,IF(C6="Wis",'Personal File'!$C$12,IF(C6="Cha",'Personal File'!$C$13))))))</f>
        <v>+2</v>
      </c>
      <c r="E6" s="158" t="str">
        <f t="shared" si="5"/>
        <v>Int (+2)</v>
      </c>
      <c r="F6" s="143" t="s">
        <v>62</v>
      </c>
      <c r="G6" s="143">
        <f t="shared" si="6"/>
        <v>2</v>
      </c>
      <c r="H6" s="283">
        <f t="shared" ca="1" si="2"/>
        <v>20</v>
      </c>
      <c r="I6" s="143">
        <f ca="1">SUM(G6:H6)</f>
        <v>22</v>
      </c>
      <c r="J6" s="179"/>
    </row>
    <row r="7" spans="1:10" s="138" customFormat="1" ht="16.8" x14ac:dyDescent="0.3">
      <c r="A7" s="152" t="s">
        <v>39</v>
      </c>
      <c r="B7" s="99">
        <v>0</v>
      </c>
      <c r="C7" s="153" t="s">
        <v>34</v>
      </c>
      <c r="D7" s="154" t="str">
        <f>IF(C7="Str",'Personal File'!$C$8,IF(C7="Dex",'Personal File'!$C$9,IF(C7="Con",'Personal File'!$C$10,IF(C7="Int",'Personal File'!$C$11,IF(C7="Wis",'Personal File'!$C$12,IF(C7="Cha",'Personal File'!$C$13))))))</f>
        <v>+1</v>
      </c>
      <c r="E7" s="121" t="str">
        <f t="shared" ref="E7:E49" si="8">CONCATENATE(C7," (",D7,")")</f>
        <v>Dex (+1)</v>
      </c>
      <c r="F7" s="143" t="s">
        <v>62</v>
      </c>
      <c r="G7" s="143">
        <f t="shared" si="6"/>
        <v>1</v>
      </c>
      <c r="H7" s="120">
        <f t="shared" ca="1" si="2"/>
        <v>14</v>
      </c>
      <c r="I7" s="143">
        <f t="shared" ref="I7" ca="1" si="9">SUM(G7:H7)</f>
        <v>15</v>
      </c>
      <c r="J7" s="179"/>
    </row>
    <row r="8" spans="1:10" s="145" customFormat="1" ht="16.8" x14ac:dyDescent="0.3">
      <c r="A8" s="139" t="s">
        <v>40</v>
      </c>
      <c r="B8" s="99">
        <v>0</v>
      </c>
      <c r="C8" s="140" t="s">
        <v>30</v>
      </c>
      <c r="D8" s="141" t="str">
        <f>IF(C8="Str",'Personal File'!$C$8,IF(C8="Dex",'Personal File'!$C$9,IF(C8="Con",'Personal File'!$C$10,IF(C8="Int",'Personal File'!$C$11,IF(C8="Wis",'Personal File'!$C$12,IF(C8="Cha",'Personal File'!$C$13))))))</f>
        <v>+4</v>
      </c>
      <c r="E8" s="142" t="str">
        <f t="shared" si="8"/>
        <v>Cha (+4)</v>
      </c>
      <c r="F8" s="143" t="s">
        <v>62</v>
      </c>
      <c r="G8" s="143">
        <f t="shared" si="6"/>
        <v>4</v>
      </c>
      <c r="H8" s="120">
        <f t="shared" ca="1" si="2"/>
        <v>5</v>
      </c>
      <c r="I8" s="143">
        <f t="shared" ref="I8:I49" ca="1" si="10">SUM(G8:H8)</f>
        <v>9</v>
      </c>
      <c r="J8" s="179"/>
    </row>
    <row r="9" spans="1:10" s="146" customFormat="1" ht="16.8" x14ac:dyDescent="0.3">
      <c r="A9" s="170" t="s">
        <v>41</v>
      </c>
      <c r="B9" s="99">
        <v>0</v>
      </c>
      <c r="C9" s="171" t="s">
        <v>35</v>
      </c>
      <c r="D9" s="172" t="str">
        <f>IF(C9="Str",'Personal File'!$C$8,IF(C9="Dex",'Personal File'!$C$9,IF(C9="Con",'Personal File'!$C$10,IF(C9="Int",'Personal File'!$C$11,IF(C9="Wis",'Personal File'!$C$12,IF(C9="Cha",'Personal File'!$C$13))))))</f>
        <v>+0</v>
      </c>
      <c r="E9" s="173" t="str">
        <f t="shared" si="8"/>
        <v>Str (+0)</v>
      </c>
      <c r="F9" s="143" t="s">
        <v>62</v>
      </c>
      <c r="G9" s="143">
        <f t="shared" si="6"/>
        <v>0</v>
      </c>
      <c r="H9" s="120">
        <f t="shared" ca="1" si="2"/>
        <v>19</v>
      </c>
      <c r="I9" s="143">
        <f t="shared" ca="1" si="10"/>
        <v>19</v>
      </c>
      <c r="J9" s="179"/>
    </row>
    <row r="10" spans="1:10" s="146" customFormat="1" ht="16.8" x14ac:dyDescent="0.3">
      <c r="A10" s="147" t="s">
        <v>16</v>
      </c>
      <c r="B10" s="131">
        <v>10</v>
      </c>
      <c r="C10" s="148" t="s">
        <v>31</v>
      </c>
      <c r="D10" s="149" t="str">
        <f>IF(C10="Str",'Personal File'!$C$8,IF(C10="Dex",'Personal File'!$C$9,IF(C10="Con",'Personal File'!$C$10,IF(C10="Int",'Personal File'!$C$11,IF(C10="Wis",'Personal File'!$C$12,IF(C10="Cha",'Personal File'!$C$13))))))</f>
        <v>+1</v>
      </c>
      <c r="E10" s="150" t="str">
        <f t="shared" si="8"/>
        <v>Con (+1)</v>
      </c>
      <c r="F10" s="135" t="s">
        <v>62</v>
      </c>
      <c r="G10" s="135">
        <f t="shared" si="6"/>
        <v>11</v>
      </c>
      <c r="H10" s="120">
        <f t="shared" ca="1" si="2"/>
        <v>16</v>
      </c>
      <c r="I10" s="135">
        <f t="shared" ca="1" si="10"/>
        <v>27</v>
      </c>
      <c r="J10" s="178"/>
    </row>
    <row r="11" spans="1:10" s="137" customFormat="1" ht="16.8" x14ac:dyDescent="0.3">
      <c r="A11" s="155" t="s">
        <v>156</v>
      </c>
      <c r="B11" s="99">
        <v>0</v>
      </c>
      <c r="C11" s="156" t="s">
        <v>32</v>
      </c>
      <c r="D11" s="157" t="str">
        <f>IF(C11="Str",'Personal File'!$C$8,IF(C11="Dex",'Personal File'!$C$9,IF(C11="Con",'Personal File'!$C$10,IF(C11="Int",'Personal File'!$C$11,IF(C11="Wis",'Personal File'!$C$12,IF(C11="Cha",'Personal File'!$C$13))))))</f>
        <v>+2</v>
      </c>
      <c r="E11" s="158" t="str">
        <f t="shared" si="8"/>
        <v>Int (+2)</v>
      </c>
      <c r="F11" s="143" t="s">
        <v>62</v>
      </c>
      <c r="G11" s="143">
        <f t="shared" si="6"/>
        <v>2</v>
      </c>
      <c r="H11" s="120">
        <f t="shared" ca="1" si="2"/>
        <v>19</v>
      </c>
      <c r="I11" s="236">
        <f t="shared" ca="1" si="10"/>
        <v>21</v>
      </c>
      <c r="J11" s="179"/>
    </row>
    <row r="12" spans="1:10" s="151" customFormat="1" ht="16.8" x14ac:dyDescent="0.3">
      <c r="A12" s="174" t="s">
        <v>42</v>
      </c>
      <c r="B12" s="160">
        <v>0</v>
      </c>
      <c r="C12" s="175" t="s">
        <v>32</v>
      </c>
      <c r="D12" s="176" t="str">
        <f>IF(C12="Str",'Personal File'!$C$8,IF(C12="Dex",'Personal File'!$C$9,IF(C12="Con",'Personal File'!$C$10,IF(C12="Int",'Personal File'!$C$11,IF(C12="Wis",'Personal File'!$C$12,IF(C12="Cha",'Personal File'!$C$13))))))</f>
        <v>+2</v>
      </c>
      <c r="E12" s="177" t="str">
        <f t="shared" si="8"/>
        <v>Int (+2)</v>
      </c>
      <c r="F12" s="164" t="s">
        <v>62</v>
      </c>
      <c r="G12" s="164">
        <f t="shared" si="6"/>
        <v>2</v>
      </c>
      <c r="H12" s="120">
        <f t="shared" ca="1" si="2"/>
        <v>4</v>
      </c>
      <c r="I12" s="164">
        <f t="shared" ca="1" si="10"/>
        <v>6</v>
      </c>
      <c r="J12" s="328"/>
    </row>
    <row r="13" spans="1:10" s="138" customFormat="1" ht="16.8" x14ac:dyDescent="0.3">
      <c r="A13" s="139" t="s">
        <v>43</v>
      </c>
      <c r="B13" s="99">
        <v>0</v>
      </c>
      <c r="C13" s="140" t="s">
        <v>30</v>
      </c>
      <c r="D13" s="141" t="str">
        <f>IF(C13="Str",'Personal File'!$C$8,IF(C13="Dex",'Personal File'!$C$9,IF(C13="Con",'Personal File'!$C$10,IF(C13="Int",'Personal File'!$C$11,IF(C13="Wis",'Personal File'!$C$12,IF(C13="Cha",'Personal File'!$C$13))))))</f>
        <v>+4</v>
      </c>
      <c r="E13" s="142" t="str">
        <f t="shared" si="8"/>
        <v>Cha (+4)</v>
      </c>
      <c r="F13" s="143" t="s">
        <v>62</v>
      </c>
      <c r="G13" s="143">
        <f t="shared" si="6"/>
        <v>4</v>
      </c>
      <c r="H13" s="120">
        <f t="shared" ca="1" si="2"/>
        <v>6</v>
      </c>
      <c r="I13" s="143">
        <f t="shared" ca="1" si="10"/>
        <v>10</v>
      </c>
      <c r="J13" s="179"/>
    </row>
    <row r="14" spans="1:10" s="138" customFormat="1" ht="16.8" x14ac:dyDescent="0.3">
      <c r="A14" s="174" t="s">
        <v>44</v>
      </c>
      <c r="B14" s="160">
        <v>0</v>
      </c>
      <c r="C14" s="175" t="s">
        <v>32</v>
      </c>
      <c r="D14" s="176" t="str">
        <f>IF(C14="Str",'Personal File'!$C$8,IF(C14="Dex",'Personal File'!$C$9,IF(C14="Con",'Personal File'!$C$10,IF(C14="Int",'Personal File'!$C$11,IF(C14="Wis",'Personal File'!$C$12,IF(C14="Cha",'Personal File'!$C$13))))))</f>
        <v>+2</v>
      </c>
      <c r="E14" s="177" t="str">
        <f t="shared" si="8"/>
        <v>Int (+2)</v>
      </c>
      <c r="F14" s="164" t="s">
        <v>62</v>
      </c>
      <c r="G14" s="164">
        <f t="shared" si="6"/>
        <v>2</v>
      </c>
      <c r="H14" s="120">
        <f t="shared" ca="1" si="2"/>
        <v>11</v>
      </c>
      <c r="I14" s="164">
        <f t="shared" ca="1" si="10"/>
        <v>13</v>
      </c>
      <c r="J14" s="165"/>
    </row>
    <row r="15" spans="1:10" s="138" customFormat="1" ht="16.8" x14ac:dyDescent="0.3">
      <c r="A15" s="139" t="s">
        <v>45</v>
      </c>
      <c r="B15" s="99">
        <v>0</v>
      </c>
      <c r="C15" s="140" t="s">
        <v>30</v>
      </c>
      <c r="D15" s="141" t="str">
        <f>IF(C15="Str",'Personal File'!$C$8,IF(C15="Dex",'Personal File'!$C$9,IF(C15="Con",'Personal File'!$C$10,IF(C15="Int",'Personal File'!$C$11,IF(C15="Wis",'Personal File'!$C$12,IF(C15="Cha",'Personal File'!$C$13))))))</f>
        <v>+4</v>
      </c>
      <c r="E15" s="142" t="str">
        <f t="shared" si="8"/>
        <v>Cha (+4)</v>
      </c>
      <c r="F15" s="143" t="s">
        <v>62</v>
      </c>
      <c r="G15" s="143">
        <f t="shared" si="6"/>
        <v>4</v>
      </c>
      <c r="H15" s="120">
        <f t="shared" ca="1" si="2"/>
        <v>3</v>
      </c>
      <c r="I15" s="143">
        <f t="shared" ca="1" si="10"/>
        <v>7</v>
      </c>
      <c r="J15" s="144"/>
    </row>
    <row r="16" spans="1:10" s="138" customFormat="1" ht="16.8" x14ac:dyDescent="0.3">
      <c r="A16" s="152" t="s">
        <v>46</v>
      </c>
      <c r="B16" s="99">
        <v>0</v>
      </c>
      <c r="C16" s="153" t="s">
        <v>34</v>
      </c>
      <c r="D16" s="154" t="str">
        <f>IF(C16="Str",'Personal File'!$C$8,IF(C16="Dex",'Personal File'!$C$9,IF(C16="Con",'Personal File'!$C$10,IF(C16="Int",'Personal File'!$C$11,IF(C16="Wis",'Personal File'!$C$12,IF(C16="Cha",'Personal File'!$C$13))))))</f>
        <v>+1</v>
      </c>
      <c r="E16" s="121" t="str">
        <f t="shared" si="8"/>
        <v>Dex (+1)</v>
      </c>
      <c r="F16" s="143" t="s">
        <v>62</v>
      </c>
      <c r="G16" s="143">
        <f t="shared" si="6"/>
        <v>1</v>
      </c>
      <c r="H16" s="120">
        <f t="shared" ca="1" si="2"/>
        <v>1</v>
      </c>
      <c r="I16" s="143">
        <f t="shared" ca="1" si="10"/>
        <v>2</v>
      </c>
      <c r="J16" s="144"/>
    </row>
    <row r="17" spans="1:10" s="138" customFormat="1" ht="16.8" x14ac:dyDescent="0.3">
      <c r="A17" s="155" t="s">
        <v>47</v>
      </c>
      <c r="B17" s="99">
        <v>0</v>
      </c>
      <c r="C17" s="156" t="s">
        <v>32</v>
      </c>
      <c r="D17" s="157" t="str">
        <f>IF(C17="Str",'Personal File'!$C$8,IF(C17="Dex",'Personal File'!$C$9,IF(C17="Con",'Personal File'!$C$10,IF(C17="Int",'Personal File'!$C$11,IF(C17="Wis",'Personal File'!$C$12,IF(C17="Cha",'Personal File'!$C$13))))))</f>
        <v>+2</v>
      </c>
      <c r="E17" s="158" t="str">
        <f t="shared" si="8"/>
        <v>Int (+2)</v>
      </c>
      <c r="F17" s="143" t="s">
        <v>62</v>
      </c>
      <c r="G17" s="143">
        <f t="shared" si="6"/>
        <v>2</v>
      </c>
      <c r="H17" s="120">
        <f t="shared" ca="1" si="2"/>
        <v>5</v>
      </c>
      <c r="I17" s="143">
        <f t="shared" ca="1" si="10"/>
        <v>7</v>
      </c>
      <c r="J17" s="144"/>
    </row>
    <row r="18" spans="1:10" s="138" customFormat="1" ht="16.8" x14ac:dyDescent="0.3">
      <c r="A18" s="139" t="s">
        <v>48</v>
      </c>
      <c r="B18" s="99">
        <v>0</v>
      </c>
      <c r="C18" s="140" t="s">
        <v>30</v>
      </c>
      <c r="D18" s="141" t="str">
        <f>IF(C18="Str",'Personal File'!$C$8,IF(C18="Dex",'Personal File'!$C$9,IF(C18="Con",'Personal File'!$C$10,IF(C18="Int",'Personal File'!$C$11,IF(C18="Wis",'Personal File'!$C$12,IF(C18="Cha",'Personal File'!$C$13))))))</f>
        <v>+4</v>
      </c>
      <c r="E18" s="142" t="str">
        <f t="shared" si="8"/>
        <v>Cha (+4)</v>
      </c>
      <c r="F18" s="143" t="s">
        <v>62</v>
      </c>
      <c r="G18" s="143">
        <f t="shared" si="6"/>
        <v>4</v>
      </c>
      <c r="H18" s="120">
        <f t="shared" ca="1" si="2"/>
        <v>2</v>
      </c>
      <c r="I18" s="143">
        <f t="shared" ca="1" si="10"/>
        <v>6</v>
      </c>
      <c r="J18" s="144"/>
    </row>
    <row r="19" spans="1:10" s="138" customFormat="1" ht="16.8" x14ac:dyDescent="0.3">
      <c r="A19" s="159" t="s">
        <v>18</v>
      </c>
      <c r="B19" s="160">
        <v>0</v>
      </c>
      <c r="C19" s="161" t="s">
        <v>30</v>
      </c>
      <c r="D19" s="162" t="str">
        <f>IF(C19="Str",'Personal File'!$C$8,IF(C19="Dex",'Personal File'!$C$9,IF(C19="Con",'Personal File'!$C$10,IF(C19="Int",'Personal File'!$C$11,IF(C19="Wis",'Personal File'!$C$12,IF(C19="Cha",'Personal File'!$C$13))))))</f>
        <v>+4</v>
      </c>
      <c r="E19" s="163" t="str">
        <f t="shared" si="8"/>
        <v>Cha (+4)</v>
      </c>
      <c r="F19" s="164" t="s">
        <v>62</v>
      </c>
      <c r="G19" s="164">
        <f t="shared" si="6"/>
        <v>4</v>
      </c>
      <c r="H19" s="120">
        <f t="shared" ca="1" si="2"/>
        <v>5</v>
      </c>
      <c r="I19" s="164">
        <f t="shared" ca="1" si="10"/>
        <v>9</v>
      </c>
      <c r="J19" s="165"/>
    </row>
    <row r="20" spans="1:10" s="138" customFormat="1" ht="16.8" x14ac:dyDescent="0.3">
      <c r="A20" s="166" t="s">
        <v>49</v>
      </c>
      <c r="B20" s="99">
        <v>0</v>
      </c>
      <c r="C20" s="167" t="s">
        <v>33</v>
      </c>
      <c r="D20" s="168">
        <f>IF(C20="Str",'Personal File'!$C$8,IF(C20="Dex",'Personal File'!$C$9,IF(C20="Con",'Personal File'!$C$10,IF(C20="Int",'Personal File'!$C$11,IF(C20="Wis",'Personal File'!$C$12,IF(C20="Cha",'Personal File'!$C$13))))))</f>
        <v>-1</v>
      </c>
      <c r="E20" s="169" t="str">
        <f t="shared" si="8"/>
        <v>Wis (-1)</v>
      </c>
      <c r="F20" s="143" t="s">
        <v>62</v>
      </c>
      <c r="G20" s="143">
        <f t="shared" si="6"/>
        <v>-1</v>
      </c>
      <c r="H20" s="120">
        <f t="shared" ca="1" si="2"/>
        <v>16</v>
      </c>
      <c r="I20" s="143">
        <f t="shared" ca="1" si="10"/>
        <v>15</v>
      </c>
      <c r="J20" s="144"/>
    </row>
    <row r="21" spans="1:10" s="138" customFormat="1" ht="16.8" x14ac:dyDescent="0.3">
      <c r="A21" s="152" t="s">
        <v>50</v>
      </c>
      <c r="B21" s="99">
        <v>0</v>
      </c>
      <c r="C21" s="153" t="s">
        <v>34</v>
      </c>
      <c r="D21" s="154" t="str">
        <f>IF(C21="Str",'Personal File'!$C$8,IF(C21="Dex",'Personal File'!$C$9,IF(C21="Con",'Personal File'!$C$10,IF(C21="Int",'Personal File'!$C$11,IF(C21="Wis",'Personal File'!$C$12,IF(C21="Cha",'Personal File'!$C$13))))))</f>
        <v>+1</v>
      </c>
      <c r="E21" s="121" t="str">
        <f t="shared" si="8"/>
        <v>Dex (+1)</v>
      </c>
      <c r="F21" s="143" t="s">
        <v>62</v>
      </c>
      <c r="G21" s="143">
        <f t="shared" si="6"/>
        <v>1</v>
      </c>
      <c r="H21" s="120">
        <f t="shared" ca="1" si="2"/>
        <v>4</v>
      </c>
      <c r="I21" s="143">
        <f t="shared" ca="1" si="10"/>
        <v>5</v>
      </c>
      <c r="J21" s="144"/>
    </row>
    <row r="22" spans="1:10" s="138" customFormat="1" ht="16.8" x14ac:dyDescent="0.3">
      <c r="A22" s="345" t="s">
        <v>51</v>
      </c>
      <c r="B22" s="131">
        <v>9</v>
      </c>
      <c r="C22" s="346" t="s">
        <v>30</v>
      </c>
      <c r="D22" s="347" t="str">
        <f>IF(C22="Str",'Personal File'!$C$8,IF(C22="Dex",'Personal File'!$C$9,IF(C22="Con",'Personal File'!$C$10,IF(C22="Int",'Personal File'!$C$11,IF(C22="Wis",'Personal File'!$C$12,IF(C22="Cha",'Personal File'!$C$13))))))</f>
        <v>+4</v>
      </c>
      <c r="E22" s="348" t="str">
        <f t="shared" si="8"/>
        <v>Cha (+4)</v>
      </c>
      <c r="F22" s="135" t="s">
        <v>62</v>
      </c>
      <c r="G22" s="135">
        <f t="shared" si="6"/>
        <v>13</v>
      </c>
      <c r="H22" s="120">
        <f t="shared" ca="1" si="2"/>
        <v>11</v>
      </c>
      <c r="I22" s="135">
        <f t="shared" ca="1" si="10"/>
        <v>24</v>
      </c>
      <c r="J22" s="136"/>
    </row>
    <row r="23" spans="1:10" s="138" customFormat="1" ht="16.8" x14ac:dyDescent="0.3">
      <c r="A23" s="170" t="s">
        <v>52</v>
      </c>
      <c r="B23" s="99">
        <v>0</v>
      </c>
      <c r="C23" s="171" t="s">
        <v>35</v>
      </c>
      <c r="D23" s="172" t="str">
        <f>IF(C23="Str",'Personal File'!$C$8,IF(C23="Dex",'Personal File'!$C$9,IF(C23="Con",'Personal File'!$C$10,IF(C23="Int",'Personal File'!$C$11,IF(C23="Wis",'Personal File'!$C$12,IF(C23="Cha",'Personal File'!$C$13))))))</f>
        <v>+0</v>
      </c>
      <c r="E23" s="173" t="str">
        <f t="shared" si="8"/>
        <v>Str (+0)</v>
      </c>
      <c r="F23" s="143" t="s">
        <v>62</v>
      </c>
      <c r="G23" s="143">
        <f t="shared" si="6"/>
        <v>0</v>
      </c>
      <c r="H23" s="120">
        <f t="shared" ca="1" si="2"/>
        <v>6</v>
      </c>
      <c r="I23" s="143">
        <f t="shared" ca="1" si="10"/>
        <v>6</v>
      </c>
      <c r="J23" s="144"/>
    </row>
    <row r="24" spans="1:10" s="138" customFormat="1" ht="16.8" x14ac:dyDescent="0.3">
      <c r="A24" s="130" t="s">
        <v>82</v>
      </c>
      <c r="B24" s="131">
        <v>5</v>
      </c>
      <c r="C24" s="132" t="s">
        <v>32</v>
      </c>
      <c r="D24" s="133" t="str">
        <f>IF(C24="Str",'Personal File'!$C$8,IF(C24="Dex",'Personal File'!$C$9,IF(C24="Con",'Personal File'!$C$10,IF(C24="Int",'Personal File'!$C$11,IF(C24="Wis",'Personal File'!$C$12,IF(C24="Cha",'Personal File'!$C$13))))))</f>
        <v>+2</v>
      </c>
      <c r="E24" s="134" t="str">
        <f t="shared" si="8"/>
        <v>Int (+2)</v>
      </c>
      <c r="F24" s="135" t="s">
        <v>62</v>
      </c>
      <c r="G24" s="135">
        <f t="shared" si="6"/>
        <v>7</v>
      </c>
      <c r="H24" s="120">
        <f t="shared" ca="1" si="2"/>
        <v>16</v>
      </c>
      <c r="I24" s="135">
        <f t="shared" ca="1" si="10"/>
        <v>23</v>
      </c>
      <c r="J24" s="136"/>
    </row>
    <row r="25" spans="1:10" s="138" customFormat="1" ht="16.8" x14ac:dyDescent="0.3">
      <c r="A25" s="174" t="s">
        <v>110</v>
      </c>
      <c r="B25" s="160">
        <v>0</v>
      </c>
      <c r="C25" s="175" t="s">
        <v>32</v>
      </c>
      <c r="D25" s="176" t="str">
        <f>IF(C25="Str",'Personal File'!$C$8,IF(C25="Dex",'Personal File'!$C$9,IF(C25="Con",'Personal File'!$C$10,IF(C25="Int",'Personal File'!$C$11,IF(C25="Wis",'Personal File'!$C$12,IF(C25="Cha",'Personal File'!$C$13))))))</f>
        <v>+2</v>
      </c>
      <c r="E25" s="177" t="str">
        <f t="shared" si="8"/>
        <v>Int (+2)</v>
      </c>
      <c r="F25" s="164" t="s">
        <v>62</v>
      </c>
      <c r="G25" s="164">
        <f t="shared" si="6"/>
        <v>2</v>
      </c>
      <c r="H25" s="120">
        <f t="shared" ca="1" si="2"/>
        <v>5</v>
      </c>
      <c r="I25" s="164">
        <f t="shared" ref="I25" ca="1" si="11">SUM(G25:H25)</f>
        <v>7</v>
      </c>
      <c r="J25" s="165"/>
    </row>
    <row r="26" spans="1:10" s="138" customFormat="1" ht="16.8" x14ac:dyDescent="0.3">
      <c r="A26" s="174" t="s">
        <v>99</v>
      </c>
      <c r="B26" s="160">
        <v>0</v>
      </c>
      <c r="C26" s="175" t="s">
        <v>32</v>
      </c>
      <c r="D26" s="176" t="str">
        <f>IF(C26="Str",'Personal File'!$C$8,IF(C26="Dex",'Personal File'!$C$9,IF(C26="Con",'Personal File'!$C$10,IF(C26="Int",'Personal File'!$C$11,IF(C26="Wis",'Personal File'!$C$12,IF(C26="Cha",'Personal File'!$C$13))))))</f>
        <v>+2</v>
      </c>
      <c r="E26" s="177" t="str">
        <f t="shared" ref="E26:E27" si="12">CONCATENATE(C26," (",D26,")")</f>
        <v>Int (+2)</v>
      </c>
      <c r="F26" s="164" t="s">
        <v>62</v>
      </c>
      <c r="G26" s="164">
        <f t="shared" si="6"/>
        <v>2</v>
      </c>
      <c r="H26" s="120">
        <f t="shared" ca="1" si="2"/>
        <v>2</v>
      </c>
      <c r="I26" s="164">
        <f t="shared" ref="I26" ca="1" si="13">SUM(G26:H26)</f>
        <v>4</v>
      </c>
      <c r="J26" s="165"/>
    </row>
    <row r="27" spans="1:10" s="138" customFormat="1" ht="16.8" x14ac:dyDescent="0.3">
      <c r="A27" s="130" t="s">
        <v>111</v>
      </c>
      <c r="B27" s="131">
        <v>5</v>
      </c>
      <c r="C27" s="132" t="s">
        <v>32</v>
      </c>
      <c r="D27" s="133" t="str">
        <f>IF(C27="Str",'Personal File'!$C$8,IF(C27="Dex",'Personal File'!$C$9,IF(C27="Con",'Personal File'!$C$10,IF(C27="Int",'Personal File'!$C$11,IF(C27="Wis",'Personal File'!$C$12,IF(C27="Cha",'Personal File'!$C$13))))))</f>
        <v>+2</v>
      </c>
      <c r="E27" s="134" t="str">
        <f t="shared" si="12"/>
        <v>Int (+2)</v>
      </c>
      <c r="F27" s="135" t="s">
        <v>62</v>
      </c>
      <c r="G27" s="135">
        <f t="shared" si="6"/>
        <v>7</v>
      </c>
      <c r="H27" s="120">
        <f t="shared" ca="1" si="2"/>
        <v>15</v>
      </c>
      <c r="I27" s="135">
        <f t="shared" ref="I27" ca="1" si="14">SUM(G27:H27)</f>
        <v>22</v>
      </c>
      <c r="J27" s="136"/>
    </row>
    <row r="28" spans="1:10" s="138" customFormat="1" ht="16.8" x14ac:dyDescent="0.3">
      <c r="A28" s="174" t="s">
        <v>90</v>
      </c>
      <c r="B28" s="160">
        <v>0</v>
      </c>
      <c r="C28" s="175" t="s">
        <v>32</v>
      </c>
      <c r="D28" s="176" t="str">
        <f>IF(C28="Str",'Personal File'!$C$8,IF(C28="Dex",'Personal File'!$C$9,IF(C28="Con",'Personal File'!$C$10,IF(C28="Int",'Personal File'!$C$11,IF(C28="Wis",'Personal File'!$C$12,IF(C28="Cha",'Personal File'!$C$13))))))</f>
        <v>+2</v>
      </c>
      <c r="E28" s="177" t="str">
        <f t="shared" ref="E28:E32" si="15">CONCATENATE(C28," (",D28,")")</f>
        <v>Int (+2)</v>
      </c>
      <c r="F28" s="164" t="s">
        <v>62</v>
      </c>
      <c r="G28" s="164">
        <f t="shared" si="6"/>
        <v>2</v>
      </c>
      <c r="H28" s="120">
        <f t="shared" ca="1" si="2"/>
        <v>1</v>
      </c>
      <c r="I28" s="164">
        <f t="shared" ca="1" si="10"/>
        <v>3</v>
      </c>
      <c r="J28" s="165"/>
    </row>
    <row r="29" spans="1:10" s="138" customFormat="1" ht="16.8" x14ac:dyDescent="0.3">
      <c r="A29" s="174" t="s">
        <v>119</v>
      </c>
      <c r="B29" s="160">
        <v>0</v>
      </c>
      <c r="C29" s="175" t="s">
        <v>32</v>
      </c>
      <c r="D29" s="176" t="str">
        <f>IF(C29="Str",'Personal File'!$C$8,IF(C29="Dex",'Personal File'!$C$9,IF(C29="Con",'Personal File'!$C$10,IF(C29="Int",'Personal File'!$C$11,IF(C29="Wis",'Personal File'!$C$12,IF(C29="Cha",'Personal File'!$C$13))))))</f>
        <v>+2</v>
      </c>
      <c r="E29" s="177" t="str">
        <f t="shared" ref="E29:E30" si="16">CONCATENATE(C29," (",D29,")")</f>
        <v>Int (+2)</v>
      </c>
      <c r="F29" s="164" t="s">
        <v>62</v>
      </c>
      <c r="G29" s="164">
        <f t="shared" si="6"/>
        <v>2</v>
      </c>
      <c r="H29" s="120">
        <f t="shared" ca="1" si="2"/>
        <v>6</v>
      </c>
      <c r="I29" s="164">
        <f t="shared" ref="I29:I30" ca="1" si="17">SUM(G29:H29)</f>
        <v>8</v>
      </c>
      <c r="J29" s="165"/>
    </row>
    <row r="30" spans="1:10" s="138" customFormat="1" ht="16.8" x14ac:dyDescent="0.3">
      <c r="A30" s="174" t="s">
        <v>118</v>
      </c>
      <c r="B30" s="160">
        <v>0</v>
      </c>
      <c r="C30" s="175" t="s">
        <v>32</v>
      </c>
      <c r="D30" s="176" t="str">
        <f>IF(C30="Str",'Personal File'!$C$8,IF(C30="Dex",'Personal File'!$C$9,IF(C30="Con",'Personal File'!$C$10,IF(C30="Int",'Personal File'!$C$11,IF(C30="Wis",'Personal File'!$C$12,IF(C30="Cha",'Personal File'!$C$13))))))</f>
        <v>+2</v>
      </c>
      <c r="E30" s="177" t="str">
        <f t="shared" si="16"/>
        <v>Int (+2)</v>
      </c>
      <c r="F30" s="164" t="s">
        <v>62</v>
      </c>
      <c r="G30" s="164">
        <f t="shared" si="6"/>
        <v>2</v>
      </c>
      <c r="H30" s="120">
        <f t="shared" ca="1" si="2"/>
        <v>13</v>
      </c>
      <c r="I30" s="164">
        <f t="shared" ca="1" si="17"/>
        <v>15</v>
      </c>
      <c r="J30" s="165"/>
    </row>
    <row r="31" spans="1:10" s="138" customFormat="1" ht="16.8" x14ac:dyDescent="0.3">
      <c r="A31" s="174" t="s">
        <v>91</v>
      </c>
      <c r="B31" s="160">
        <v>0</v>
      </c>
      <c r="C31" s="175" t="s">
        <v>32</v>
      </c>
      <c r="D31" s="176" t="str">
        <f>IF(C31="Str",'Personal File'!$C$8,IF(C31="Dex",'Personal File'!$C$9,IF(C31="Con",'Personal File'!$C$10,IF(C31="Int",'Personal File'!$C$11,IF(C31="Wis",'Personal File'!$C$12,IF(C31="Cha",'Personal File'!$C$13))))))</f>
        <v>+2</v>
      </c>
      <c r="E31" s="177" t="str">
        <f t="shared" ref="E31" si="18">CONCATENATE(C31," (",D31,")")</f>
        <v>Int (+2)</v>
      </c>
      <c r="F31" s="164" t="s">
        <v>62</v>
      </c>
      <c r="G31" s="164">
        <f t="shared" si="6"/>
        <v>2</v>
      </c>
      <c r="H31" s="120">
        <f t="shared" ca="1" si="2"/>
        <v>17</v>
      </c>
      <c r="I31" s="164">
        <f t="shared" ref="I31" ca="1" si="19">SUM(G31:H31)</f>
        <v>19</v>
      </c>
      <c r="J31" s="165"/>
    </row>
    <row r="32" spans="1:10" s="138" customFormat="1" ht="16.8" x14ac:dyDescent="0.3">
      <c r="A32" s="174" t="s">
        <v>98</v>
      </c>
      <c r="B32" s="160">
        <v>0</v>
      </c>
      <c r="C32" s="175" t="s">
        <v>32</v>
      </c>
      <c r="D32" s="176" t="str">
        <f>IF(C32="Str",'Personal File'!$C$8,IF(C32="Dex",'Personal File'!$C$9,IF(C32="Con",'Personal File'!$C$10,IF(C32="Int",'Personal File'!$C$11,IF(C32="Wis",'Personal File'!$C$12,IF(C32="Cha",'Personal File'!$C$13))))))</f>
        <v>+2</v>
      </c>
      <c r="E32" s="177" t="str">
        <f t="shared" si="15"/>
        <v>Int (+2)</v>
      </c>
      <c r="F32" s="164" t="s">
        <v>62</v>
      </c>
      <c r="G32" s="164">
        <f t="shared" si="6"/>
        <v>2</v>
      </c>
      <c r="H32" s="120">
        <f t="shared" ca="1" si="2"/>
        <v>9</v>
      </c>
      <c r="I32" s="164">
        <f t="shared" ca="1" si="10"/>
        <v>11</v>
      </c>
      <c r="J32" s="165"/>
    </row>
    <row r="33" spans="1:10" s="138" customFormat="1" ht="16.8" x14ac:dyDescent="0.3">
      <c r="A33" s="166" t="s">
        <v>53</v>
      </c>
      <c r="B33" s="99">
        <v>0</v>
      </c>
      <c r="C33" s="167" t="s">
        <v>33</v>
      </c>
      <c r="D33" s="168">
        <f>IF(C33="Str",'Personal File'!$C$8,IF(C33="Dex",'Personal File'!$C$9,IF(C33="Con",'Personal File'!$C$10,IF(C33="Int",'Personal File'!$C$11,IF(C33="Wis",'Personal File'!$C$12,IF(C33="Cha",'Personal File'!$C$13))))))</f>
        <v>-1</v>
      </c>
      <c r="E33" s="169" t="str">
        <f t="shared" si="8"/>
        <v>Wis (-1)</v>
      </c>
      <c r="F33" s="143" t="s">
        <v>62</v>
      </c>
      <c r="G33" s="143">
        <f t="shared" si="6"/>
        <v>-1</v>
      </c>
      <c r="H33" s="120">
        <f t="shared" ca="1" si="2"/>
        <v>8</v>
      </c>
      <c r="I33" s="143">
        <f t="shared" ca="1" si="10"/>
        <v>7</v>
      </c>
      <c r="J33" s="144"/>
    </row>
    <row r="34" spans="1:10" s="138" customFormat="1" ht="16.8" x14ac:dyDescent="0.3">
      <c r="A34" s="152" t="s">
        <v>19</v>
      </c>
      <c r="B34" s="99">
        <v>0</v>
      </c>
      <c r="C34" s="153" t="s">
        <v>34</v>
      </c>
      <c r="D34" s="154" t="str">
        <f>IF(C34="Str",'Personal File'!$C$8,IF(C34="Dex",'Personal File'!$C$9,IF(C34="Con",'Personal File'!$C$10,IF(C34="Int",'Personal File'!$C$11,IF(C34="Wis",'Personal File'!$C$12,IF(C34="Cha",'Personal File'!$C$13))))))</f>
        <v>+1</v>
      </c>
      <c r="E34" s="121" t="str">
        <f t="shared" si="8"/>
        <v>Dex (+1)</v>
      </c>
      <c r="F34" s="143" t="s">
        <v>62</v>
      </c>
      <c r="G34" s="143">
        <f t="shared" si="6"/>
        <v>1</v>
      </c>
      <c r="H34" s="120">
        <f t="shared" ca="1" si="2"/>
        <v>9</v>
      </c>
      <c r="I34" s="143">
        <f t="shared" ca="1" si="10"/>
        <v>10</v>
      </c>
      <c r="J34" s="144"/>
    </row>
    <row r="35" spans="1:10" s="138" customFormat="1" ht="16.8" x14ac:dyDescent="0.3">
      <c r="A35" s="279" t="s">
        <v>54</v>
      </c>
      <c r="B35" s="160">
        <v>0</v>
      </c>
      <c r="C35" s="280" t="s">
        <v>34</v>
      </c>
      <c r="D35" s="281" t="str">
        <f>IF(C35="Str",'Personal File'!$C$8,IF(C35="Dex",'Personal File'!$C$9,IF(C35="Con",'Personal File'!$C$10,IF(C35="Int",'Personal File'!$C$11,IF(C35="Wis",'Personal File'!$C$12,IF(C35="Cha",'Personal File'!$C$13))))))</f>
        <v>+1</v>
      </c>
      <c r="E35" s="282" t="str">
        <f t="shared" si="8"/>
        <v>Dex (+1)</v>
      </c>
      <c r="F35" s="164" t="s">
        <v>62</v>
      </c>
      <c r="G35" s="164">
        <f t="shared" si="6"/>
        <v>1</v>
      </c>
      <c r="H35" s="120">
        <f t="shared" ca="1" si="2"/>
        <v>3</v>
      </c>
      <c r="I35" s="164">
        <f t="shared" ca="1" si="10"/>
        <v>4</v>
      </c>
      <c r="J35" s="165"/>
    </row>
    <row r="36" spans="1:10" ht="16.8" x14ac:dyDescent="0.3">
      <c r="A36" s="139" t="s">
        <v>157</v>
      </c>
      <c r="B36" s="99">
        <v>0</v>
      </c>
      <c r="C36" s="140" t="s">
        <v>30</v>
      </c>
      <c r="D36" s="141" t="str">
        <f>IF(C36="Str",'Personal File'!$C$8,IF(C36="Dex",'Personal File'!$C$9,IF(C36="Con",'Personal File'!$C$10,IF(C36="Int",'Personal File'!$C$11,IF(C36="Wis",'Personal File'!$C$12,IF(C36="Cha",'Personal File'!$C$13))))))</f>
        <v>+4</v>
      </c>
      <c r="E36" s="142" t="str">
        <f t="shared" si="8"/>
        <v>Cha (+4)</v>
      </c>
      <c r="F36" s="143" t="s">
        <v>62</v>
      </c>
      <c r="G36" s="143">
        <f t="shared" si="6"/>
        <v>4</v>
      </c>
      <c r="H36" s="120">
        <f t="shared" ca="1" si="2"/>
        <v>10</v>
      </c>
      <c r="I36" s="143">
        <f t="shared" ca="1" si="10"/>
        <v>14</v>
      </c>
      <c r="J36" s="144"/>
    </row>
    <row r="37" spans="1:10" ht="16.8" x14ac:dyDescent="0.3">
      <c r="A37" s="345" t="s">
        <v>187</v>
      </c>
      <c r="B37" s="131">
        <v>6</v>
      </c>
      <c r="C37" s="358" t="s">
        <v>33</v>
      </c>
      <c r="D37" s="359">
        <f>IF(C37="Str",'Personal File'!$C$8,IF(C37="Dex",'Personal File'!$C$9,IF(C37="Con",'Personal File'!$C$10,IF(C37="Int",'Personal File'!$C$11,IF(C37="Wis",'Personal File'!$C$12,IF(C37="Cha",'Personal File'!$C$13))))))</f>
        <v>-1</v>
      </c>
      <c r="E37" s="360" t="str">
        <f t="shared" ref="E37" si="20">CONCATENATE(C37," (",D37,")")</f>
        <v>Wis (-1)</v>
      </c>
      <c r="F37" s="135" t="s">
        <v>62</v>
      </c>
      <c r="G37" s="361">
        <f t="shared" si="6"/>
        <v>5</v>
      </c>
      <c r="H37" s="120">
        <f t="shared" ca="1" si="2"/>
        <v>1</v>
      </c>
      <c r="I37" s="361">
        <f t="shared" ca="1" si="10"/>
        <v>6</v>
      </c>
      <c r="J37" s="136"/>
    </row>
    <row r="38" spans="1:10" ht="16.8" x14ac:dyDescent="0.3">
      <c r="A38" s="152" t="s">
        <v>20</v>
      </c>
      <c r="B38" s="99">
        <v>0</v>
      </c>
      <c r="C38" s="153" t="s">
        <v>34</v>
      </c>
      <c r="D38" s="154" t="str">
        <f>IF(C38="Str",'Personal File'!$C$8,IF(C38="Dex",'Personal File'!$C$9,IF(C38="Con",'Personal File'!$C$10,IF(C38="Int",'Personal File'!$C$11,IF(C38="Wis",'Personal File'!$C$12,IF(C38="Cha",'Personal File'!$C$13))))))</f>
        <v>+1</v>
      </c>
      <c r="E38" s="121" t="str">
        <f t="shared" si="8"/>
        <v>Dex (+1)</v>
      </c>
      <c r="F38" s="143" t="s">
        <v>62</v>
      </c>
      <c r="G38" s="143">
        <f t="shared" si="6"/>
        <v>1</v>
      </c>
      <c r="H38" s="120">
        <f t="shared" ca="1" si="2"/>
        <v>12</v>
      </c>
      <c r="I38" s="143">
        <f t="shared" ca="1" si="10"/>
        <v>13</v>
      </c>
      <c r="J38" s="144"/>
    </row>
    <row r="39" spans="1:10" ht="16.8" x14ac:dyDescent="0.3">
      <c r="A39" s="155" t="s">
        <v>21</v>
      </c>
      <c r="B39" s="99">
        <v>0</v>
      </c>
      <c r="C39" s="156" t="s">
        <v>32</v>
      </c>
      <c r="D39" s="157" t="str">
        <f>IF(C39="Str",'Personal File'!$C$8,IF(C39="Dex",'Personal File'!$C$9,IF(C39="Con",'Personal File'!$C$10,IF(C39="Int",'Personal File'!$C$11,IF(C39="Wis",'Personal File'!$C$12,IF(C39="Cha",'Personal File'!$C$13))))))</f>
        <v>+2</v>
      </c>
      <c r="E39" s="158" t="str">
        <f t="shared" si="8"/>
        <v>Int (+2)</v>
      </c>
      <c r="F39" s="143" t="s">
        <v>62</v>
      </c>
      <c r="G39" s="143">
        <f t="shared" si="6"/>
        <v>2</v>
      </c>
      <c r="H39" s="120">
        <f t="shared" ca="1" si="2"/>
        <v>19</v>
      </c>
      <c r="I39" s="143">
        <f t="shared" ca="1" si="10"/>
        <v>21</v>
      </c>
      <c r="J39" s="144"/>
    </row>
    <row r="40" spans="1:10" ht="16.8" x14ac:dyDescent="0.3">
      <c r="A40" s="166" t="s">
        <v>55</v>
      </c>
      <c r="B40" s="99">
        <v>0</v>
      </c>
      <c r="C40" s="167" t="s">
        <v>33</v>
      </c>
      <c r="D40" s="168">
        <f>IF(C40="Str",'Personal File'!$C$8,IF(C40="Dex",'Personal File'!$C$9,IF(C40="Con",'Personal File'!$C$10,IF(C40="Int",'Personal File'!$C$11,IF(C40="Wis",'Personal File'!$C$12,IF(C40="Cha",'Personal File'!$C$13))))))</f>
        <v>-1</v>
      </c>
      <c r="E40" s="169" t="str">
        <f t="shared" si="8"/>
        <v>Wis (-1)</v>
      </c>
      <c r="F40" s="143" t="s">
        <v>62</v>
      </c>
      <c r="G40" s="143">
        <f t="shared" si="6"/>
        <v>-1</v>
      </c>
      <c r="H40" s="120">
        <f t="shared" ca="1" si="2"/>
        <v>16</v>
      </c>
      <c r="I40" s="143">
        <f t="shared" ca="1" si="10"/>
        <v>15</v>
      </c>
      <c r="J40" s="144"/>
    </row>
    <row r="41" spans="1:10" ht="16.8" x14ac:dyDescent="0.3">
      <c r="A41" s="279" t="s">
        <v>83</v>
      </c>
      <c r="B41" s="160">
        <v>0</v>
      </c>
      <c r="C41" s="280" t="s">
        <v>34</v>
      </c>
      <c r="D41" s="281" t="str">
        <f>IF(C41="Str",'Personal File'!$C$8,IF(C41="Dex",'Personal File'!$C$9,IF(C41="Con",'Personal File'!$C$10,IF(C41="Int",'Personal File'!$C$11,IF(C41="Wis",'Personal File'!$C$12,IF(C41="Cha",'Personal File'!$C$13))))))</f>
        <v>+1</v>
      </c>
      <c r="E41" s="282" t="str">
        <f t="shared" si="8"/>
        <v>Dex (+1)</v>
      </c>
      <c r="F41" s="164" t="s">
        <v>62</v>
      </c>
      <c r="G41" s="164">
        <f t="shared" si="6"/>
        <v>1</v>
      </c>
      <c r="H41" s="120">
        <f t="shared" ca="1" si="2"/>
        <v>14</v>
      </c>
      <c r="I41" s="164">
        <f t="shared" ca="1" si="10"/>
        <v>15</v>
      </c>
      <c r="J41" s="165"/>
    </row>
    <row r="42" spans="1:10" ht="16.8" x14ac:dyDescent="0.3">
      <c r="A42" s="174" t="s">
        <v>188</v>
      </c>
      <c r="B42" s="160">
        <v>0</v>
      </c>
      <c r="C42" s="175" t="s">
        <v>32</v>
      </c>
      <c r="D42" s="176" t="str">
        <f>IF(C42="Str",'Personal File'!$C$8,IF(C42="Dex",'Personal File'!$C$9,IF(C42="Con",'Personal File'!$C$10,IF(C42="Int",'Personal File'!$C$11,IF(C42="Wis",'Personal File'!$C$12,IF(C42="Cha",'Personal File'!$C$13))))))</f>
        <v>+2</v>
      </c>
      <c r="E42" s="177" t="str">
        <f t="shared" si="8"/>
        <v>Int (+2)</v>
      </c>
      <c r="F42" s="164" t="s">
        <v>62</v>
      </c>
      <c r="G42" s="164">
        <f t="shared" si="6"/>
        <v>2</v>
      </c>
      <c r="H42" s="120">
        <f t="shared" ca="1" si="2"/>
        <v>10</v>
      </c>
      <c r="I42" s="164">
        <f t="shared" ca="1" si="10"/>
        <v>12</v>
      </c>
      <c r="J42" s="328"/>
    </row>
    <row r="43" spans="1:10" ht="16.8" x14ac:dyDescent="0.3">
      <c r="A43" s="130" t="s">
        <v>56</v>
      </c>
      <c r="B43" s="131">
        <v>5</v>
      </c>
      <c r="C43" s="132" t="s">
        <v>32</v>
      </c>
      <c r="D43" s="133" t="str">
        <f>IF(C43="Str",'Personal File'!$C$8,IF(C43="Dex",'Personal File'!$C$9,IF(C43="Con",'Personal File'!$C$10,IF(C43="Int",'Personal File'!$C$11,IF(C43="Wis",'Personal File'!$C$12,IF(C43="Cha",'Personal File'!$C$13))))))</f>
        <v>+2</v>
      </c>
      <c r="E43" s="134" t="str">
        <f t="shared" si="8"/>
        <v>Int (+2)</v>
      </c>
      <c r="F43" s="135" t="s">
        <v>62</v>
      </c>
      <c r="G43" s="135">
        <f t="shared" si="6"/>
        <v>7</v>
      </c>
      <c r="H43" s="120">
        <f t="shared" ca="1" si="2"/>
        <v>3</v>
      </c>
      <c r="I43" s="135">
        <f t="shared" ca="1" si="10"/>
        <v>10</v>
      </c>
      <c r="J43" s="178"/>
    </row>
    <row r="44" spans="1:10" ht="16.8" x14ac:dyDescent="0.3">
      <c r="A44" s="433" t="s">
        <v>57</v>
      </c>
      <c r="B44" s="131">
        <v>5</v>
      </c>
      <c r="C44" s="358" t="s">
        <v>33</v>
      </c>
      <c r="D44" s="359">
        <f>IF(C44="Str",'Personal File'!$C$8,IF(C44="Dex",'Personal File'!$C$9,IF(C44="Con",'Personal File'!$C$10,IF(C44="Int",'Personal File'!$C$11,IF(C44="Wis",'Personal File'!$C$12,IF(C44="Cha",'Personal File'!$C$13))))))</f>
        <v>-1</v>
      </c>
      <c r="E44" s="360" t="str">
        <f t="shared" si="8"/>
        <v>Wis (-1)</v>
      </c>
      <c r="F44" s="135" t="s">
        <v>62</v>
      </c>
      <c r="G44" s="135">
        <f t="shared" si="6"/>
        <v>4</v>
      </c>
      <c r="H44" s="120">
        <f t="shared" ca="1" si="2"/>
        <v>14</v>
      </c>
      <c r="I44" s="135">
        <f t="shared" ca="1" si="10"/>
        <v>18</v>
      </c>
      <c r="J44" s="136" t="s">
        <v>164</v>
      </c>
    </row>
    <row r="45" spans="1:10" ht="16.8" x14ac:dyDescent="0.3">
      <c r="A45" s="166" t="s">
        <v>84</v>
      </c>
      <c r="B45" s="99">
        <v>0</v>
      </c>
      <c r="C45" s="167" t="s">
        <v>33</v>
      </c>
      <c r="D45" s="168">
        <f>IF(C45="Str",'Personal File'!$C$8,IF(C45="Dex",'Personal File'!$C$9,IF(C45="Con",'Personal File'!$C$10,IF(C45="Int",'Personal File'!$C$11,IF(C45="Wis",'Personal File'!$C$12,IF(C45="Cha",'Personal File'!$C$13))))))</f>
        <v>-1</v>
      </c>
      <c r="E45" s="169" t="str">
        <f t="shared" si="8"/>
        <v>Wis (-1)</v>
      </c>
      <c r="F45" s="143" t="s">
        <v>62</v>
      </c>
      <c r="G45" s="143">
        <f t="shared" si="6"/>
        <v>-1</v>
      </c>
      <c r="H45" s="120">
        <f t="shared" ca="1" si="2"/>
        <v>2</v>
      </c>
      <c r="I45" s="143">
        <f t="shared" ca="1" si="10"/>
        <v>1</v>
      </c>
      <c r="J45" s="179"/>
    </row>
    <row r="46" spans="1:10" ht="16.8" x14ac:dyDescent="0.3">
      <c r="A46" s="170" t="s">
        <v>22</v>
      </c>
      <c r="B46" s="99">
        <v>0</v>
      </c>
      <c r="C46" s="171" t="s">
        <v>35</v>
      </c>
      <c r="D46" s="172" t="str">
        <f>IF(C46="Str",'Personal File'!$C$8,IF(C46="Dex",'Personal File'!$C$9,IF(C46="Con",'Personal File'!$C$10,IF(C46="Int",'Personal File'!$C$11,IF(C46="Wis",'Personal File'!$C$12,IF(C46="Cha",'Personal File'!$C$13))))))</f>
        <v>+0</v>
      </c>
      <c r="E46" s="173" t="str">
        <f t="shared" si="8"/>
        <v>Str (+0)</v>
      </c>
      <c r="F46" s="143" t="s">
        <v>62</v>
      </c>
      <c r="G46" s="143">
        <f t="shared" si="6"/>
        <v>0</v>
      </c>
      <c r="H46" s="120">
        <f t="shared" ca="1" si="2"/>
        <v>13</v>
      </c>
      <c r="I46" s="143">
        <f t="shared" ca="1" si="10"/>
        <v>13</v>
      </c>
      <c r="J46" s="144"/>
    </row>
    <row r="47" spans="1:10" ht="16.8" x14ac:dyDescent="0.3">
      <c r="A47" s="279" t="s">
        <v>58</v>
      </c>
      <c r="B47" s="160">
        <v>0</v>
      </c>
      <c r="C47" s="280" t="s">
        <v>34</v>
      </c>
      <c r="D47" s="281" t="str">
        <f>IF(C47="Str",'Personal File'!$C$8,IF(C47="Dex",'Personal File'!$C$9,IF(C47="Con",'Personal File'!$C$10,IF(C47="Int",'Personal File'!$C$11,IF(C47="Wis",'Personal File'!$C$12,IF(C47="Cha",'Personal File'!$C$13))))))</f>
        <v>+1</v>
      </c>
      <c r="E47" s="282" t="str">
        <f t="shared" si="8"/>
        <v>Dex (+1)</v>
      </c>
      <c r="F47" s="164" t="s">
        <v>62</v>
      </c>
      <c r="G47" s="164">
        <f t="shared" si="6"/>
        <v>1</v>
      </c>
      <c r="H47" s="120">
        <f t="shared" ca="1" si="2"/>
        <v>1</v>
      </c>
      <c r="I47" s="164">
        <f t="shared" ca="1" si="10"/>
        <v>2</v>
      </c>
      <c r="J47" s="165"/>
    </row>
    <row r="48" spans="1:10" ht="16.8" x14ac:dyDescent="0.3">
      <c r="A48" s="139" t="s">
        <v>59</v>
      </c>
      <c r="B48" s="99">
        <v>0</v>
      </c>
      <c r="C48" s="140" t="s">
        <v>30</v>
      </c>
      <c r="D48" s="141" t="str">
        <f>IF(C48="Str",'Personal File'!$C$8,IF(C48="Dex",'Personal File'!$C$9,IF(C48="Con",'Personal File'!$C$10,IF(C48="Int",'Personal File'!$C$11,IF(C48="Wis",'Personal File'!$C$12,IF(C48="Cha",'Personal File'!$C$13))))))</f>
        <v>+4</v>
      </c>
      <c r="E48" s="142" t="str">
        <f t="shared" si="8"/>
        <v>Cha (+4)</v>
      </c>
      <c r="F48" s="143" t="s">
        <v>62</v>
      </c>
      <c r="G48" s="143">
        <f t="shared" si="6"/>
        <v>4</v>
      </c>
      <c r="H48" s="120">
        <f t="shared" ca="1" si="2"/>
        <v>20</v>
      </c>
      <c r="I48" s="143">
        <f t="shared" ca="1" si="10"/>
        <v>24</v>
      </c>
      <c r="J48" s="144"/>
    </row>
    <row r="49" spans="1:10" ht="17.399999999999999" thickBot="1" x14ac:dyDescent="0.35">
      <c r="A49" s="180" t="s">
        <v>60</v>
      </c>
      <c r="B49" s="181">
        <v>0</v>
      </c>
      <c r="C49" s="182" t="s">
        <v>34</v>
      </c>
      <c r="D49" s="183" t="str">
        <f>IF(C49="Str",'Personal File'!$C$8,IF(C49="Dex",'Personal File'!$C$9,IF(C49="Con",'Personal File'!$C$10,IF(C49="Int",'Personal File'!$C$11,IF(C49="Wis",'Personal File'!$C$12,IF(C49="Cha",'Personal File'!$C$13))))))</f>
        <v>+1</v>
      </c>
      <c r="E49" s="184" t="str">
        <f t="shared" si="8"/>
        <v>Dex (+1)</v>
      </c>
      <c r="F49" s="185" t="s">
        <v>62</v>
      </c>
      <c r="G49" s="185">
        <f t="shared" si="6"/>
        <v>1</v>
      </c>
      <c r="H49" s="186">
        <f t="shared" ref="H49" ca="1" si="21">RANDBETWEEN(1,20)</f>
        <v>7</v>
      </c>
      <c r="I49" s="185">
        <f t="shared" ca="1" si="10"/>
        <v>8</v>
      </c>
      <c r="J49" s="187"/>
    </row>
    <row r="50" spans="1:10" ht="16.2" thickTop="1" x14ac:dyDescent="0.3">
      <c r="B50" s="189">
        <f>SUM(B6:B49)+B44</f>
        <v>50</v>
      </c>
      <c r="E50" s="189">
        <f>SUM(E51:E60)</f>
        <v>50</v>
      </c>
    </row>
    <row r="51" spans="1:10" x14ac:dyDescent="0.3">
      <c r="B51" s="189"/>
      <c r="E51" s="260">
        <f>4*(2+'Personal File'!$C$11)</f>
        <v>16</v>
      </c>
      <c r="F51" s="191" t="s">
        <v>155</v>
      </c>
    </row>
    <row r="52" spans="1:10" x14ac:dyDescent="0.3">
      <c r="E52" s="260">
        <f>(2+'Personal File'!$C$11)</f>
        <v>4</v>
      </c>
      <c r="F52" s="191" t="s">
        <v>181</v>
      </c>
    </row>
    <row r="53" spans="1:10" x14ac:dyDescent="0.3">
      <c r="E53" s="260">
        <f>(2+'Personal File'!$C$11)</f>
        <v>4</v>
      </c>
      <c r="F53" s="191" t="s">
        <v>182</v>
      </c>
    </row>
    <row r="54" spans="1:10" x14ac:dyDescent="0.3">
      <c r="E54" s="260">
        <f>(2+'Personal File'!$C$11)</f>
        <v>4</v>
      </c>
      <c r="F54" s="191" t="s">
        <v>183</v>
      </c>
    </row>
    <row r="55" spans="1:10" x14ac:dyDescent="0.3">
      <c r="E55" s="260">
        <f>(2+'Personal File'!$C$11)</f>
        <v>4</v>
      </c>
      <c r="F55" s="191" t="s">
        <v>184</v>
      </c>
    </row>
    <row r="56" spans="1:10" x14ac:dyDescent="0.3">
      <c r="E56" s="260">
        <f>(2+'Personal File'!$C$11)</f>
        <v>4</v>
      </c>
      <c r="F56" s="191" t="s">
        <v>185</v>
      </c>
    </row>
    <row r="57" spans="1:10" x14ac:dyDescent="0.3">
      <c r="E57" s="260">
        <f>(2+'Personal File'!$C$11)</f>
        <v>4</v>
      </c>
      <c r="F57" s="191" t="s">
        <v>186</v>
      </c>
    </row>
    <row r="58" spans="1:10" x14ac:dyDescent="0.3">
      <c r="E58" s="260">
        <f>3+'Personal File'!E3</f>
        <v>10</v>
      </c>
      <c r="F58" s="191" t="s">
        <v>177</v>
      </c>
    </row>
    <row r="59" spans="1:10" x14ac:dyDescent="0.3">
      <c r="E59" s="35"/>
      <c r="F59" s="191"/>
    </row>
    <row r="60" spans="1:10" x14ac:dyDescent="0.3">
      <c r="E60" s="35"/>
      <c r="F60" s="19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
  <sheetViews>
    <sheetView showGridLines="0" workbookViewId="0">
      <pane ySplit="2" topLeftCell="A18" activePane="bottomLeft" state="frozen"/>
      <selection pane="bottomLeft" activeCell="A39" sqref="A39"/>
    </sheetView>
  </sheetViews>
  <sheetFormatPr defaultColWidth="13" defaultRowHeight="15.6" x14ac:dyDescent="0.3"/>
  <cols>
    <col min="1" max="1" width="23.59765625" style="116" bestFit="1" customWidth="1"/>
    <col min="2" max="2" width="6.19921875" style="116" bestFit="1" customWidth="1"/>
    <col min="3" max="3" width="13.59765625" style="117" bestFit="1" customWidth="1"/>
    <col min="4" max="4" width="10.5" style="117" bestFit="1" customWidth="1"/>
    <col min="5" max="5" width="10.59765625" style="117" bestFit="1" customWidth="1"/>
    <col min="6" max="6" width="13" style="117" bestFit="1" customWidth="1"/>
    <col min="7" max="7" width="13.3984375" style="117" bestFit="1" customWidth="1"/>
    <col min="8" max="8" width="20.8984375" style="116" bestFit="1" customWidth="1"/>
    <col min="9" max="9" width="5.59765625" style="102" bestFit="1" customWidth="1"/>
    <col min="10" max="16384" width="13" style="103"/>
  </cols>
  <sheetData>
    <row r="1" spans="1:9" ht="23.4" thickBot="1" x14ac:dyDescent="0.35">
      <c r="A1" s="100" t="s">
        <v>159</v>
      </c>
      <c r="B1" s="101"/>
      <c r="C1" s="101"/>
      <c r="D1" s="101"/>
      <c r="E1" s="101"/>
      <c r="F1" s="101"/>
      <c r="G1" s="101"/>
      <c r="H1" s="101"/>
    </row>
    <row r="2" spans="1:9" s="107" customFormat="1" ht="31.8" thickBot="1" x14ac:dyDescent="0.35">
      <c r="A2" s="104" t="s">
        <v>93</v>
      </c>
      <c r="B2" s="105" t="s">
        <v>95</v>
      </c>
      <c r="C2" s="105" t="s">
        <v>126</v>
      </c>
      <c r="D2" s="106" t="s">
        <v>127</v>
      </c>
      <c r="E2" s="106" t="s">
        <v>128</v>
      </c>
      <c r="F2" s="105" t="s">
        <v>129</v>
      </c>
      <c r="G2" s="105" t="s">
        <v>130</v>
      </c>
      <c r="H2" s="349" t="s">
        <v>147</v>
      </c>
      <c r="I2" s="350" t="s">
        <v>148</v>
      </c>
    </row>
    <row r="3" spans="1:9" ht="16.8" x14ac:dyDescent="0.3">
      <c r="A3" s="108" t="s">
        <v>123</v>
      </c>
      <c r="B3" s="109">
        <v>0</v>
      </c>
      <c r="C3" s="11" t="s">
        <v>131</v>
      </c>
      <c r="D3" s="8" t="s">
        <v>132</v>
      </c>
      <c r="E3" s="262" t="s">
        <v>133</v>
      </c>
      <c r="F3" s="9" t="s">
        <v>134</v>
      </c>
      <c r="G3" s="9" t="s">
        <v>135</v>
      </c>
      <c r="H3" s="9" t="s">
        <v>146</v>
      </c>
      <c r="I3" s="12">
        <v>196</v>
      </c>
    </row>
    <row r="4" spans="1:9" ht="16.8" x14ac:dyDescent="0.3">
      <c r="A4" s="108" t="s">
        <v>193</v>
      </c>
      <c r="B4" s="109">
        <v>0</v>
      </c>
      <c r="C4" s="11" t="s">
        <v>245</v>
      </c>
      <c r="D4" s="8" t="s">
        <v>132</v>
      </c>
      <c r="E4" s="262" t="s">
        <v>133</v>
      </c>
      <c r="F4" s="9" t="s">
        <v>134</v>
      </c>
      <c r="G4" s="9" t="s">
        <v>135</v>
      </c>
      <c r="H4" s="9" t="s">
        <v>146</v>
      </c>
      <c r="I4" s="12">
        <v>223</v>
      </c>
    </row>
    <row r="5" spans="1:9" ht="16.8" x14ac:dyDescent="0.3">
      <c r="A5" s="108" t="s">
        <v>124</v>
      </c>
      <c r="B5" s="109">
        <v>0</v>
      </c>
      <c r="C5" s="13" t="s">
        <v>136</v>
      </c>
      <c r="D5" s="8" t="s">
        <v>141</v>
      </c>
      <c r="E5" s="262" t="s">
        <v>133</v>
      </c>
      <c r="F5" s="9" t="s">
        <v>137</v>
      </c>
      <c r="G5" s="9" t="s">
        <v>139</v>
      </c>
      <c r="H5" s="9" t="s">
        <v>146</v>
      </c>
      <c r="I5" s="12">
        <v>248</v>
      </c>
    </row>
    <row r="6" spans="1:9" ht="16.8" x14ac:dyDescent="0.3">
      <c r="A6" s="111" t="s">
        <v>140</v>
      </c>
      <c r="B6" s="112">
        <v>0</v>
      </c>
      <c r="C6" s="263" t="s">
        <v>131</v>
      </c>
      <c r="D6" s="10" t="s">
        <v>132</v>
      </c>
      <c r="E6" s="264" t="s">
        <v>133</v>
      </c>
      <c r="F6" s="114" t="s">
        <v>134</v>
      </c>
      <c r="G6" s="114" t="s">
        <v>135</v>
      </c>
      <c r="H6" s="114" t="s">
        <v>146</v>
      </c>
      <c r="I6" s="115">
        <v>269</v>
      </c>
    </row>
    <row r="7" spans="1:9" ht="16.8" x14ac:dyDescent="0.3">
      <c r="A7" s="108" t="s">
        <v>211</v>
      </c>
      <c r="B7" s="284">
        <v>1</v>
      </c>
      <c r="C7" s="11" t="s">
        <v>241</v>
      </c>
      <c r="D7" s="8" t="s">
        <v>242</v>
      </c>
      <c r="E7" s="262" t="s">
        <v>133</v>
      </c>
      <c r="F7" s="261" t="s">
        <v>137</v>
      </c>
      <c r="G7" s="9" t="s">
        <v>139</v>
      </c>
      <c r="H7" s="9" t="s">
        <v>243</v>
      </c>
      <c r="I7" s="12">
        <v>96</v>
      </c>
    </row>
    <row r="8" spans="1:9" ht="16.8" x14ac:dyDescent="0.3">
      <c r="A8" s="108" t="s">
        <v>212</v>
      </c>
      <c r="B8" s="284">
        <v>1</v>
      </c>
      <c r="C8" s="11" t="s">
        <v>136</v>
      </c>
      <c r="D8" s="8" t="s">
        <v>132</v>
      </c>
      <c r="E8" s="262" t="s">
        <v>133</v>
      </c>
      <c r="F8" s="261" t="s">
        <v>244</v>
      </c>
      <c r="G8" s="261" t="s">
        <v>135</v>
      </c>
      <c r="H8" s="9" t="s">
        <v>146</v>
      </c>
      <c r="I8" s="12">
        <v>207</v>
      </c>
    </row>
    <row r="9" spans="1:9" ht="16.8" x14ac:dyDescent="0.3">
      <c r="A9" s="108" t="s">
        <v>213</v>
      </c>
      <c r="B9" s="284">
        <v>1</v>
      </c>
      <c r="C9" s="13" t="s">
        <v>245</v>
      </c>
      <c r="D9" s="8" t="s">
        <v>132</v>
      </c>
      <c r="E9" s="262" t="s">
        <v>133</v>
      </c>
      <c r="F9" s="9" t="s">
        <v>137</v>
      </c>
      <c r="G9" s="9" t="s">
        <v>135</v>
      </c>
      <c r="H9" s="9" t="s">
        <v>146</v>
      </c>
      <c r="I9" s="237">
        <v>209</v>
      </c>
    </row>
    <row r="10" spans="1:9" ht="16.8" x14ac:dyDescent="0.3">
      <c r="A10" s="108" t="s">
        <v>214</v>
      </c>
      <c r="B10" s="284">
        <v>1</v>
      </c>
      <c r="C10" s="13" t="s">
        <v>241</v>
      </c>
      <c r="D10" s="8" t="s">
        <v>242</v>
      </c>
      <c r="E10" s="262" t="s">
        <v>133</v>
      </c>
      <c r="F10" s="110" t="s">
        <v>246</v>
      </c>
      <c r="G10" s="9" t="s">
        <v>247</v>
      </c>
      <c r="H10" s="9" t="s">
        <v>243</v>
      </c>
      <c r="I10" s="144">
        <v>107</v>
      </c>
    </row>
    <row r="11" spans="1:9" ht="16.8" x14ac:dyDescent="0.3">
      <c r="A11" s="108" t="s">
        <v>215</v>
      </c>
      <c r="B11" s="284">
        <v>1</v>
      </c>
      <c r="C11" s="11" t="s">
        <v>131</v>
      </c>
      <c r="D11" s="8" t="s">
        <v>242</v>
      </c>
      <c r="E11" s="262" t="s">
        <v>248</v>
      </c>
      <c r="F11" s="9" t="s">
        <v>138</v>
      </c>
      <c r="G11" s="261" t="s">
        <v>135</v>
      </c>
      <c r="H11" s="261" t="s">
        <v>243</v>
      </c>
      <c r="I11" s="12">
        <v>110</v>
      </c>
    </row>
    <row r="12" spans="1:9" ht="16.8" x14ac:dyDescent="0.3">
      <c r="A12" s="108" t="s">
        <v>166</v>
      </c>
      <c r="B12" s="284">
        <v>1</v>
      </c>
      <c r="C12" s="13" t="s">
        <v>136</v>
      </c>
      <c r="D12" s="8" t="s">
        <v>132</v>
      </c>
      <c r="E12" s="262" t="s">
        <v>133</v>
      </c>
      <c r="F12" s="9" t="s">
        <v>138</v>
      </c>
      <c r="G12" s="9" t="s">
        <v>135</v>
      </c>
      <c r="H12" s="9" t="s">
        <v>146</v>
      </c>
      <c r="I12" s="237">
        <v>251</v>
      </c>
    </row>
    <row r="13" spans="1:9" ht="16.8" x14ac:dyDescent="0.3">
      <c r="A13" s="108" t="s">
        <v>216</v>
      </c>
      <c r="B13" s="284">
        <v>1</v>
      </c>
      <c r="C13" s="13" t="s">
        <v>131</v>
      </c>
      <c r="D13" s="8" t="s">
        <v>132</v>
      </c>
      <c r="E13" s="9" t="s">
        <v>133</v>
      </c>
      <c r="F13" s="9" t="s">
        <v>134</v>
      </c>
      <c r="G13" s="261" t="s">
        <v>135</v>
      </c>
      <c r="H13" s="261" t="s">
        <v>243</v>
      </c>
      <c r="I13" s="12">
        <v>115</v>
      </c>
    </row>
    <row r="14" spans="1:9" ht="16.8" x14ac:dyDescent="0.3">
      <c r="A14" s="108" t="s">
        <v>217</v>
      </c>
      <c r="B14" s="284">
        <v>1</v>
      </c>
      <c r="C14" s="13" t="s">
        <v>131</v>
      </c>
      <c r="D14" s="8" t="s">
        <v>132</v>
      </c>
      <c r="E14" s="9" t="s">
        <v>133</v>
      </c>
      <c r="F14" s="9" t="s">
        <v>134</v>
      </c>
      <c r="G14" s="261" t="s">
        <v>135</v>
      </c>
      <c r="H14" s="261" t="s">
        <v>243</v>
      </c>
      <c r="I14" s="12">
        <v>115</v>
      </c>
    </row>
    <row r="15" spans="1:9" ht="16.8" x14ac:dyDescent="0.3">
      <c r="A15" s="108" t="s">
        <v>218</v>
      </c>
      <c r="B15" s="284">
        <v>1</v>
      </c>
      <c r="C15" s="13" t="s">
        <v>131</v>
      </c>
      <c r="D15" s="8" t="s">
        <v>132</v>
      </c>
      <c r="E15" s="9" t="s">
        <v>133</v>
      </c>
      <c r="F15" s="9" t="s">
        <v>134</v>
      </c>
      <c r="G15" s="261" t="s">
        <v>135</v>
      </c>
      <c r="H15" s="261" t="s">
        <v>243</v>
      </c>
      <c r="I15" s="12">
        <v>116</v>
      </c>
    </row>
    <row r="16" spans="1:9" ht="16.8" x14ac:dyDescent="0.3">
      <c r="A16" s="108" t="s">
        <v>219</v>
      </c>
      <c r="B16" s="284">
        <v>1</v>
      </c>
      <c r="C16" s="13" t="s">
        <v>131</v>
      </c>
      <c r="D16" s="8" t="s">
        <v>132</v>
      </c>
      <c r="E16" s="9" t="s">
        <v>133</v>
      </c>
      <c r="F16" s="9" t="s">
        <v>134</v>
      </c>
      <c r="G16" s="261" t="s">
        <v>135</v>
      </c>
      <c r="H16" s="261" t="s">
        <v>243</v>
      </c>
      <c r="I16" s="12">
        <v>116</v>
      </c>
    </row>
    <row r="17" spans="1:9" ht="16.8" x14ac:dyDescent="0.3">
      <c r="A17" s="108" t="s">
        <v>220</v>
      </c>
      <c r="B17" s="284">
        <v>1</v>
      </c>
      <c r="C17" s="13" t="s">
        <v>131</v>
      </c>
      <c r="D17" s="8" t="s">
        <v>132</v>
      </c>
      <c r="E17" s="9" t="s">
        <v>133</v>
      </c>
      <c r="F17" s="9" t="s">
        <v>134</v>
      </c>
      <c r="G17" s="261" t="s">
        <v>135</v>
      </c>
      <c r="H17" s="261" t="s">
        <v>243</v>
      </c>
      <c r="I17" s="12">
        <v>116</v>
      </c>
    </row>
    <row r="18" spans="1:9" ht="16.8" x14ac:dyDescent="0.3">
      <c r="A18" s="108" t="s">
        <v>221</v>
      </c>
      <c r="B18" s="284">
        <v>1</v>
      </c>
      <c r="C18" s="11" t="s">
        <v>136</v>
      </c>
      <c r="D18" s="8" t="s">
        <v>132</v>
      </c>
      <c r="E18" s="262" t="s">
        <v>133</v>
      </c>
      <c r="F18" s="261" t="s">
        <v>137</v>
      </c>
      <c r="G18" s="261" t="s">
        <v>135</v>
      </c>
      <c r="H18" s="9" t="s">
        <v>146</v>
      </c>
      <c r="I18" s="12">
        <v>279</v>
      </c>
    </row>
    <row r="19" spans="1:9" ht="16.8" x14ac:dyDescent="0.3">
      <c r="A19" s="439" t="s">
        <v>295</v>
      </c>
      <c r="B19" s="284">
        <v>1</v>
      </c>
      <c r="C19" s="13" t="s">
        <v>136</v>
      </c>
      <c r="D19" s="8" t="s">
        <v>132</v>
      </c>
      <c r="E19" s="9" t="s">
        <v>133</v>
      </c>
      <c r="F19" s="9" t="s">
        <v>261</v>
      </c>
      <c r="G19" s="9" t="s">
        <v>270</v>
      </c>
      <c r="H19" s="9" t="s">
        <v>296</v>
      </c>
      <c r="I19" s="12">
        <v>108</v>
      </c>
    </row>
    <row r="20" spans="1:9" ht="16.8" x14ac:dyDescent="0.3">
      <c r="A20" s="111" t="s">
        <v>222</v>
      </c>
      <c r="B20" s="285">
        <v>1</v>
      </c>
      <c r="C20" s="263" t="s">
        <v>249</v>
      </c>
      <c r="D20" s="10" t="s">
        <v>250</v>
      </c>
      <c r="E20" s="113" t="s">
        <v>133</v>
      </c>
      <c r="F20" s="114" t="s">
        <v>246</v>
      </c>
      <c r="G20" s="114" t="s">
        <v>251</v>
      </c>
      <c r="H20" s="114" t="s">
        <v>146</v>
      </c>
      <c r="I20" s="115">
        <v>296</v>
      </c>
    </row>
    <row r="21" spans="1:9" ht="16.8" x14ac:dyDescent="0.3">
      <c r="A21" s="108" t="s">
        <v>223</v>
      </c>
      <c r="B21" s="238">
        <v>2</v>
      </c>
      <c r="C21" s="11" t="s">
        <v>131</v>
      </c>
      <c r="D21" s="8" t="s">
        <v>252</v>
      </c>
      <c r="E21" s="262" t="s">
        <v>253</v>
      </c>
      <c r="F21" s="261" t="s">
        <v>137</v>
      </c>
      <c r="G21" s="261" t="s">
        <v>254</v>
      </c>
      <c r="H21" s="261" t="s">
        <v>243</v>
      </c>
      <c r="I21" s="12">
        <v>99</v>
      </c>
    </row>
    <row r="22" spans="1:9" ht="16.8" x14ac:dyDescent="0.3">
      <c r="A22" s="108" t="s">
        <v>224</v>
      </c>
      <c r="B22" s="238">
        <v>2</v>
      </c>
      <c r="C22" s="13" t="s">
        <v>255</v>
      </c>
      <c r="D22" s="8" t="s">
        <v>242</v>
      </c>
      <c r="E22" s="262" t="s">
        <v>133</v>
      </c>
      <c r="F22" s="9" t="s">
        <v>137</v>
      </c>
      <c r="G22" s="9" t="s">
        <v>256</v>
      </c>
      <c r="H22" s="9" t="s">
        <v>146</v>
      </c>
      <c r="I22" s="12">
        <v>213</v>
      </c>
    </row>
    <row r="23" spans="1:9" ht="16.8" x14ac:dyDescent="0.3">
      <c r="A23" s="108" t="s">
        <v>225</v>
      </c>
      <c r="B23" s="238">
        <v>2</v>
      </c>
      <c r="C23" s="13" t="s">
        <v>257</v>
      </c>
      <c r="D23" s="7" t="s">
        <v>242</v>
      </c>
      <c r="E23" s="9" t="s">
        <v>258</v>
      </c>
      <c r="F23" s="9" t="s">
        <v>137</v>
      </c>
      <c r="G23" s="9" t="s">
        <v>259</v>
      </c>
      <c r="H23" s="9" t="s">
        <v>146</v>
      </c>
      <c r="I23" s="144">
        <v>231</v>
      </c>
    </row>
    <row r="24" spans="1:9" ht="16.8" x14ac:dyDescent="0.3">
      <c r="A24" s="108" t="s">
        <v>226</v>
      </c>
      <c r="B24" s="238">
        <v>2</v>
      </c>
      <c r="C24" s="13" t="s">
        <v>136</v>
      </c>
      <c r="D24" s="8" t="s">
        <v>242</v>
      </c>
      <c r="E24" s="262" t="s">
        <v>133</v>
      </c>
      <c r="F24" s="110" t="s">
        <v>260</v>
      </c>
      <c r="G24" s="9" t="s">
        <v>135</v>
      </c>
      <c r="H24" s="9" t="s">
        <v>243</v>
      </c>
      <c r="I24" s="144">
        <v>107</v>
      </c>
    </row>
    <row r="25" spans="1:9" ht="16.8" x14ac:dyDescent="0.3">
      <c r="A25" s="108" t="s">
        <v>227</v>
      </c>
      <c r="B25" s="238">
        <v>2</v>
      </c>
      <c r="C25" s="13" t="s">
        <v>131</v>
      </c>
      <c r="D25" s="8" t="s">
        <v>242</v>
      </c>
      <c r="E25" s="262" t="s">
        <v>133</v>
      </c>
      <c r="F25" s="9" t="s">
        <v>261</v>
      </c>
      <c r="G25" s="9" t="s">
        <v>135</v>
      </c>
      <c r="H25" s="9" t="s">
        <v>262</v>
      </c>
      <c r="I25" s="12">
        <v>112</v>
      </c>
    </row>
    <row r="26" spans="1:9" ht="16.8" x14ac:dyDescent="0.3">
      <c r="A26" s="108" t="s">
        <v>228</v>
      </c>
      <c r="B26" s="238">
        <v>2</v>
      </c>
      <c r="C26" s="13" t="s">
        <v>131</v>
      </c>
      <c r="D26" s="8" t="s">
        <v>263</v>
      </c>
      <c r="E26" s="262" t="s">
        <v>133</v>
      </c>
      <c r="F26" s="9" t="s">
        <v>261</v>
      </c>
      <c r="G26" s="9" t="s">
        <v>251</v>
      </c>
      <c r="H26" s="9" t="s">
        <v>146</v>
      </c>
      <c r="I26" s="12">
        <v>253</v>
      </c>
    </row>
    <row r="27" spans="1:9" ht="16.8" x14ac:dyDescent="0.3">
      <c r="A27" s="108" t="s">
        <v>229</v>
      </c>
      <c r="B27" s="238">
        <v>2</v>
      </c>
      <c r="C27" s="13" t="s">
        <v>241</v>
      </c>
      <c r="D27" s="8" t="s">
        <v>242</v>
      </c>
      <c r="E27" s="262" t="s">
        <v>133</v>
      </c>
      <c r="F27" s="9" t="s">
        <v>261</v>
      </c>
      <c r="G27" s="9" t="s">
        <v>271</v>
      </c>
      <c r="H27" s="9" t="s">
        <v>146</v>
      </c>
      <c r="I27" s="12">
        <v>267</v>
      </c>
    </row>
    <row r="28" spans="1:9" ht="16.8" x14ac:dyDescent="0.3">
      <c r="A28" s="108" t="s">
        <v>167</v>
      </c>
      <c r="B28" s="238">
        <v>2</v>
      </c>
      <c r="C28" s="13" t="s">
        <v>136</v>
      </c>
      <c r="D28" s="8" t="s">
        <v>132</v>
      </c>
      <c r="E28" s="262" t="s">
        <v>133</v>
      </c>
      <c r="F28" s="9" t="s">
        <v>134</v>
      </c>
      <c r="G28" s="9" t="s">
        <v>135</v>
      </c>
      <c r="H28" s="9" t="s">
        <v>146</v>
      </c>
      <c r="I28" s="12">
        <v>274</v>
      </c>
    </row>
    <row r="29" spans="1:9" ht="16.8" x14ac:dyDescent="0.3">
      <c r="A29" s="108" t="s">
        <v>230</v>
      </c>
      <c r="B29" s="238">
        <v>2</v>
      </c>
      <c r="C29" s="13" t="s">
        <v>136</v>
      </c>
      <c r="D29" s="8" t="s">
        <v>264</v>
      </c>
      <c r="E29" s="262" t="s">
        <v>133</v>
      </c>
      <c r="F29" s="9" t="s">
        <v>134</v>
      </c>
      <c r="G29" s="9" t="s">
        <v>135</v>
      </c>
      <c r="H29" s="9" t="s">
        <v>146</v>
      </c>
      <c r="I29" s="12">
        <v>278</v>
      </c>
    </row>
    <row r="30" spans="1:9" ht="16.8" x14ac:dyDescent="0.3">
      <c r="A30" s="111" t="s">
        <v>231</v>
      </c>
      <c r="B30" s="245">
        <v>2</v>
      </c>
      <c r="C30" s="263" t="s">
        <v>241</v>
      </c>
      <c r="D30" s="10" t="s">
        <v>265</v>
      </c>
      <c r="E30" s="264" t="s">
        <v>133</v>
      </c>
      <c r="F30" s="114" t="s">
        <v>266</v>
      </c>
      <c r="G30" s="114" t="s">
        <v>135</v>
      </c>
      <c r="H30" s="114" t="s">
        <v>243</v>
      </c>
      <c r="I30" s="115">
        <v>129</v>
      </c>
    </row>
    <row r="31" spans="1:9" ht="16.8" x14ac:dyDescent="0.3">
      <c r="A31" s="108" t="s">
        <v>232</v>
      </c>
      <c r="B31" s="265">
        <v>3</v>
      </c>
      <c r="C31" s="13" t="s">
        <v>136</v>
      </c>
      <c r="D31" s="7" t="s">
        <v>264</v>
      </c>
      <c r="E31" s="262" t="s">
        <v>133</v>
      </c>
      <c r="F31" s="9" t="s">
        <v>246</v>
      </c>
      <c r="G31" s="9" t="s">
        <v>267</v>
      </c>
      <c r="H31" s="9" t="s">
        <v>146</v>
      </c>
      <c r="I31" s="12">
        <v>230</v>
      </c>
    </row>
    <row r="32" spans="1:9" ht="16.8" x14ac:dyDescent="0.3">
      <c r="A32" s="108" t="s">
        <v>233</v>
      </c>
      <c r="B32" s="265">
        <v>3</v>
      </c>
      <c r="C32" s="13" t="s">
        <v>136</v>
      </c>
      <c r="D32" s="8" t="s">
        <v>242</v>
      </c>
      <c r="E32" s="262" t="s">
        <v>133</v>
      </c>
      <c r="F32" s="9" t="s">
        <v>261</v>
      </c>
      <c r="G32" s="9" t="s">
        <v>135</v>
      </c>
      <c r="H32" s="9" t="s">
        <v>146</v>
      </c>
      <c r="I32" s="237">
        <v>231</v>
      </c>
    </row>
    <row r="33" spans="1:9" ht="16.8" x14ac:dyDescent="0.3">
      <c r="A33" s="108" t="s">
        <v>234</v>
      </c>
      <c r="B33" s="265">
        <v>3</v>
      </c>
      <c r="C33" s="13" t="s">
        <v>241</v>
      </c>
      <c r="D33" s="8" t="s">
        <v>242</v>
      </c>
      <c r="E33" s="262" t="s">
        <v>133</v>
      </c>
      <c r="F33" s="9" t="s">
        <v>134</v>
      </c>
      <c r="G33" s="9" t="s">
        <v>139</v>
      </c>
      <c r="H33" s="9" t="s">
        <v>146</v>
      </c>
      <c r="I33" s="237">
        <v>231</v>
      </c>
    </row>
    <row r="34" spans="1:9" ht="16.8" x14ac:dyDescent="0.3">
      <c r="A34" s="108" t="s">
        <v>235</v>
      </c>
      <c r="B34" s="265">
        <v>3</v>
      </c>
      <c r="C34" s="13" t="s">
        <v>136</v>
      </c>
      <c r="D34" s="7" t="s">
        <v>132</v>
      </c>
      <c r="E34" s="262" t="s">
        <v>133</v>
      </c>
      <c r="F34" s="9" t="s">
        <v>266</v>
      </c>
      <c r="G34" s="9" t="s">
        <v>254</v>
      </c>
      <c r="H34" s="9" t="s">
        <v>146</v>
      </c>
      <c r="I34" s="12">
        <v>238</v>
      </c>
    </row>
    <row r="35" spans="1:9" ht="16.8" x14ac:dyDescent="0.3">
      <c r="A35" s="108" t="s">
        <v>236</v>
      </c>
      <c r="B35" s="265">
        <v>3</v>
      </c>
      <c r="C35" s="13" t="s">
        <v>136</v>
      </c>
      <c r="D35" s="7" t="s">
        <v>264</v>
      </c>
      <c r="E35" s="9" t="s">
        <v>133</v>
      </c>
      <c r="F35" s="110" t="s">
        <v>261</v>
      </c>
      <c r="G35" s="9" t="s">
        <v>268</v>
      </c>
      <c r="H35" s="9" t="s">
        <v>146</v>
      </c>
      <c r="I35" s="144">
        <v>243</v>
      </c>
    </row>
    <row r="36" spans="1:9" ht="16.8" x14ac:dyDescent="0.3">
      <c r="A36" s="108" t="s">
        <v>237</v>
      </c>
      <c r="B36" s="265">
        <v>3</v>
      </c>
      <c r="C36" s="13" t="s">
        <v>136</v>
      </c>
      <c r="D36" s="8" t="s">
        <v>242</v>
      </c>
      <c r="E36" s="262" t="s">
        <v>133</v>
      </c>
      <c r="F36" s="9" t="s">
        <v>269</v>
      </c>
      <c r="G36" s="9" t="s">
        <v>135</v>
      </c>
      <c r="H36" s="9" t="s">
        <v>146</v>
      </c>
      <c r="I36" s="12">
        <v>248</v>
      </c>
    </row>
    <row r="37" spans="1:9" ht="16.8" x14ac:dyDescent="0.3">
      <c r="A37" s="108" t="s">
        <v>238</v>
      </c>
      <c r="B37" s="265">
        <v>3</v>
      </c>
      <c r="C37" s="13" t="s">
        <v>131</v>
      </c>
      <c r="D37" s="8" t="s">
        <v>242</v>
      </c>
      <c r="E37" s="262" t="s">
        <v>133</v>
      </c>
      <c r="F37" s="110" t="s">
        <v>246</v>
      </c>
      <c r="G37" s="9" t="s">
        <v>270</v>
      </c>
      <c r="H37" s="9" t="s">
        <v>243</v>
      </c>
      <c r="I37" s="144">
        <v>121</v>
      </c>
    </row>
    <row r="38" spans="1:9" ht="16.8" x14ac:dyDescent="0.3">
      <c r="A38" s="108" t="s">
        <v>239</v>
      </c>
      <c r="B38" s="265">
        <v>3</v>
      </c>
      <c r="C38" s="13" t="s">
        <v>131</v>
      </c>
      <c r="D38" s="8" t="s">
        <v>264</v>
      </c>
      <c r="E38" s="262" t="s">
        <v>133</v>
      </c>
      <c r="F38" s="9" t="s">
        <v>261</v>
      </c>
      <c r="G38" s="9" t="s">
        <v>267</v>
      </c>
      <c r="H38" s="9" t="s">
        <v>146</v>
      </c>
      <c r="I38" s="12">
        <v>280</v>
      </c>
    </row>
    <row r="39" spans="1:9" ht="16.8" x14ac:dyDescent="0.3">
      <c r="A39" s="111" t="s">
        <v>240</v>
      </c>
      <c r="B39" s="288">
        <v>3</v>
      </c>
      <c r="C39" s="263" t="s">
        <v>131</v>
      </c>
      <c r="D39" s="10" t="s">
        <v>242</v>
      </c>
      <c r="E39" s="264" t="s">
        <v>133</v>
      </c>
      <c r="F39" s="114" t="s">
        <v>138</v>
      </c>
      <c r="G39" s="114" t="s">
        <v>267</v>
      </c>
      <c r="H39" s="114" t="s">
        <v>146</v>
      </c>
      <c r="I39" s="444">
        <v>284</v>
      </c>
    </row>
    <row r="40" spans="1:9" ht="16.8" x14ac:dyDescent="0.3">
      <c r="A40" s="393"/>
      <c r="B40" s="286">
        <v>4</v>
      </c>
      <c r="C40" s="395"/>
      <c r="D40" s="396"/>
      <c r="E40" s="397"/>
      <c r="F40" s="398"/>
      <c r="G40" s="399"/>
      <c r="H40" s="399"/>
      <c r="I40" s="400"/>
    </row>
    <row r="41" spans="1:9" ht="16.8" x14ac:dyDescent="0.3">
      <c r="A41" s="393"/>
      <c r="B41" s="286">
        <v>4</v>
      </c>
      <c r="C41" s="395"/>
      <c r="D41" s="396"/>
      <c r="E41" s="397"/>
      <c r="F41" s="399"/>
      <c r="G41" s="399"/>
      <c r="H41" s="399"/>
      <c r="I41" s="401"/>
    </row>
    <row r="42" spans="1:9" ht="16.8" x14ac:dyDescent="0.3">
      <c r="A42" s="393"/>
      <c r="B42" s="286">
        <v>4</v>
      </c>
      <c r="C42" s="395"/>
      <c r="D42" s="396"/>
      <c r="E42" s="397"/>
      <c r="F42" s="399"/>
      <c r="G42" s="399"/>
      <c r="H42" s="399"/>
      <c r="I42" s="401"/>
    </row>
    <row r="43" spans="1:9" ht="16.8" x14ac:dyDescent="0.3">
      <c r="A43" s="393"/>
      <c r="B43" s="286">
        <v>4</v>
      </c>
      <c r="C43" s="395"/>
      <c r="D43" s="396"/>
      <c r="E43" s="397"/>
      <c r="F43" s="399"/>
      <c r="G43" s="399"/>
      <c r="H43" s="399"/>
      <c r="I43" s="401"/>
    </row>
    <row r="44" spans="1:9" ht="16.8" x14ac:dyDescent="0.3">
      <c r="A44" s="393"/>
      <c r="B44" s="286">
        <v>4</v>
      </c>
      <c r="C44" s="395"/>
      <c r="D44" s="396"/>
      <c r="E44" s="397"/>
      <c r="F44" s="399"/>
      <c r="G44" s="399"/>
      <c r="H44" s="399"/>
      <c r="I44" s="401"/>
    </row>
    <row r="45" spans="1:9" ht="17.399999999999999" thickBot="1" x14ac:dyDescent="0.35">
      <c r="A45" s="394"/>
      <c r="B45" s="287">
        <v>4</v>
      </c>
      <c r="C45" s="402"/>
      <c r="D45" s="403"/>
      <c r="E45" s="404"/>
      <c r="F45" s="405"/>
      <c r="G45" s="405"/>
      <c r="H45" s="405"/>
      <c r="I45" s="406"/>
    </row>
    <row r="46" spans="1:9" ht="16.2" thickTop="1" x14ac:dyDescent="0.3">
      <c r="C46" s="116"/>
      <c r="D46" s="116"/>
      <c r="E46" s="116"/>
      <c r="F46" s="116"/>
      <c r="G46" s="116"/>
      <c r="I46" s="116"/>
    </row>
    <row r="47" spans="1:9" x14ac:dyDescent="0.3">
      <c r="A47" s="440" t="s">
        <v>289</v>
      </c>
    </row>
  </sheetData>
  <sortState xmlns:xlrd2="http://schemas.microsoft.com/office/spreadsheetml/2017/richdata2" ref="A3:I45">
    <sortCondition ref="B3:B45"/>
    <sortCondition ref="A3:A45"/>
  </sortState>
  <conditionalFormatting sqref="B45">
    <cfRule type="cellIs" dxfId="14" priority="1" operator="equal">
      <formula>9</formula>
    </cfRule>
    <cfRule type="cellIs" dxfId="13" priority="2" operator="equal">
      <formula>8</formula>
    </cfRule>
    <cfRule type="cellIs" dxfId="12" priority="3" operator="equal">
      <formula>7</formula>
    </cfRule>
    <cfRule type="cellIs" dxfId="11" priority="4" operator="equal">
      <formula>6</formula>
    </cfRule>
    <cfRule type="cellIs" dxfId="10" priority="5" operator="equal">
      <formula>5</formula>
    </cfRule>
    <cfRule type="cellIs" dxfId="9" priority="6" operator="equal">
      <formula>4</formula>
    </cfRule>
    <cfRule type="cellIs" dxfId="8" priority="7" operator="equal">
      <formula>3</formula>
    </cfRule>
    <cfRule type="cellIs" dxfId="7" priority="8" operator="equal">
      <formula>2</formula>
    </cfRule>
    <cfRule type="cellIs" dxfId="6" priority="9" operator="equal">
      <formula>1</formula>
    </cfRule>
    <cfRule type="containsBlanks" dxfId="5" priority="10">
      <formula>LEN(TRIM(B45))=0</formula>
    </cfRule>
    <cfRule type="cellIs" dxfId="4"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showGridLines="0" workbookViewId="0"/>
  </sheetViews>
  <sheetFormatPr defaultColWidth="10.59765625" defaultRowHeight="15.6" x14ac:dyDescent="0.3"/>
  <cols>
    <col min="1" max="1" width="9.8984375" style="292" bestFit="1" customWidth="1"/>
    <col min="2" max="2" width="3.09765625" style="292" bestFit="1" customWidth="1"/>
    <col min="3" max="3" width="5.69921875" style="292" bestFit="1" customWidth="1"/>
    <col min="4" max="4" width="3.69921875" style="292" bestFit="1" customWidth="1"/>
    <col min="5" max="5" width="5.796875" style="292" bestFit="1" customWidth="1"/>
    <col min="6" max="6" width="1.8984375" style="292" customWidth="1"/>
    <col min="7" max="7" width="15.796875" style="292" bestFit="1" customWidth="1"/>
    <col min="8" max="8" width="3.59765625" style="292" bestFit="1" customWidth="1"/>
    <col min="9" max="9" width="3.3984375" style="292" bestFit="1" customWidth="1"/>
    <col min="10" max="10" width="3.8984375" style="292" bestFit="1" customWidth="1"/>
    <col min="11" max="11" width="3.69921875" style="292" bestFit="1" customWidth="1"/>
    <col min="12" max="15" width="3.59765625" style="292" bestFit="1" customWidth="1"/>
    <col min="16" max="16384" width="10.59765625" style="292"/>
  </cols>
  <sheetData>
    <row r="1" spans="1:15" ht="19.2" thickTop="1" thickBot="1" x14ac:dyDescent="0.4">
      <c r="A1" s="331" t="s">
        <v>159</v>
      </c>
      <c r="B1" s="289"/>
      <c r="C1" s="290"/>
      <c r="D1" s="290"/>
      <c r="E1" s="291"/>
      <c r="H1" s="293" t="s">
        <v>160</v>
      </c>
      <c r="I1" s="294"/>
      <c r="J1" s="295"/>
      <c r="K1" s="295"/>
      <c r="L1" s="295"/>
      <c r="M1" s="295"/>
      <c r="N1" s="295"/>
      <c r="O1" s="296"/>
    </row>
    <row r="2" spans="1:15" ht="16.8" thickTop="1" thickBot="1" x14ac:dyDescent="0.35">
      <c r="A2" s="365" t="s">
        <v>165</v>
      </c>
      <c r="B2" s="366" t="s">
        <v>168</v>
      </c>
      <c r="C2" s="366" t="s">
        <v>95</v>
      </c>
      <c r="D2" s="366" t="s">
        <v>96</v>
      </c>
      <c r="E2" s="367" t="s">
        <v>97</v>
      </c>
      <c r="H2" s="297" t="s">
        <v>108</v>
      </c>
      <c r="I2" s="298" t="s">
        <v>101</v>
      </c>
      <c r="J2" s="298" t="s">
        <v>102</v>
      </c>
      <c r="K2" s="298" t="s">
        <v>103</v>
      </c>
      <c r="L2" s="298" t="s">
        <v>104</v>
      </c>
      <c r="M2" s="298" t="s">
        <v>105</v>
      </c>
      <c r="N2" s="298" t="s">
        <v>106</v>
      </c>
      <c r="O2" s="299" t="s">
        <v>107</v>
      </c>
    </row>
    <row r="3" spans="1:15" ht="16.2" thickTop="1" x14ac:dyDescent="0.3">
      <c r="A3" s="300">
        <f>$H$5</f>
        <v>6</v>
      </c>
      <c r="B3" s="301">
        <v>0</v>
      </c>
      <c r="C3" s="301">
        <v>0</v>
      </c>
      <c r="D3" s="436">
        <f>10+B3+C3+'Personal File'!$C$13</f>
        <v>14</v>
      </c>
      <c r="E3" s="302">
        <v>1</v>
      </c>
      <c r="G3" s="303" t="s">
        <v>159</v>
      </c>
      <c r="H3" s="304">
        <v>6</v>
      </c>
      <c r="I3" s="305">
        <v>6</v>
      </c>
      <c r="J3" s="305">
        <v>6</v>
      </c>
      <c r="K3" s="305">
        <v>4</v>
      </c>
      <c r="L3" s="306">
        <v>0</v>
      </c>
      <c r="M3" s="306">
        <v>0</v>
      </c>
      <c r="N3" s="306">
        <v>0</v>
      </c>
      <c r="O3" s="307">
        <v>0</v>
      </c>
    </row>
    <row r="4" spans="1:15" x14ac:dyDescent="0.3">
      <c r="A4" s="308">
        <f>$I$5</f>
        <v>7</v>
      </c>
      <c r="B4" s="309">
        <v>0</v>
      </c>
      <c r="C4" s="309">
        <v>1</v>
      </c>
      <c r="D4" s="437">
        <f>10+B4+C4+'Personal File'!$C$13</f>
        <v>15</v>
      </c>
      <c r="E4" s="310">
        <v>2</v>
      </c>
      <c r="G4" s="311" t="s">
        <v>158</v>
      </c>
      <c r="H4" s="312">
        <v>0</v>
      </c>
      <c r="I4" s="312">
        <v>1</v>
      </c>
      <c r="J4" s="312">
        <v>1</v>
      </c>
      <c r="K4" s="312">
        <v>1</v>
      </c>
      <c r="L4" s="313">
        <v>0</v>
      </c>
      <c r="M4" s="313">
        <v>0</v>
      </c>
      <c r="N4" s="313">
        <v>0</v>
      </c>
      <c r="O4" s="314">
        <v>0</v>
      </c>
    </row>
    <row r="5" spans="1:15" ht="16.2" thickBot="1" x14ac:dyDescent="0.35">
      <c r="A5" s="308">
        <f t="shared" ref="A5" si="0">$J$5</f>
        <v>7</v>
      </c>
      <c r="B5" s="309">
        <v>0</v>
      </c>
      <c r="C5" s="309">
        <v>2</v>
      </c>
      <c r="D5" s="437">
        <f>10+B5+C5+'Personal File'!$C$13</f>
        <v>16</v>
      </c>
      <c r="E5" s="310">
        <v>2</v>
      </c>
      <c r="G5" s="316" t="s">
        <v>109</v>
      </c>
      <c r="H5" s="317">
        <f>SUM(H3:H4)</f>
        <v>6</v>
      </c>
      <c r="I5" s="317">
        <f>SUM(I3:I4)</f>
        <v>7</v>
      </c>
      <c r="J5" s="317">
        <f>SUM(J3:J4)</f>
        <v>7</v>
      </c>
      <c r="K5" s="317">
        <f>SUM(K3:K4)</f>
        <v>5</v>
      </c>
      <c r="L5" s="318">
        <v>0</v>
      </c>
      <c r="M5" s="318">
        <v>0</v>
      </c>
      <c r="N5" s="318">
        <v>0</v>
      </c>
      <c r="O5" s="319">
        <v>0</v>
      </c>
    </row>
    <row r="6" spans="1:15" ht="16.8" thickTop="1" thickBot="1" x14ac:dyDescent="0.35">
      <c r="A6" s="329">
        <f>$K$5</f>
        <v>5</v>
      </c>
      <c r="B6" s="330">
        <v>0</v>
      </c>
      <c r="C6" s="330">
        <v>3</v>
      </c>
      <c r="D6" s="438">
        <f>10+B6+C6+'Personal File'!$C$13</f>
        <v>17</v>
      </c>
      <c r="E6" s="315">
        <v>4</v>
      </c>
    </row>
    <row r="7" spans="1:15" ht="16.2" thickTop="1" x14ac:dyDescent="0.3">
      <c r="G7" s="320" t="s">
        <v>149</v>
      </c>
      <c r="H7" s="321" t="s">
        <v>161</v>
      </c>
      <c r="I7" s="321"/>
      <c r="J7" s="322" t="s">
        <v>163</v>
      </c>
      <c r="K7" s="321"/>
      <c r="L7" s="322" t="s">
        <v>162</v>
      </c>
      <c r="M7" s="322"/>
      <c r="N7" s="321"/>
      <c r="O7" s="323"/>
    </row>
    <row r="8" spans="1:15" ht="16.2" thickBot="1" x14ac:dyDescent="0.35">
      <c r="G8" s="324" t="s">
        <v>154</v>
      </c>
      <c r="H8" s="325">
        <f>'Personal File'!E3</f>
        <v>7</v>
      </c>
      <c r="I8" s="325"/>
      <c r="J8" s="341">
        <f>('Personal File'!$E$3-1)</f>
        <v>6</v>
      </c>
      <c r="K8" s="325"/>
      <c r="L8" s="341">
        <f>'Personal File'!$E$3+4+2-1</f>
        <v>12</v>
      </c>
      <c r="M8" s="325"/>
      <c r="N8" s="325"/>
      <c r="O8" s="342"/>
    </row>
    <row r="9" spans="1:15" ht="16.2" thickTop="1" x14ac:dyDescent="0.3"/>
    <row r="10" spans="1:15" x14ac:dyDescent="0.3">
      <c r="G10" s="244"/>
    </row>
  </sheetData>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showGridLines="0" workbookViewId="0"/>
  </sheetViews>
  <sheetFormatPr defaultColWidth="10.59765625" defaultRowHeight="16.8" x14ac:dyDescent="0.3"/>
  <cols>
    <col min="1" max="1" width="32.796875" style="95" bestFit="1" customWidth="1"/>
    <col min="2" max="2" width="2.59765625" style="92" customWidth="1"/>
    <col min="3" max="3" width="32.09765625" style="94" bestFit="1" customWidth="1"/>
    <col min="4" max="4" width="10.59765625" style="94"/>
    <col min="5" max="5" width="23.5" style="94" bestFit="1" customWidth="1"/>
    <col min="6" max="16384" width="10.59765625" style="94"/>
  </cols>
  <sheetData>
    <row r="1" spans="1:3" ht="24" thickTop="1" thickBot="1" x14ac:dyDescent="0.35">
      <c r="A1" s="276" t="s">
        <v>89</v>
      </c>
      <c r="C1" s="93" t="s">
        <v>170</v>
      </c>
    </row>
    <row r="2" spans="1:3" x14ac:dyDescent="0.3">
      <c r="A2" s="434" t="s">
        <v>282</v>
      </c>
      <c r="C2" s="343" t="s">
        <v>171</v>
      </c>
    </row>
    <row r="3" spans="1:3" x14ac:dyDescent="0.3">
      <c r="A3" s="343" t="s">
        <v>179</v>
      </c>
      <c r="C3" s="343" t="s">
        <v>172</v>
      </c>
    </row>
    <row r="4" spans="1:3" x14ac:dyDescent="0.3">
      <c r="A4" s="343" t="s">
        <v>191</v>
      </c>
      <c r="C4" s="343" t="s">
        <v>284</v>
      </c>
    </row>
    <row r="5" spans="1:3" ht="17.399999999999999" thickBot="1" x14ac:dyDescent="0.35">
      <c r="A5" s="435" t="s">
        <v>180</v>
      </c>
      <c r="C5" s="343" t="s">
        <v>283</v>
      </c>
    </row>
    <row r="6" spans="1:3" ht="18" thickTop="1" thickBot="1" x14ac:dyDescent="0.35">
      <c r="C6" s="344" t="s">
        <v>189</v>
      </c>
    </row>
    <row r="7" spans="1:3" ht="24" thickTop="1" thickBot="1" x14ac:dyDescent="0.35">
      <c r="A7" s="278" t="s">
        <v>73</v>
      </c>
    </row>
    <row r="8" spans="1:3" ht="24" thickTop="1" thickBot="1" x14ac:dyDescent="0.35">
      <c r="A8" s="97" t="s">
        <v>178</v>
      </c>
      <c r="C8" s="277" t="s">
        <v>87</v>
      </c>
    </row>
    <row r="9" spans="1:3" ht="17.399999999999999" thickTop="1" x14ac:dyDescent="0.3">
      <c r="C9" s="96" t="s">
        <v>173</v>
      </c>
    </row>
    <row r="10" spans="1:3" ht="17.399999999999999" thickBot="1" x14ac:dyDescent="0.35">
      <c r="C10" s="98" t="s">
        <v>190</v>
      </c>
    </row>
    <row r="11" spans="1:3" ht="17.399999999999999" thickTop="1" x14ac:dyDescent="0.3"/>
    <row r="16" spans="1:3" x14ac:dyDescent="0.3">
      <c r="C16" s="92"/>
    </row>
    <row r="17" spans="3:3" x14ac:dyDescent="0.3">
      <c r="C17" s="92"/>
    </row>
    <row r="18" spans="3:3" x14ac:dyDescent="0.3">
      <c r="C18" s="92"/>
    </row>
    <row r="19" spans="3:3" x14ac:dyDescent="0.3">
      <c r="C19" s="92"/>
    </row>
    <row r="20" spans="3:3" x14ac:dyDescent="0.3">
      <c r="C20" s="92"/>
    </row>
    <row r="21" spans="3:3" x14ac:dyDescent="0.3">
      <c r="C21" s="92"/>
    </row>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GridLines="0" workbookViewId="0"/>
  </sheetViews>
  <sheetFormatPr defaultColWidth="13" defaultRowHeight="15.6" x14ac:dyDescent="0.3"/>
  <cols>
    <col min="1" max="1" width="24.796875" style="35" bestFit="1" customWidth="1"/>
    <col min="2" max="2" width="8.59765625" style="35" customWidth="1"/>
    <col min="3" max="3" width="4.3984375" style="35" bestFit="1" customWidth="1"/>
    <col min="4" max="4" width="6.69921875" style="35" customWidth="1"/>
    <col min="5" max="5" width="8.5" style="35" bestFit="1" customWidth="1"/>
    <col min="6" max="6" width="8.8984375" style="35" bestFit="1" customWidth="1"/>
    <col min="7" max="7" width="4.5" style="35" bestFit="1" customWidth="1"/>
    <col min="8" max="8" width="5.59765625" style="35" bestFit="1" customWidth="1"/>
    <col min="9" max="9" width="5.5" style="35" bestFit="1" customWidth="1"/>
    <col min="10" max="10" width="6.19921875" style="35" bestFit="1" customWidth="1"/>
    <col min="11" max="11" width="24.19921875" style="35" bestFit="1" customWidth="1"/>
    <col min="12" max="12" width="3.3984375" style="30" customWidth="1"/>
    <col min="13" max="13" width="7.3984375" style="253" bestFit="1" customWidth="1"/>
    <col min="14" max="14" width="9.3984375" style="35" bestFit="1" customWidth="1"/>
    <col min="15" max="16384" width="13" style="30"/>
  </cols>
  <sheetData>
    <row r="1" spans="1:14" ht="23.4" thickBot="1" x14ac:dyDescent="0.35">
      <c r="A1" s="28" t="s">
        <v>23</v>
      </c>
      <c r="B1" s="28"/>
      <c r="C1" s="28"/>
      <c r="D1" s="28"/>
      <c r="E1" s="28"/>
      <c r="F1" s="28"/>
      <c r="G1" s="28"/>
      <c r="H1" s="28"/>
      <c r="I1" s="28"/>
      <c r="J1" s="28"/>
      <c r="K1" s="28"/>
    </row>
    <row r="2" spans="1:14" ht="16.8" thickTop="1" thickBot="1" x14ac:dyDescent="0.35">
      <c r="A2" s="57" t="s">
        <v>4</v>
      </c>
      <c r="B2" s="58" t="s">
        <v>5</v>
      </c>
      <c r="C2" s="58" t="s">
        <v>25</v>
      </c>
      <c r="D2" s="58" t="s">
        <v>26</v>
      </c>
      <c r="E2" s="59" t="s">
        <v>67</v>
      </c>
      <c r="F2" s="58" t="s">
        <v>24</v>
      </c>
      <c r="G2" s="58" t="s">
        <v>27</v>
      </c>
      <c r="H2" s="60" t="s">
        <v>88</v>
      </c>
      <c r="I2" s="61" t="s">
        <v>92</v>
      </c>
      <c r="J2" s="60" t="s">
        <v>79</v>
      </c>
      <c r="K2" s="62" t="s">
        <v>77</v>
      </c>
      <c r="M2" s="254" t="s">
        <v>145</v>
      </c>
    </row>
    <row r="3" spans="1:14" x14ac:dyDescent="0.3">
      <c r="A3" s="259" t="s">
        <v>200</v>
      </c>
      <c r="B3" s="14" t="s">
        <v>203</v>
      </c>
      <c r="C3" s="15">
        <v>0</v>
      </c>
      <c r="D3" s="16" t="s">
        <v>201</v>
      </c>
      <c r="E3" s="16" t="s">
        <v>144</v>
      </c>
      <c r="F3" s="17" t="s">
        <v>202</v>
      </c>
      <c r="G3" s="18">
        <v>2</v>
      </c>
      <c r="H3" s="250">
        <f>'Personal File'!$B$6+'Personal File'!$C$8+D3</f>
        <v>4</v>
      </c>
      <c r="I3" s="251">
        <f t="shared" ref="I3:I5" ca="1" si="0">RANDBETWEEN(1,20)</f>
        <v>6</v>
      </c>
      <c r="J3" s="252">
        <f t="shared" ref="J3:J6" ca="1" si="1">I3+H3</f>
        <v>10</v>
      </c>
      <c r="K3" s="25" t="s">
        <v>285</v>
      </c>
      <c r="M3" s="255">
        <v>306</v>
      </c>
    </row>
    <row r="4" spans="1:14" x14ac:dyDescent="0.3">
      <c r="A4" s="413" t="s">
        <v>204</v>
      </c>
      <c r="B4" s="275" t="s">
        <v>94</v>
      </c>
      <c r="C4" s="414" t="s">
        <v>94</v>
      </c>
      <c r="D4" s="415" t="s">
        <v>94</v>
      </c>
      <c r="E4" s="415" t="s">
        <v>94</v>
      </c>
      <c r="F4" s="416" t="s">
        <v>94</v>
      </c>
      <c r="G4" s="417" t="s">
        <v>94</v>
      </c>
      <c r="H4" s="418" t="s">
        <v>94</v>
      </c>
      <c r="I4" s="419" t="s">
        <v>94</v>
      </c>
      <c r="J4" s="418" t="s">
        <v>94</v>
      </c>
      <c r="K4" s="420" t="s">
        <v>205</v>
      </c>
      <c r="M4" s="421">
        <v>400</v>
      </c>
      <c r="N4" s="244" t="s">
        <v>307</v>
      </c>
    </row>
    <row r="5" spans="1:14" x14ac:dyDescent="0.3">
      <c r="A5" s="413" t="s">
        <v>279</v>
      </c>
      <c r="B5" s="275" t="s">
        <v>278</v>
      </c>
      <c r="C5" s="414">
        <v>0</v>
      </c>
      <c r="D5" s="415" t="s">
        <v>291</v>
      </c>
      <c r="E5" s="415" t="s">
        <v>144</v>
      </c>
      <c r="F5" s="416" t="s">
        <v>114</v>
      </c>
      <c r="G5" s="417">
        <v>0</v>
      </c>
      <c r="H5" s="418">
        <f>'Personal File'!$B$6+'Personal File'!$C$8+D5+3</f>
        <v>9</v>
      </c>
      <c r="I5" s="419">
        <f t="shared" ca="1" si="0"/>
        <v>8</v>
      </c>
      <c r="J5" s="418">
        <f t="shared" ref="J5" ca="1" si="2">I5+H5</f>
        <v>17</v>
      </c>
      <c r="K5" s="420" t="s">
        <v>290</v>
      </c>
      <c r="M5" s="421">
        <v>0</v>
      </c>
    </row>
    <row r="6" spans="1:14" ht="16.2" thickBot="1" x14ac:dyDescent="0.35">
      <c r="A6" s="19" t="s">
        <v>143</v>
      </c>
      <c r="B6" s="20" t="s">
        <v>116</v>
      </c>
      <c r="C6" s="21" t="str">
        <f>'Personal File'!$C$8</f>
        <v>+0</v>
      </c>
      <c r="D6" s="22" t="s">
        <v>62</v>
      </c>
      <c r="E6" s="22" t="s">
        <v>144</v>
      </c>
      <c r="F6" s="23" t="s">
        <v>114</v>
      </c>
      <c r="G6" s="24">
        <v>0</v>
      </c>
      <c r="H6" s="26">
        <f>'Personal File'!$B$6+'Personal File'!$C$8+D6</f>
        <v>3</v>
      </c>
      <c r="I6" s="63">
        <f t="shared" ref="I6" ca="1" si="3">RANDBETWEEN(1,20)</f>
        <v>20</v>
      </c>
      <c r="J6" s="64">
        <f t="shared" ca="1" si="1"/>
        <v>23</v>
      </c>
      <c r="K6" s="27"/>
      <c r="M6" s="274" t="s">
        <v>94</v>
      </c>
    </row>
    <row r="7" spans="1:14" ht="6" customHeight="1" thickTop="1" thickBot="1" x14ac:dyDescent="0.35">
      <c r="I7" s="65"/>
      <c r="J7" s="65"/>
      <c r="M7" s="258"/>
    </row>
    <row r="8" spans="1:14" ht="16.8" thickTop="1" thickBot="1" x14ac:dyDescent="0.35">
      <c r="A8" s="57" t="s">
        <v>7</v>
      </c>
      <c r="B8" s="58" t="s">
        <v>8</v>
      </c>
      <c r="C8" s="58" t="s">
        <v>25</v>
      </c>
      <c r="D8" s="58" t="s">
        <v>26</v>
      </c>
      <c r="E8" s="59" t="s">
        <v>67</v>
      </c>
      <c r="F8" s="58" t="s">
        <v>9</v>
      </c>
      <c r="G8" s="58" t="s">
        <v>27</v>
      </c>
      <c r="H8" s="60" t="s">
        <v>88</v>
      </c>
      <c r="I8" s="61" t="s">
        <v>92</v>
      </c>
      <c r="J8" s="60" t="s">
        <v>79</v>
      </c>
      <c r="K8" s="62" t="s">
        <v>77</v>
      </c>
      <c r="M8" s="254" t="s">
        <v>145</v>
      </c>
    </row>
    <row r="9" spans="1:14" x14ac:dyDescent="0.3">
      <c r="A9" s="259" t="s">
        <v>280</v>
      </c>
      <c r="B9" s="14" t="s">
        <v>281</v>
      </c>
      <c r="C9" s="15">
        <v>0</v>
      </c>
      <c r="D9" s="16" t="s">
        <v>62</v>
      </c>
      <c r="E9" s="16" t="s">
        <v>144</v>
      </c>
      <c r="F9" s="17" t="s">
        <v>260</v>
      </c>
      <c r="G9" s="18">
        <v>0</v>
      </c>
      <c r="H9" s="250">
        <f>'Personal File'!$B$6+'Personal File'!$C$9+D9</f>
        <v>4</v>
      </c>
      <c r="I9" s="251">
        <f t="shared" ref="I9:I10" ca="1" si="4">RANDBETWEEN(1,20)</f>
        <v>11</v>
      </c>
      <c r="J9" s="252">
        <f t="shared" ref="J9:J10" ca="1" si="5">I9+H9</f>
        <v>15</v>
      </c>
      <c r="K9" s="25"/>
      <c r="M9" s="255">
        <v>0</v>
      </c>
    </row>
    <row r="10" spans="1:14" x14ac:dyDescent="0.3">
      <c r="A10" s="422" t="s">
        <v>115</v>
      </c>
      <c r="B10" s="423" t="s">
        <v>94</v>
      </c>
      <c r="C10" s="424" t="s">
        <v>94</v>
      </c>
      <c r="D10" s="425" t="s">
        <v>62</v>
      </c>
      <c r="E10" s="425" t="s">
        <v>94</v>
      </c>
      <c r="F10" s="426" t="s">
        <v>94</v>
      </c>
      <c r="G10" s="427" t="s">
        <v>94</v>
      </c>
      <c r="H10" s="428">
        <f>'Personal File'!$B$6+'Personal File'!$C$9+D10+1</f>
        <v>5</v>
      </c>
      <c r="I10" s="429">
        <f t="shared" ca="1" si="4"/>
        <v>18</v>
      </c>
      <c r="J10" s="430">
        <f t="shared" ca="1" si="5"/>
        <v>23</v>
      </c>
      <c r="K10" s="431" t="s">
        <v>297</v>
      </c>
      <c r="M10" s="432" t="s">
        <v>94</v>
      </c>
    </row>
    <row r="11" spans="1:14" ht="16.2" thickBot="1" x14ac:dyDescent="0.35">
      <c r="A11" s="334" t="s">
        <v>169</v>
      </c>
      <c r="B11" s="335" t="s">
        <v>154</v>
      </c>
      <c r="C11" s="336" t="s">
        <v>94</v>
      </c>
      <c r="D11" s="336" t="s">
        <v>94</v>
      </c>
      <c r="E11" s="335" t="s">
        <v>94</v>
      </c>
      <c r="F11" s="336" t="s">
        <v>94</v>
      </c>
      <c r="G11" s="337" t="s">
        <v>94</v>
      </c>
      <c r="H11" s="338">
        <f>Spellcasting!J8</f>
        <v>6</v>
      </c>
      <c r="I11" s="333">
        <f t="shared" ref="I11" ca="1" si="6">RANDBETWEEN(1,20)</f>
        <v>9</v>
      </c>
      <c r="J11" s="338">
        <f t="shared" ref="J11" ca="1" si="7">I11+H11</f>
        <v>15</v>
      </c>
      <c r="K11" s="339"/>
      <c r="M11" s="340"/>
    </row>
    <row r="12" spans="1:14" ht="6" customHeight="1" thickTop="1" thickBot="1" x14ac:dyDescent="0.35">
      <c r="D12" s="66"/>
      <c r="E12" s="66"/>
      <c r="G12" s="56"/>
      <c r="H12" s="56"/>
      <c r="I12" s="65"/>
      <c r="J12" s="56"/>
      <c r="M12" s="258"/>
    </row>
    <row r="13" spans="1:14" ht="16.8" thickTop="1" thickBot="1" x14ac:dyDescent="0.35">
      <c r="A13" s="57" t="s">
        <v>69</v>
      </c>
      <c r="B13" s="58" t="s">
        <v>17</v>
      </c>
      <c r="C13" s="58" t="s">
        <v>34</v>
      </c>
      <c r="D13" s="58" t="s">
        <v>79</v>
      </c>
      <c r="E13" s="58" t="s">
        <v>80</v>
      </c>
      <c r="F13" s="58" t="s">
        <v>81</v>
      </c>
      <c r="G13" s="58" t="s">
        <v>27</v>
      </c>
      <c r="H13" s="67" t="s">
        <v>77</v>
      </c>
      <c r="I13" s="68"/>
      <c r="J13" s="68"/>
      <c r="K13" s="69"/>
      <c r="M13" s="254" t="s">
        <v>145</v>
      </c>
    </row>
    <row r="14" spans="1:14" x14ac:dyDescent="0.3">
      <c r="A14" s="371" t="s">
        <v>194</v>
      </c>
      <c r="B14" s="372">
        <v>6</v>
      </c>
      <c r="C14" s="373"/>
      <c r="D14" s="372"/>
      <c r="E14" s="374"/>
      <c r="F14" s="375" t="s">
        <v>195</v>
      </c>
      <c r="G14" s="376">
        <v>15</v>
      </c>
      <c r="H14" s="377"/>
      <c r="I14" s="378"/>
      <c r="J14" s="378"/>
      <c r="K14" s="379"/>
      <c r="M14" s="380">
        <v>5200</v>
      </c>
      <c r="N14" s="65" t="s">
        <v>305</v>
      </c>
    </row>
    <row r="15" spans="1:14" x14ac:dyDescent="0.3">
      <c r="A15" s="381" t="s">
        <v>199</v>
      </c>
      <c r="B15" s="382">
        <v>2</v>
      </c>
      <c r="C15" s="383"/>
      <c r="D15" s="382"/>
      <c r="E15" s="384"/>
      <c r="F15" s="385" t="s">
        <v>94</v>
      </c>
      <c r="G15" s="386">
        <v>5</v>
      </c>
      <c r="H15" s="387"/>
      <c r="I15" s="388"/>
      <c r="J15" s="388"/>
      <c r="K15" s="389"/>
      <c r="M15" s="390">
        <v>1165</v>
      </c>
      <c r="N15" s="65"/>
    </row>
    <row r="16" spans="1:14" ht="16.2" thickBot="1" x14ac:dyDescent="0.35">
      <c r="A16" s="19" t="s">
        <v>196</v>
      </c>
      <c r="B16" s="20" t="s">
        <v>197</v>
      </c>
      <c r="C16" s="70"/>
      <c r="D16" s="20"/>
      <c r="E16" s="71"/>
      <c r="F16" s="20" t="s">
        <v>94</v>
      </c>
      <c r="G16" s="24">
        <v>0</v>
      </c>
      <c r="H16" s="370" t="s">
        <v>198</v>
      </c>
      <c r="I16" s="72"/>
      <c r="J16" s="72"/>
      <c r="K16" s="73"/>
      <c r="M16" s="257">
        <v>1000</v>
      </c>
    </row>
    <row r="17" spans="1:14" ht="6.75" customHeight="1" thickTop="1" thickBot="1" x14ac:dyDescent="0.35">
      <c r="M17" s="258"/>
    </row>
    <row r="18" spans="1:14" ht="16.8" thickTop="1" thickBot="1" x14ac:dyDescent="0.35">
      <c r="A18" s="74"/>
      <c r="B18" s="56"/>
      <c r="D18" s="75" t="s">
        <v>70</v>
      </c>
      <c r="E18" s="76"/>
      <c r="F18" s="67" t="s">
        <v>6</v>
      </c>
      <c r="G18" s="58" t="s">
        <v>27</v>
      </c>
      <c r="H18" s="60" t="s">
        <v>88</v>
      </c>
      <c r="I18" s="67" t="s">
        <v>77</v>
      </c>
      <c r="J18" s="68"/>
      <c r="K18" s="69"/>
      <c r="M18" s="254" t="s">
        <v>145</v>
      </c>
    </row>
    <row r="19" spans="1:14" x14ac:dyDescent="0.3">
      <c r="A19" s="74"/>
      <c r="B19" s="351"/>
      <c r="D19" s="77" t="s">
        <v>286</v>
      </c>
      <c r="E19" s="78"/>
      <c r="F19" s="79">
        <v>10</v>
      </c>
      <c r="G19" s="18">
        <f>0.5*F19</f>
        <v>5</v>
      </c>
      <c r="H19" s="80" t="s">
        <v>287</v>
      </c>
      <c r="I19" s="81"/>
      <c r="J19" s="82"/>
      <c r="K19" s="83"/>
      <c r="M19" s="255">
        <f>0.005*F19</f>
        <v>0.05</v>
      </c>
    </row>
    <row r="20" spans="1:14" ht="16.2" thickBot="1" x14ac:dyDescent="0.35">
      <c r="A20" s="74"/>
      <c r="B20" s="351"/>
      <c r="D20" s="84"/>
      <c r="E20" s="85"/>
      <c r="F20" s="86"/>
      <c r="G20" s="24"/>
      <c r="H20" s="87"/>
      <c r="I20" s="88"/>
      <c r="J20" s="89"/>
      <c r="K20" s="73"/>
      <c r="M20" s="257"/>
    </row>
    <row r="21" spans="1:14" ht="16.8" thickTop="1" thickBot="1" x14ac:dyDescent="0.35">
      <c r="B21" s="30"/>
    </row>
    <row r="22" spans="1:14" ht="16.8" thickTop="1" thickBot="1" x14ac:dyDescent="0.35">
      <c r="B22" s="30"/>
      <c r="D22" s="75" t="s">
        <v>142</v>
      </c>
      <c r="E22" s="68"/>
      <c r="F22" s="68"/>
      <c r="G22" s="90" t="s">
        <v>6</v>
      </c>
      <c r="H22" s="90" t="s">
        <v>95</v>
      </c>
      <c r="I22" s="90" t="s">
        <v>117</v>
      </c>
      <c r="J22" s="91" t="s">
        <v>77</v>
      </c>
      <c r="K22" s="69"/>
      <c r="M22" s="254" t="s">
        <v>145</v>
      </c>
    </row>
    <row r="23" spans="1:14" x14ac:dyDescent="0.3">
      <c r="B23" s="30"/>
      <c r="D23" s="239"/>
      <c r="E23" s="240"/>
      <c r="F23" s="240"/>
      <c r="G23" s="241"/>
      <c r="H23" s="241"/>
      <c r="I23" s="241"/>
      <c r="J23" s="242"/>
      <c r="K23" s="243"/>
      <c r="L23" s="244"/>
      <c r="M23" s="256"/>
      <c r="N23" s="65"/>
    </row>
    <row r="24" spans="1:14" x14ac:dyDescent="0.3">
      <c r="B24" s="30"/>
      <c r="D24" s="239"/>
      <c r="E24" s="240"/>
      <c r="F24" s="240"/>
      <c r="G24" s="241"/>
      <c r="H24" s="241"/>
      <c r="I24" s="241"/>
      <c r="J24" s="242"/>
      <c r="K24" s="243"/>
      <c r="L24" s="244"/>
      <c r="M24" s="256"/>
      <c r="N24" s="65"/>
    </row>
    <row r="25" spans="1:14" ht="16.2" thickBot="1" x14ac:dyDescent="0.35">
      <c r="A25" s="30"/>
      <c r="B25" s="30"/>
      <c r="D25" s="246"/>
      <c r="E25" s="247"/>
      <c r="F25" s="247"/>
      <c r="G25" s="20"/>
      <c r="H25" s="20"/>
      <c r="I25" s="20"/>
      <c r="J25" s="248"/>
      <c r="K25" s="249"/>
      <c r="M25" s="257"/>
      <c r="N25" s="65"/>
    </row>
    <row r="26" spans="1:14" ht="16.2" thickTop="1" x14ac:dyDescent="0.3">
      <c r="A26" s="30"/>
      <c r="B26" s="30"/>
    </row>
    <row r="27" spans="1:14" x14ac:dyDescent="0.3">
      <c r="A27" s="30"/>
      <c r="B27" s="30"/>
      <c r="K27" s="188" t="s">
        <v>150</v>
      </c>
      <c r="L27" s="244"/>
      <c r="M27" s="442">
        <f>SUM(M3:M25)</f>
        <v>8071.05</v>
      </c>
    </row>
    <row r="28" spans="1:14" x14ac:dyDescent="0.3">
      <c r="A28" s="30"/>
      <c r="B28" s="30"/>
    </row>
    <row r="29" spans="1:14" x14ac:dyDescent="0.3">
      <c r="A29" s="30"/>
      <c r="B29" s="30"/>
    </row>
    <row r="30" spans="1:14" x14ac:dyDescent="0.3">
      <c r="A30" s="30"/>
      <c r="B30" s="30"/>
    </row>
    <row r="31" spans="1:14" x14ac:dyDescent="0.3">
      <c r="A31" s="30"/>
      <c r="B31" s="30"/>
    </row>
    <row r="32" spans="1:14" x14ac:dyDescent="0.3">
      <c r="A32" s="30"/>
      <c r="B32" s="30"/>
    </row>
  </sheetData>
  <sortState xmlns:xlrd2="http://schemas.microsoft.com/office/spreadsheetml/2017/richdata2" ref="D19:K27">
    <sortCondition ref="I19:I27"/>
    <sortCondition ref="D19:D27"/>
  </sortState>
  <phoneticPr fontId="0" type="noConversion"/>
  <conditionalFormatting sqref="I3:I6">
    <cfRule type="cellIs" dxfId="3" priority="5" operator="equal">
      <formula>20</formula>
    </cfRule>
    <cfRule type="cellIs" dxfId="2" priority="6" operator="equal">
      <formula>1</formula>
    </cfRule>
  </conditionalFormatting>
  <conditionalFormatting sqref="I9: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showGridLines="0" workbookViewId="0"/>
  </sheetViews>
  <sheetFormatPr defaultColWidth="8.59765625" defaultRowHeight="15.6" x14ac:dyDescent="0.3"/>
  <cols>
    <col min="1" max="1" width="24.19921875" style="35" bestFit="1" customWidth="1"/>
    <col min="2" max="2" width="4.5" style="35" bestFit="1" customWidth="1"/>
    <col min="3" max="3" width="4.5" style="56" customWidth="1"/>
    <col min="4" max="4" width="30.3984375" style="30" customWidth="1"/>
    <col min="5" max="5" width="32.69921875" style="30" customWidth="1"/>
    <col min="6" max="6" width="2.3984375" style="30" customWidth="1"/>
    <col min="7" max="7" width="8.69921875" style="30" bestFit="1" customWidth="1"/>
    <col min="8" max="8" width="12.296875" style="30" bestFit="1" customWidth="1"/>
    <col min="9" max="16384" width="8.59765625" style="30"/>
  </cols>
  <sheetData>
    <row r="1" spans="1:8" ht="23.4" thickBot="1" x14ac:dyDescent="0.35">
      <c r="A1" s="28" t="s">
        <v>74</v>
      </c>
      <c r="B1" s="28"/>
      <c r="C1" s="29"/>
      <c r="D1" s="28"/>
      <c r="E1" s="28"/>
    </row>
    <row r="2" spans="1:8" s="35" customFormat="1" ht="16.8" thickTop="1" thickBot="1" x14ac:dyDescent="0.35">
      <c r="A2" s="31" t="s">
        <v>75</v>
      </c>
      <c r="B2" s="31" t="s">
        <v>6</v>
      </c>
      <c r="C2" s="32" t="s">
        <v>27</v>
      </c>
      <c r="D2" s="33" t="s">
        <v>76</v>
      </c>
      <c r="E2" s="34" t="s">
        <v>77</v>
      </c>
      <c r="G2" s="352" t="s">
        <v>145</v>
      </c>
    </row>
    <row r="3" spans="1:8" x14ac:dyDescent="0.3">
      <c r="A3" s="36" t="s">
        <v>125</v>
      </c>
      <c r="B3" s="37">
        <v>1</v>
      </c>
      <c r="C3" s="38" t="s">
        <v>197</v>
      </c>
      <c r="D3" s="39"/>
      <c r="E3" s="40"/>
      <c r="G3" s="353">
        <v>0</v>
      </c>
    </row>
    <row r="4" spans="1:8" x14ac:dyDescent="0.3">
      <c r="A4" s="41" t="s">
        <v>208</v>
      </c>
      <c r="B4" s="42">
        <v>1</v>
      </c>
      <c r="C4" s="43">
        <v>0.25</v>
      </c>
      <c r="D4" s="391" t="s">
        <v>209</v>
      </c>
      <c r="E4" s="45"/>
      <c r="G4" s="354">
        <v>5000</v>
      </c>
      <c r="H4" s="65" t="s">
        <v>305</v>
      </c>
    </row>
    <row r="5" spans="1:8" x14ac:dyDescent="0.3">
      <c r="A5" s="41" t="s">
        <v>206</v>
      </c>
      <c r="B5" s="42">
        <v>1</v>
      </c>
      <c r="C5" s="46">
        <v>1</v>
      </c>
      <c r="D5" s="44" t="s">
        <v>207</v>
      </c>
      <c r="E5" s="45"/>
      <c r="G5" s="355">
        <v>2800</v>
      </c>
    </row>
    <row r="6" spans="1:8" x14ac:dyDescent="0.3">
      <c r="A6" s="407" t="s">
        <v>272</v>
      </c>
      <c r="B6" s="408">
        <v>1</v>
      </c>
      <c r="C6" s="409">
        <v>5</v>
      </c>
      <c r="D6" s="410" t="s">
        <v>273</v>
      </c>
      <c r="E6" s="411"/>
      <c r="G6" s="412">
        <v>2000</v>
      </c>
    </row>
    <row r="7" spans="1:8" x14ac:dyDescent="0.3">
      <c r="A7" s="407" t="s">
        <v>288</v>
      </c>
      <c r="B7" s="408">
        <v>1</v>
      </c>
      <c r="C7" s="409">
        <v>0</v>
      </c>
      <c r="D7" s="410" t="s">
        <v>274</v>
      </c>
      <c r="E7" s="411"/>
      <c r="G7" s="412">
        <v>2000</v>
      </c>
    </row>
    <row r="8" spans="1:8" x14ac:dyDescent="0.3">
      <c r="A8" s="407" t="s">
        <v>275</v>
      </c>
      <c r="B8" s="408">
        <v>1</v>
      </c>
      <c r="C8" s="409">
        <v>0</v>
      </c>
      <c r="D8" s="410" t="s">
        <v>276</v>
      </c>
      <c r="E8" s="411"/>
      <c r="G8" s="412">
        <v>2000</v>
      </c>
    </row>
    <row r="9" spans="1:8" x14ac:dyDescent="0.3">
      <c r="A9" s="407" t="s">
        <v>277</v>
      </c>
      <c r="B9" s="408">
        <v>1</v>
      </c>
      <c r="C9" s="409">
        <v>1</v>
      </c>
      <c r="D9" s="410"/>
      <c r="E9" s="411"/>
      <c r="G9" s="412">
        <v>1000</v>
      </c>
    </row>
    <row r="10" spans="1:8" x14ac:dyDescent="0.3">
      <c r="A10" s="407" t="s">
        <v>294</v>
      </c>
      <c r="B10" s="408">
        <v>1</v>
      </c>
      <c r="C10" s="409">
        <v>0</v>
      </c>
      <c r="D10" s="410"/>
      <c r="E10" s="411"/>
      <c r="G10" s="412">
        <v>1500</v>
      </c>
    </row>
    <row r="11" spans="1:8" x14ac:dyDescent="0.3">
      <c r="A11" s="407" t="s">
        <v>293</v>
      </c>
      <c r="B11" s="408">
        <v>1</v>
      </c>
      <c r="C11" s="409">
        <v>0</v>
      </c>
      <c r="D11" s="410"/>
      <c r="E11" s="411"/>
      <c r="G11" s="412">
        <v>4000</v>
      </c>
      <c r="H11" s="244" t="s">
        <v>306</v>
      </c>
    </row>
    <row r="12" spans="1:8" ht="16.2" thickBot="1" x14ac:dyDescent="0.35">
      <c r="A12" s="47" t="s">
        <v>210</v>
      </c>
      <c r="B12" s="48">
        <v>1</v>
      </c>
      <c r="C12" s="49">
        <v>1</v>
      </c>
      <c r="D12" s="50"/>
      <c r="E12" s="51"/>
      <c r="G12" s="356">
        <v>4000</v>
      </c>
    </row>
    <row r="13" spans="1:8" ht="24" thickTop="1" thickBot="1" x14ac:dyDescent="0.35">
      <c r="A13" s="28" t="s">
        <v>78</v>
      </c>
      <c r="B13" s="28"/>
      <c r="C13" s="52"/>
      <c r="D13" s="28"/>
      <c r="E13" s="53"/>
      <c r="G13" s="52"/>
    </row>
    <row r="14" spans="1:8" ht="16.8" thickTop="1" thickBot="1" x14ac:dyDescent="0.35">
      <c r="A14" s="31" t="s">
        <v>75</v>
      </c>
      <c r="B14" s="31" t="s">
        <v>6</v>
      </c>
      <c r="C14" s="32" t="s">
        <v>27</v>
      </c>
      <c r="D14" s="33" t="s">
        <v>76</v>
      </c>
      <c r="E14" s="34" t="s">
        <v>77</v>
      </c>
      <c r="G14" s="352" t="s">
        <v>145</v>
      </c>
    </row>
    <row r="15" spans="1:8" x14ac:dyDescent="0.3">
      <c r="A15" s="36" t="s">
        <v>112</v>
      </c>
      <c r="B15" s="37">
        <v>1</v>
      </c>
      <c r="C15" s="54">
        <v>0.5</v>
      </c>
      <c r="D15" s="55"/>
      <c r="E15" s="40"/>
      <c r="G15" s="357">
        <v>1</v>
      </c>
    </row>
    <row r="16" spans="1:8" ht="16.2" thickBot="1" x14ac:dyDescent="0.35">
      <c r="A16" s="47"/>
      <c r="B16" s="48"/>
      <c r="C16" s="49"/>
      <c r="D16" s="50"/>
      <c r="E16" s="51"/>
      <c r="G16" s="356"/>
    </row>
    <row r="17" spans="1:7" ht="16.2" thickTop="1" x14ac:dyDescent="0.3">
      <c r="A17" s="30"/>
      <c r="B17" s="30"/>
      <c r="C17" s="30"/>
    </row>
    <row r="18" spans="1:7" x14ac:dyDescent="0.3">
      <c r="A18" s="30"/>
      <c r="E18" s="188" t="s">
        <v>150</v>
      </c>
      <c r="F18" s="244"/>
      <c r="G18" s="442">
        <f>SUM(G3:G16)</f>
        <v>24301</v>
      </c>
    </row>
    <row r="19" spans="1:7" x14ac:dyDescent="0.3">
      <c r="E19" s="188" t="s">
        <v>151</v>
      </c>
      <c r="F19" s="244"/>
      <c r="G19" s="442">
        <f>G18+Martial!M27</f>
        <v>32372.05</v>
      </c>
    </row>
  </sheetData>
  <sortState xmlns:xlrd2="http://schemas.microsoft.com/office/spreadsheetml/2017/richdata2" ref="A40:D52">
    <sortCondition ref="A40:A5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Spellcasting</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2025-01-26T23:58:13Z</dcterms:modified>
</cp:coreProperties>
</file>