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31391103-E378-4E12-9974-CF0C400E2DE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File'!$A$1:$H$25</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9" l="1"/>
  <c r="B8" i="4" l="1"/>
  <c r="H3" i="6" s="1"/>
  <c r="H4" i="6" s="1"/>
  <c r="D12" i="6"/>
  <c r="D13" i="6"/>
  <c r="D14" i="6"/>
  <c r="M22" i="6"/>
  <c r="E13" i="4"/>
  <c r="I3" i="6"/>
  <c r="I4" i="6"/>
  <c r="H9" i="20"/>
  <c r="H8" i="20"/>
  <c r="H7" i="20"/>
  <c r="H6" i="20"/>
  <c r="H5" i="20"/>
  <c r="H4" i="20"/>
  <c r="H3" i="20"/>
  <c r="B11" i="4"/>
  <c r="B10" i="4"/>
  <c r="J3" i="6" l="1"/>
  <c r="J4" i="6"/>
  <c r="B15" i="4"/>
  <c r="B14" i="4"/>
  <c r="B13" i="4"/>
  <c r="B12" i="4"/>
  <c r="A9" i="20" l="1"/>
  <c r="C18" i="19" l="1"/>
  <c r="M26" i="6" l="1"/>
  <c r="C19" i="19" l="1"/>
  <c r="F28" i="15"/>
  <c r="G22" i="6" l="1"/>
  <c r="E11" i="4" s="1"/>
  <c r="I9" i="6" l="1"/>
  <c r="I8" i="6"/>
  <c r="B5" i="15" l="1"/>
  <c r="B4" i="15"/>
  <c r="B3" i="15"/>
  <c r="H23" i="15"/>
  <c r="H20" i="15"/>
  <c r="H27" i="15"/>
  <c r="H26" i="15"/>
  <c r="B43" i="15"/>
  <c r="E12" i="4"/>
  <c r="I14" i="6" l="1"/>
  <c r="I13" i="6"/>
  <c r="I12" i="6"/>
  <c r="H3" i="15" l="1"/>
  <c r="H4" i="15"/>
  <c r="H5" i="15"/>
  <c r="H6" i="15"/>
  <c r="H7" i="15"/>
  <c r="H8" i="15"/>
  <c r="H9" i="15"/>
  <c r="H10" i="15"/>
  <c r="H11" i="15"/>
  <c r="H12" i="15"/>
  <c r="H13" i="15"/>
  <c r="H14" i="15"/>
  <c r="F15" i="15"/>
  <c r="H15" i="15"/>
  <c r="H16" i="15"/>
  <c r="H17" i="15"/>
  <c r="H18" i="15"/>
  <c r="H19" i="15"/>
  <c r="H21" i="15"/>
  <c r="H22" i="15"/>
  <c r="H24" i="15"/>
  <c r="H25" i="15"/>
  <c r="H28" i="15"/>
  <c r="H29" i="15"/>
  <c r="H30" i="15"/>
  <c r="H31" i="15"/>
  <c r="H32" i="15"/>
  <c r="H33" i="15"/>
  <c r="F34" i="15"/>
  <c r="H34" i="15"/>
  <c r="M25" i="6" l="1"/>
  <c r="I15" i="6" l="1"/>
  <c r="I5" i="6"/>
  <c r="I6" i="6"/>
  <c r="I7" i="6"/>
  <c r="H41" i="15" l="1"/>
  <c r="H40" i="15"/>
  <c r="H37" i="15" l="1"/>
  <c r="G17" i="19" l="1"/>
  <c r="G16" i="19"/>
  <c r="G22" i="19" s="1"/>
  <c r="C16" i="19" l="1"/>
  <c r="C17" i="19"/>
  <c r="H36" i="15" l="1"/>
  <c r="H42" i="15" l="1"/>
  <c r="H39" i="15"/>
  <c r="H38" i="15"/>
  <c r="H35" i="15"/>
  <c r="C12" i="4" l="1"/>
  <c r="D10" i="15" l="1"/>
  <c r="D3" i="15"/>
  <c r="C10" i="4"/>
  <c r="C11" i="4"/>
  <c r="C13" i="4"/>
  <c r="C14" i="4"/>
  <c r="C15" i="4"/>
  <c r="E44" i="15" l="1"/>
  <c r="H8" i="6"/>
  <c r="J8" i="6" s="1"/>
  <c r="H9" i="6"/>
  <c r="J9" i="6" s="1"/>
  <c r="E15" i="4"/>
  <c r="E14" i="4" s="1"/>
  <c r="H14" i="6"/>
  <c r="J14" i="6" s="1"/>
  <c r="H12" i="6"/>
  <c r="D5" i="15"/>
  <c r="D20" i="15"/>
  <c r="G20" i="15" s="1"/>
  <c r="D26" i="15"/>
  <c r="D30" i="15"/>
  <c r="D33" i="15"/>
  <c r="D17" i="15"/>
  <c r="D11" i="15"/>
  <c r="D12" i="15"/>
  <c r="D32" i="15"/>
  <c r="D6" i="15"/>
  <c r="D24" i="15"/>
  <c r="D14" i="15"/>
  <c r="D25" i="15"/>
  <c r="D7" i="15"/>
  <c r="D31" i="15"/>
  <c r="D21" i="15"/>
  <c r="D4" i="15"/>
  <c r="D27" i="15"/>
  <c r="D34" i="15"/>
  <c r="D16" i="15"/>
  <c r="D28" i="15"/>
  <c r="D23" i="15"/>
  <c r="D9" i="15"/>
  <c r="E3" i="15"/>
  <c r="G3" i="15"/>
  <c r="I3" i="15" s="1"/>
  <c r="D15" i="15"/>
  <c r="D8" i="15"/>
  <c r="D18" i="15"/>
  <c r="D29" i="15"/>
  <c r="D13" i="15"/>
  <c r="D19" i="15"/>
  <c r="D22" i="15"/>
  <c r="G10" i="15"/>
  <c r="I10" i="15" s="1"/>
  <c r="E10" i="15"/>
  <c r="E48" i="15"/>
  <c r="E49" i="15"/>
  <c r="D35" i="15"/>
  <c r="E35" i="15" s="1"/>
  <c r="D36" i="15"/>
  <c r="E36" i="15" s="1"/>
  <c r="D42" i="15"/>
  <c r="E42" i="15" s="1"/>
  <c r="D40" i="15"/>
  <c r="E40" i="15" s="1"/>
  <c r="D39" i="15"/>
  <c r="E39" i="15" s="1"/>
  <c r="D41" i="15"/>
  <c r="E41" i="15" s="1"/>
  <c r="D37" i="15"/>
  <c r="E37" i="15" s="1"/>
  <c r="D38" i="15"/>
  <c r="E38" i="15" s="1"/>
  <c r="H5" i="6"/>
  <c r="J5" i="6" s="1"/>
  <c r="H6" i="6"/>
  <c r="H15" i="6"/>
  <c r="J15" i="6" s="1"/>
  <c r="E46" i="15"/>
  <c r="E47" i="15"/>
  <c r="E45" i="15"/>
  <c r="H13" i="6" l="1"/>
  <c r="J13" i="6" s="1"/>
  <c r="J12" i="6"/>
  <c r="G29" i="15"/>
  <c r="I29" i="15" s="1"/>
  <c r="E29" i="15"/>
  <c r="E28" i="15"/>
  <c r="G28" i="15"/>
  <c r="I28" i="15" s="1"/>
  <c r="E11" i="15"/>
  <c r="G11" i="15"/>
  <c r="I11" i="15" s="1"/>
  <c r="G18" i="15"/>
  <c r="I18" i="15" s="1"/>
  <c r="E18" i="15"/>
  <c r="E16" i="15"/>
  <c r="G16" i="15"/>
  <c r="I16" i="15" s="1"/>
  <c r="E25" i="15"/>
  <c r="G25" i="15"/>
  <c r="I25" i="15" s="1"/>
  <c r="E17" i="15"/>
  <c r="G17" i="15"/>
  <c r="I17" i="15" s="1"/>
  <c r="E15" i="15"/>
  <c r="G15" i="15"/>
  <c r="I15" i="15" s="1"/>
  <c r="G27" i="15"/>
  <c r="I27" i="15" s="1"/>
  <c r="E27" i="15"/>
  <c r="E14" i="15"/>
  <c r="G14" i="15"/>
  <c r="I14" i="15" s="1"/>
  <c r="E33" i="15"/>
  <c r="G33" i="15"/>
  <c r="I33" i="15" s="1"/>
  <c r="E4" i="15"/>
  <c r="G4" i="15"/>
  <c r="I4" i="15" s="1"/>
  <c r="E24" i="15"/>
  <c r="G24" i="15"/>
  <c r="I24" i="15" s="1"/>
  <c r="G30" i="15"/>
  <c r="I30" i="15" s="1"/>
  <c r="E30" i="15"/>
  <c r="G8" i="15"/>
  <c r="I8" i="15" s="1"/>
  <c r="E8" i="15"/>
  <c r="E22" i="15"/>
  <c r="G22" i="15"/>
  <c r="I22" i="15" s="1"/>
  <c r="E21" i="15"/>
  <c r="G21" i="15"/>
  <c r="I21" i="15" s="1"/>
  <c r="E6" i="15"/>
  <c r="G6" i="15"/>
  <c r="I6" i="15" s="1"/>
  <c r="G26" i="15"/>
  <c r="I26" i="15" s="1"/>
  <c r="E26" i="15"/>
  <c r="E34" i="15"/>
  <c r="G34" i="15"/>
  <c r="I34" i="15" s="1"/>
  <c r="G19" i="15"/>
  <c r="I19" i="15" s="1"/>
  <c r="E19" i="15"/>
  <c r="G9" i="15"/>
  <c r="I9" i="15" s="1"/>
  <c r="E9" i="15"/>
  <c r="G31" i="15"/>
  <c r="I31" i="15" s="1"/>
  <c r="E31" i="15"/>
  <c r="E32" i="15"/>
  <c r="G32" i="15"/>
  <c r="I32" i="15" s="1"/>
  <c r="I20" i="15"/>
  <c r="E20" i="15"/>
  <c r="E13" i="15"/>
  <c r="G13" i="15"/>
  <c r="I13" i="15" s="1"/>
  <c r="E23" i="15"/>
  <c r="G23" i="15"/>
  <c r="I23" i="15" s="1"/>
  <c r="E7" i="15"/>
  <c r="G7" i="15"/>
  <c r="I7" i="15" s="1"/>
  <c r="E12" i="15"/>
  <c r="G12" i="15"/>
  <c r="I12" i="15" s="1"/>
  <c r="E5" i="15"/>
  <c r="G5" i="15"/>
  <c r="I5" i="15" s="1"/>
  <c r="E43" i="15"/>
  <c r="J6" i="6"/>
  <c r="H7" i="6"/>
  <c r="J7" i="6" s="1"/>
  <c r="G41" i="15" l="1"/>
  <c r="G40" i="15"/>
  <c r="G36" i="15"/>
  <c r="G39" i="15"/>
  <c r="G35" i="15"/>
  <c r="G42" i="15"/>
  <c r="G37" i="15"/>
  <c r="G38" i="15"/>
  <c r="I39" i="15" l="1"/>
  <c r="I37" i="15"/>
  <c r="I42" i="15"/>
  <c r="I36" i="15"/>
  <c r="I38" i="15"/>
  <c r="I35" i="15"/>
  <c r="I40" i="15"/>
  <c r="I4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aid +1
haste +1    Shaken -2</t>
        </r>
      </text>
    </comment>
    <comment ref="B10" authorId="0" shapeId="0" xr:uid="{AC4D7C9D-4465-4543-97FE-56BC1FD9E18A}">
      <text>
        <r>
          <rPr>
            <i/>
            <sz val="12"/>
            <color indexed="81"/>
            <rFont val="Times New Roman"/>
            <family val="1"/>
          </rPr>
          <t>Fatigue -2</t>
        </r>
      </text>
    </comment>
    <comment ref="E10" authorId="0" shapeId="0" xr:uid="{6A7766DF-AACD-4F97-AE64-9B9635FF8893}">
      <text>
        <r>
          <rPr>
            <sz val="12"/>
            <color indexed="81"/>
            <rFont val="Times New Roman"/>
            <family val="1"/>
          </rPr>
          <t>See PHB 162</t>
        </r>
      </text>
    </comment>
    <comment ref="B11" authorId="0" shapeId="0" xr:uid="{60B9CB26-6530-4638-A269-CC35DC8C5101}">
      <text>
        <r>
          <rPr>
            <i/>
            <sz val="12"/>
            <color indexed="81"/>
            <rFont val="Times New Roman"/>
            <family val="1"/>
          </rPr>
          <t>Fatigue -2</t>
        </r>
      </text>
    </comment>
    <comment ref="E12" authorId="0" shapeId="0" xr:uid="{00000000-0006-0000-0000-000005000000}">
      <text>
        <r>
          <rPr>
            <sz val="12"/>
            <color indexed="81"/>
            <rFont val="Times New Roman"/>
            <family val="1"/>
          </rPr>
          <t>11 Musteval +
[(6 * 6 Rogue) * 75%] + 
(6 * 1 Con)</t>
        </r>
      </text>
    </comment>
    <comment ref="E13" authorId="0" shapeId="0" xr:uid="{00000000-0006-0000-0000-000006000000}">
      <text>
        <r>
          <rPr>
            <sz val="12"/>
            <color indexed="81"/>
            <rFont val="Times New Roman"/>
            <family val="1"/>
          </rPr>
          <t xml:space="preserve">+1 vs. Traps
+2 </t>
        </r>
        <r>
          <rPr>
            <i/>
            <sz val="12"/>
            <color indexed="81"/>
            <rFont val="Times New Roman"/>
            <family val="1"/>
          </rPr>
          <t>shield of faith
+1 haste</t>
        </r>
      </text>
    </comment>
    <comment ref="E14" authorId="0" shapeId="0" xr:uid="{00000000-0006-0000-0000-000007000000}">
      <text>
        <r>
          <rPr>
            <sz val="12"/>
            <color indexed="81"/>
            <rFont val="Times New Roman"/>
            <family val="1"/>
          </rPr>
          <t>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8CD7D04-9843-4A5F-BE7F-43172295686C}">
      <text>
        <r>
          <rPr>
            <sz val="12"/>
            <color indexed="81"/>
            <rFont val="Times New Roman"/>
            <family val="1"/>
          </rPr>
          <t>Shaken -2</t>
        </r>
      </text>
    </comment>
    <comment ref="F4" authorId="0" shapeId="0" xr:uid="{2A82937F-9EA0-4A04-9CA5-4B748CEEFABA}">
      <text>
        <r>
          <rPr>
            <sz val="12"/>
            <color indexed="81"/>
            <rFont val="Times New Roman"/>
            <family val="1"/>
          </rPr>
          <t>Shaken -2</t>
        </r>
      </text>
    </comment>
    <comment ref="F5" authorId="0" shapeId="0" xr:uid="{B37C5351-C2F0-4D2A-8A6C-CEC74FCD8E5D}">
      <text>
        <r>
          <rPr>
            <sz val="12"/>
            <color indexed="81"/>
            <rFont val="Times New Roman"/>
            <family val="1"/>
          </rPr>
          <t>Shaken -2</t>
        </r>
      </text>
    </comment>
    <comment ref="F7" authorId="0" shapeId="0" xr:uid="{00000000-0006-0000-0100-000004000000}">
      <text>
        <r>
          <rPr>
            <sz val="12"/>
            <color indexed="81"/>
            <rFont val="Times New Roman"/>
            <family val="1"/>
          </rPr>
          <t>Tumble Synergy</t>
        </r>
      </text>
    </comment>
    <comment ref="F9" authorId="0" shapeId="0" xr:uid="{00000000-0006-0000-0100-000005000000}">
      <text>
        <r>
          <rPr>
            <sz val="12"/>
            <color indexed="81"/>
            <rFont val="Times New Roman"/>
            <family val="1"/>
          </rPr>
          <t>Climbing Kit +2</t>
        </r>
      </text>
    </comment>
    <comment ref="F13" authorId="0" shapeId="0" xr:uid="{00000000-0006-0000-0100-000007000000}">
      <text>
        <r>
          <rPr>
            <sz val="12"/>
            <color indexed="81"/>
            <rFont val="Times New Roman"/>
            <family val="1"/>
          </rPr>
          <t>Synergy +2</t>
        </r>
      </text>
    </comment>
    <comment ref="F14" authorId="0" shapeId="0" xr:uid="{00000000-0006-0000-0100-000008000000}">
      <text>
        <r>
          <rPr>
            <sz val="12"/>
            <color indexed="81"/>
            <rFont val="Times New Roman"/>
            <family val="1"/>
          </rPr>
          <t>MW lockpick</t>
        </r>
      </text>
    </comment>
    <comment ref="F15" authorId="0" shapeId="0" xr:uid="{00000000-0006-0000-0100-000009000000}">
      <text>
        <r>
          <rPr>
            <sz val="12"/>
            <color indexed="81"/>
            <rFont val="Times New Roman"/>
            <family val="1"/>
          </rPr>
          <t xml:space="preserve">+10 when </t>
        </r>
        <r>
          <rPr>
            <i/>
            <sz val="12"/>
            <color indexed="81"/>
            <rFont val="Times New Roman"/>
            <family val="1"/>
          </rPr>
          <t>shapechanged</t>
        </r>
        <r>
          <rPr>
            <sz val="12"/>
            <color indexed="81"/>
            <rFont val="Times New Roman"/>
            <family val="1"/>
          </rPr>
          <t xml:space="preserve">
Bluff Synergy +2</t>
        </r>
      </text>
    </comment>
    <comment ref="F18" authorId="0" shapeId="0" xr:uid="{00000000-0006-0000-0100-00000A000000}">
      <text>
        <r>
          <rPr>
            <sz val="12"/>
            <color indexed="81"/>
            <rFont val="Times New Roman"/>
            <family val="1"/>
          </rPr>
          <t>Synergy +2</t>
        </r>
      </text>
    </comment>
    <comment ref="F21" authorId="0" shapeId="0" xr:uid="{F45478C5-33C1-4E2B-B5F1-1748E13C9F4B}">
      <text>
        <r>
          <rPr>
            <sz val="12"/>
            <color indexed="81"/>
            <rFont val="Times New Roman"/>
            <family val="1"/>
          </rPr>
          <t>Tiny</t>
        </r>
      </text>
    </comment>
    <comment ref="F22" authorId="0" shapeId="0" xr:uid="{00000000-0006-0000-0100-00000B000000}">
      <text>
        <r>
          <rPr>
            <sz val="12"/>
            <color indexed="81"/>
            <rFont val="Times New Roman"/>
            <family val="1"/>
          </rPr>
          <t>Synergy +2</t>
        </r>
      </text>
    </comment>
    <comment ref="F23" authorId="0" shapeId="0" xr:uid="{00000000-0006-0000-0100-00000C000000}">
      <text>
        <r>
          <rPr>
            <sz val="12"/>
            <color indexed="81"/>
            <rFont val="Times New Roman"/>
            <family val="1"/>
          </rPr>
          <t>Tumble Synergy</t>
        </r>
      </text>
    </comment>
    <comment ref="F27" authorId="0" shapeId="0" xr:uid="{69E3D63F-EAF9-4E7F-AD0B-E7CBEB97C44A}">
      <text>
        <r>
          <rPr>
            <sz val="12"/>
            <color indexed="81"/>
            <rFont val="Times New Roman"/>
            <family val="1"/>
          </rPr>
          <t>Tiny</t>
        </r>
      </text>
    </comment>
    <comment ref="F28" authorId="0" shapeId="0" xr:uid="{00000000-0006-0000-0100-00000D000000}">
      <text>
        <r>
          <rPr>
            <sz val="12"/>
            <color indexed="81"/>
            <rFont val="Times New Roman"/>
            <family val="1"/>
          </rPr>
          <t>MW lockpick</t>
        </r>
      </text>
    </comment>
    <comment ref="F34" authorId="0" shapeId="0" xr:uid="{00000000-0006-0000-0100-00000E000000}">
      <text>
        <r>
          <rPr>
            <sz val="12"/>
            <color indexed="81"/>
            <rFont val="Times New Roman"/>
            <family val="1"/>
          </rPr>
          <t>Synergy +2
Deft Hands +2</t>
        </r>
      </text>
    </comment>
    <comment ref="F37" authorId="0" shapeId="0" xr:uid="{00000000-0006-0000-0100-00000F000000}">
      <text>
        <r>
          <rPr>
            <sz val="12"/>
            <color indexed="81"/>
            <rFont val="Times New Roman"/>
            <family val="1"/>
          </rPr>
          <t>Scout’s Headband +2</t>
        </r>
      </text>
    </comment>
    <comment ref="F40" authorId="0" shapeId="0" xr:uid="{00000000-0006-0000-0100-000010000000}">
      <text>
        <r>
          <rPr>
            <sz val="12"/>
            <color indexed="81"/>
            <rFont val="Times New Roman"/>
            <family val="1"/>
          </rPr>
          <t>Acrobat Boots</t>
        </r>
      </text>
    </comment>
    <comment ref="F42" authorId="0" shapeId="0" xr:uid="{00000000-0006-0000-0100-000011000000}">
      <text>
        <r>
          <rPr>
            <sz val="12"/>
            <color indexed="81"/>
            <rFont val="Times New Roman"/>
            <family val="1"/>
          </rPr>
          <t>Deft Hands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C71F97BD-3AF1-4FCC-92CF-6BEEC1339A63}">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A3" authorId="0" shapeId="0" xr:uid="{6F4F7F5C-C188-4767-84FF-0CFE3650B0DB}">
      <text>
        <r>
          <rPr>
            <sz val="12"/>
            <color indexed="81"/>
            <rFont val="Times New Roman"/>
            <family val="1"/>
          </rPr>
          <t xml:space="preserve">You are adept at striking to deal nonlethal damage even with normal weapons.
</t>
        </r>
        <r>
          <rPr>
            <b/>
            <sz val="12"/>
            <color indexed="81"/>
            <rFont val="Times New Roman"/>
            <family val="1"/>
          </rPr>
          <t xml:space="preserve">Benefit: </t>
        </r>
        <r>
          <rPr>
            <sz val="12"/>
            <color indexed="81"/>
            <rFont val="Times New Roman"/>
            <family val="1"/>
          </rPr>
          <t xml:space="preserve">You can use any melee weapon to deal nonlethal damage with no penalty on your attack roll. If you are a rogue,
you can deal nonlethal damage with your sneak attack even if you are using a normal melee weapon. This feat does not allow you to deal nonlethal damage with ranged weapons.
</t>
        </r>
        <r>
          <rPr>
            <b/>
            <sz val="12"/>
            <color indexed="81"/>
            <rFont val="Times New Roman"/>
            <family val="1"/>
          </rPr>
          <t xml:space="preserve">Normal: </t>
        </r>
        <r>
          <rPr>
            <sz val="12"/>
            <color indexed="81"/>
            <rFont val="Times New Roman"/>
            <family val="1"/>
          </rPr>
          <t xml:space="preserve">If you use a melee weapon designed to deal lethal damage to deal nonlethal damage instead, you take a –4 penalty on your attack roll. Rogues normally can only use saps or unarmed strikes to deal nonlethal damage with their sneak attacks.
</t>
        </r>
        <r>
          <rPr>
            <b/>
            <sz val="12"/>
            <color indexed="81"/>
            <rFont val="Times New Roman"/>
            <family val="1"/>
          </rPr>
          <t xml:space="preserve">Special: </t>
        </r>
        <r>
          <rPr>
            <sz val="12"/>
            <color indexed="81"/>
            <rFont val="Times New Roman"/>
            <family val="1"/>
          </rPr>
          <t>A fighter may select Subduing Strike as one of his fighter bonus feats.
Book of Exalted Feats 46</t>
        </r>
      </text>
    </comment>
    <comment ref="C3" authorId="0" shapeId="0" xr:uid="{F7EFB371-9A2F-4B7E-A0D3-F8FFC08C2743}">
      <text>
        <r>
          <rPr>
            <sz val="12"/>
            <color indexed="81"/>
            <rFont val="Times New Roman"/>
            <family val="1"/>
          </rPr>
          <t>Hand crossbow, rapier, sap, shortbow, and short sword.
PHB 50</t>
        </r>
      </text>
    </comment>
    <comment ref="A4" authorId="0" shapeId="0" xr:uid="{E09B924F-E2EE-4B65-9336-0D496836086B}">
      <text>
        <r>
          <rPr>
            <sz val="12"/>
            <color indexed="81"/>
            <rFont val="Times New Roman"/>
            <family val="1"/>
          </rPr>
          <t xml:space="preserve">The winds of fortune guide your hands when you most need luck.
</t>
        </r>
        <r>
          <rPr>
            <b/>
            <sz val="12"/>
            <color indexed="81"/>
            <rFont val="Times New Roman"/>
            <family val="1"/>
          </rPr>
          <t xml:space="preserve">Benefit:  </t>
        </r>
        <r>
          <rPr>
            <sz val="12"/>
            <color indexed="81"/>
            <rFont val="Times New Roman"/>
            <family val="1"/>
          </rPr>
          <t>You can expend one luck reroll as an immediate action to reroll a Disable Device, Open Lock, or Sleight of Hand check.
You gain one luck reroll per day.
Complete Scoundrel 79</t>
        </r>
      </text>
    </comment>
    <comment ref="A5" authorId="0" shapeId="0" xr:uid="{00000000-0006-0000-0300-000005000000}">
      <text>
        <r>
          <rPr>
            <sz val="12"/>
            <color indexed="81"/>
            <rFont val="Times New Roman"/>
            <family val="1"/>
          </rPr>
          <t xml:space="preserve">You have exceptional manual dexterity.
</t>
        </r>
        <r>
          <rPr>
            <b/>
            <sz val="12"/>
            <color indexed="81"/>
            <rFont val="Times New Roman"/>
            <family val="1"/>
          </rPr>
          <t xml:space="preserve">Benefit:  </t>
        </r>
        <r>
          <rPr>
            <sz val="12"/>
            <color indexed="81"/>
            <rFont val="Times New Roman"/>
            <family val="1"/>
          </rPr>
          <t>You get a +2 bonus on all Sleight of Hand checks and
Use Rope checks.
PHB 93</t>
        </r>
      </text>
    </comment>
    <comment ref="A8" authorId="0" shapeId="0" xr:uid="{00000000-0006-0000-0300-000009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9" authorId="0" shapeId="0" xr:uid="{00000000-0006-0000-0300-00000A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10"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1" authorId="0" shapeId="0" xr:uid="{00000000-0006-0000-0300-00000C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A12" authorId="0" shapeId="0" xr:uid="{73EDF355-8958-4AE5-B538-D2284F741EFE}">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3" authorId="0" shapeId="0" xr:uid="{ECBE49D5-744C-4BAC-B9DD-E2A486AD5C11}">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sz val="12"/>
            <color indexed="81"/>
            <rFont val="Times New Roman"/>
            <family val="1"/>
          </rPr>
          <t>This ability doubles the threat range of a weapon.  For instance, if it is placed on a longsword (which has a normal threat range of 19–20), the keen longsword scores a threat on a 17–20.  Only piercing or slashing weapons can be keen.  (If you roll this property randomly for an inappropriate weapon, reroll.) This benefit doesn’t stack with any other effect that expands the threat range of a weapon (such as the keen edge spell or the Improved Critical feat).
DMG 225</t>
        </r>
      </text>
    </comment>
    <comment ref="D3" authorId="0" shapeId="0" xr:uid="{22F50D41-DC79-4CFC-A0EC-BA460E257A3F}">
      <text>
        <r>
          <rPr>
            <sz val="12"/>
            <color indexed="81"/>
            <rFont val="Times New Roman"/>
            <family val="1"/>
          </rPr>
          <t>Inspire Courage +2</t>
        </r>
      </text>
    </comment>
    <comment ref="D4" authorId="0" shapeId="0" xr:uid="{11C0E786-5728-4FEB-99A0-87E57170A66C}">
      <text>
        <r>
          <rPr>
            <sz val="12"/>
            <color indexed="81"/>
            <rFont val="Times New Roman"/>
            <family val="1"/>
          </rPr>
          <t>Inspire Courage +2</t>
        </r>
      </text>
    </comment>
    <comment ref="D5" authorId="0" shapeId="0" xr:uid="{4E6A793A-5466-414C-840D-15C00B2E2585}">
      <text>
        <r>
          <rPr>
            <sz val="12"/>
            <color indexed="81"/>
            <rFont val="Times New Roman"/>
            <family val="1"/>
          </rPr>
          <t>Inspire Courage +2</t>
        </r>
      </text>
    </comment>
    <comment ref="D6" authorId="0" shapeId="0" xr:uid="{79D89CE6-A51A-4DD7-921C-9668A7E62691}">
      <text>
        <r>
          <rPr>
            <sz val="12"/>
            <color indexed="81"/>
            <rFont val="Times New Roman"/>
            <family val="1"/>
          </rPr>
          <t>Inspire Courage +2</t>
        </r>
      </text>
    </comment>
    <comment ref="K6" authorId="0" shapeId="0" xr:uid="{D375EEF5-768B-4ABB-8711-CF47BA9DBA47}">
      <text>
        <r>
          <rPr>
            <sz val="12"/>
            <color indexed="81"/>
            <rFont val="Times New Roman"/>
            <family val="1"/>
          </rPr>
          <t xml:space="preserve">You are adept at striking to deal nonlethal damage even with normal weapons.
</t>
        </r>
        <r>
          <rPr>
            <b/>
            <sz val="12"/>
            <color indexed="81"/>
            <rFont val="Times New Roman"/>
            <family val="1"/>
          </rPr>
          <t xml:space="preserve">Benefit: </t>
        </r>
        <r>
          <rPr>
            <sz val="12"/>
            <color indexed="81"/>
            <rFont val="Times New Roman"/>
            <family val="1"/>
          </rPr>
          <t xml:space="preserve">You can use any melee weapon to deal nonlethal damage with no penalty on your attack roll. If you are a rogue,
you can deal nonlethal damage with your sneak attack even if you are using a normal melee weapon. This feat does not allow you to deal nonlethal damage with ranged weapons.
</t>
        </r>
        <r>
          <rPr>
            <b/>
            <sz val="12"/>
            <color indexed="81"/>
            <rFont val="Times New Roman"/>
            <family val="1"/>
          </rPr>
          <t xml:space="preserve">Normal: </t>
        </r>
        <r>
          <rPr>
            <sz val="12"/>
            <color indexed="81"/>
            <rFont val="Times New Roman"/>
            <family val="1"/>
          </rPr>
          <t xml:space="preserve">If you use a melee weapon designed to deal lethal damage to deal nonlethal damage instead, you take a –4 penalty on your attack roll. Rogues normally can only use saps or unarmed strikes to deal nonlethal damage with their sneak attacks.
</t>
        </r>
        <r>
          <rPr>
            <b/>
            <sz val="12"/>
            <color indexed="81"/>
            <rFont val="Times New Roman"/>
            <family val="1"/>
          </rPr>
          <t xml:space="preserve">Special: </t>
        </r>
        <r>
          <rPr>
            <sz val="12"/>
            <color indexed="81"/>
            <rFont val="Times New Roman"/>
            <family val="1"/>
          </rPr>
          <t>A fighter may select Subduing Strike as one of his fighter bonus feats.
Book of Exalted Feats 46</t>
        </r>
      </text>
    </comment>
    <comment ref="D7" authorId="0" shapeId="0" xr:uid="{E3AA1F6D-7F9F-4A96-AAED-93B4A0477D93}">
      <text>
        <r>
          <rPr>
            <sz val="12"/>
            <color indexed="81"/>
            <rFont val="Times New Roman"/>
            <family val="1"/>
          </rPr>
          <t>Inspire Courage +2</t>
        </r>
      </text>
    </comment>
    <comment ref="K7" authorId="0" shapeId="0" xr:uid="{A194D84C-8D2C-449C-BE9A-69E9E7D1AAC8}">
      <text>
        <r>
          <rPr>
            <sz val="12"/>
            <color indexed="81"/>
            <rFont val="Times New Roman"/>
            <family val="1"/>
          </rPr>
          <t xml:space="preserve">You are adept at striking to deal nonlethal damage even with normal weapons.
</t>
        </r>
        <r>
          <rPr>
            <b/>
            <sz val="12"/>
            <color indexed="81"/>
            <rFont val="Times New Roman"/>
            <family val="1"/>
          </rPr>
          <t xml:space="preserve">Benefit: </t>
        </r>
        <r>
          <rPr>
            <sz val="12"/>
            <color indexed="81"/>
            <rFont val="Times New Roman"/>
            <family val="1"/>
          </rPr>
          <t xml:space="preserve">You can use any melee weapon to deal nonlethal damage with no penalty on your attack roll. If you are a rogue,
you can deal nonlethal damage with your sneak attack even if you are using a normal melee weapon. This feat does not allow you to deal nonlethal damage with ranged weapons.
</t>
        </r>
        <r>
          <rPr>
            <b/>
            <sz val="12"/>
            <color indexed="81"/>
            <rFont val="Times New Roman"/>
            <family val="1"/>
          </rPr>
          <t xml:space="preserve">Normal: </t>
        </r>
        <r>
          <rPr>
            <sz val="12"/>
            <color indexed="81"/>
            <rFont val="Times New Roman"/>
            <family val="1"/>
          </rPr>
          <t xml:space="preserve">If you use a melee weapon designed to deal lethal damage to deal nonlethal damage instead, you take a –4 penalty on your attack roll. Rogues normally can only use saps or unarmed strikes to deal nonlethal damage with their sneak attacks.
</t>
        </r>
        <r>
          <rPr>
            <b/>
            <sz val="12"/>
            <color indexed="81"/>
            <rFont val="Times New Roman"/>
            <family val="1"/>
          </rPr>
          <t xml:space="preserve">Special: </t>
        </r>
        <r>
          <rPr>
            <sz val="12"/>
            <color indexed="81"/>
            <rFont val="Times New Roman"/>
            <family val="1"/>
          </rPr>
          <t>A fighter may select Subduing Strike as one of his fighter bonus feats.
Book of Exalted Feats 46</t>
        </r>
      </text>
    </comment>
    <comment ref="D8" authorId="0" shapeId="0" xr:uid="{F55A5F43-A3DD-4E0B-8C26-D34E29F96AE7}">
      <text>
        <r>
          <rPr>
            <sz val="12"/>
            <color indexed="81"/>
            <rFont val="Times New Roman"/>
            <family val="1"/>
          </rPr>
          <t>Inspire Courage +2</t>
        </r>
      </text>
    </comment>
    <comment ref="K8" authorId="0" shapeId="0" xr:uid="{8D90866A-6A39-4467-84A0-1CA31FF51678}">
      <text>
        <r>
          <rPr>
            <sz val="12"/>
            <color indexed="81"/>
            <rFont val="Times New Roman"/>
            <family val="1"/>
          </rPr>
          <t xml:space="preserve">You are adept at striking to deal nonlethal damage even with normal weapons.
</t>
        </r>
        <r>
          <rPr>
            <b/>
            <sz val="12"/>
            <color indexed="81"/>
            <rFont val="Times New Roman"/>
            <family val="1"/>
          </rPr>
          <t xml:space="preserve">Benefit: </t>
        </r>
        <r>
          <rPr>
            <sz val="12"/>
            <color indexed="81"/>
            <rFont val="Times New Roman"/>
            <family val="1"/>
          </rPr>
          <t xml:space="preserve">You can use any melee weapon to deal nonlethal damage with no penalty on your attack roll. If you are a rogue,
you can deal nonlethal damage with your sneak attack even if you are using a normal melee weapon. This feat does not allow you to deal nonlethal damage with ranged weapons.
</t>
        </r>
        <r>
          <rPr>
            <b/>
            <sz val="12"/>
            <color indexed="81"/>
            <rFont val="Times New Roman"/>
            <family val="1"/>
          </rPr>
          <t xml:space="preserve">Normal: </t>
        </r>
        <r>
          <rPr>
            <sz val="12"/>
            <color indexed="81"/>
            <rFont val="Times New Roman"/>
            <family val="1"/>
          </rPr>
          <t xml:space="preserve">If you use a melee weapon designed to deal lethal damage to deal nonlethal damage instead, you take a –4 penalty on your attack roll. Rogues normally can only use saps or unarmed strikes to deal nonlethal damage with their sneak attacks.
</t>
        </r>
        <r>
          <rPr>
            <b/>
            <sz val="12"/>
            <color indexed="81"/>
            <rFont val="Times New Roman"/>
            <family val="1"/>
          </rPr>
          <t xml:space="preserve">Special: </t>
        </r>
        <r>
          <rPr>
            <sz val="12"/>
            <color indexed="81"/>
            <rFont val="Times New Roman"/>
            <family val="1"/>
          </rPr>
          <t>A fighter may select Subduing Strike as one of his fighter bonus feats.
Book of Exalted Feats 46</t>
        </r>
      </text>
    </comment>
    <comment ref="D9" authorId="0" shapeId="0" xr:uid="{D46DB6AC-211F-4FC2-BCAC-5311838D17C3}">
      <text>
        <r>
          <rPr>
            <sz val="12"/>
            <color indexed="81"/>
            <rFont val="Times New Roman"/>
            <family val="1"/>
          </rPr>
          <t>Inspire Courage +2</t>
        </r>
      </text>
    </comment>
    <comment ref="D12" authorId="0" shapeId="0" xr:uid="{A84AF8A5-F26A-4B93-8D38-4055A09F81FE}">
      <text>
        <r>
          <rPr>
            <sz val="9"/>
            <color indexed="81"/>
            <rFont val="Tahoma"/>
            <family val="2"/>
          </rPr>
          <t>MW Flechettes (in-house) add +1 to hit)</t>
        </r>
      </text>
    </comment>
    <comment ref="D13" authorId="0" shapeId="0" xr:uid="{857854E7-F762-46AB-817C-5E956B77C349}">
      <text>
        <r>
          <rPr>
            <sz val="9"/>
            <color indexed="81"/>
            <rFont val="Tahoma"/>
            <family val="2"/>
          </rPr>
          <t>MW Flechettes (in-house) add +1 to hit)</t>
        </r>
      </text>
    </comment>
    <comment ref="D14" authorId="0" shapeId="0" xr:uid="{27874D50-D725-4544-B96B-527C99F6C6AE}">
      <text>
        <r>
          <rPr>
            <sz val="9"/>
            <color indexed="81"/>
            <rFont val="Tahoma"/>
            <family val="2"/>
          </rPr>
          <t>MW Flechettes (in-house) add +1 to hit)</t>
        </r>
      </text>
    </comment>
    <comment ref="D17" authorId="0" shapeId="0" xr:uid="{00000000-0006-0000-0400-000005000000}">
      <text>
        <r>
          <rPr>
            <sz val="12"/>
            <color indexed="81"/>
            <rFont val="Times New Roman"/>
            <family val="1"/>
          </rPr>
          <t>Balance, Climb, Escape Artist, Hide, Jump, Move Silently, Sleight of Hand, Tumble.</t>
        </r>
      </text>
    </comment>
    <comment ref="A19" authorId="0" shapeId="0" xr:uid="{B1FD957D-E7A6-4E91-BED5-EC3BC2ED8CA1}">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Several images of stylized anchors cover this strangely dense-looking armor.
When wearing armor or a shield that has this property, you are diffi cult to move from your position during a fi ght. You gain a +5 enhancement bonus on any ability check to resist a bull rush, overrun, or trip attack.
MIC 6</t>
        </r>
      </text>
    </comment>
    <comment ref="G27" authorId="0" shapeId="0" xr:uid="{00000000-0006-0000-0400-000009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 ref="G28" authorId="0" shapeId="0" xr:uid="{00000000-0006-0000-0400-00000A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4000000}">
      <text>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abjuration
</t>
        </r>
        <r>
          <rPr>
            <b/>
            <sz val="12"/>
            <color indexed="81"/>
            <rFont val="Times New Roman"/>
            <family val="1"/>
          </rPr>
          <t xml:space="preserve">Activation:  </t>
        </r>
        <r>
          <rPr>
            <sz val="12"/>
            <color indexed="81"/>
            <rFont val="Times New Roman"/>
            <family val="1"/>
          </rPr>
          <t xml:space="preserve">— and immediate (command)
This circular, coin-shaped talisman is half flame red and half ice blue.
An enduring amulet protects you from extremes of temperature, as if by the endure elements spell.  This is a continuous effect and requires no activation.
In addition, the amulet has 3 charges, which are renewed each day at dawn.
Spending 1 or more charges grants you resistance to cold and fire for 1 round.
</t>
        </r>
        <r>
          <rPr>
            <b/>
            <sz val="12"/>
            <color indexed="81"/>
            <rFont val="Times New Roman"/>
            <family val="1"/>
          </rPr>
          <t xml:space="preserve">1 charge:  </t>
        </r>
        <r>
          <rPr>
            <sz val="12"/>
            <color indexed="81"/>
            <rFont val="Times New Roman"/>
            <family val="1"/>
          </rPr>
          <t xml:space="preserve">Resistance to cold 10 and fire 10.
</t>
        </r>
        <r>
          <rPr>
            <b/>
            <sz val="12"/>
            <color indexed="81"/>
            <rFont val="Times New Roman"/>
            <family val="1"/>
          </rPr>
          <t xml:space="preserve">2 charges:  </t>
        </r>
        <r>
          <rPr>
            <sz val="12"/>
            <color indexed="81"/>
            <rFont val="Times New Roman"/>
            <family val="1"/>
          </rPr>
          <t xml:space="preserve">Resistance to cold 15 and fire 15.
</t>
        </r>
        <r>
          <rPr>
            <b/>
            <sz val="12"/>
            <color indexed="81"/>
            <rFont val="Times New Roman"/>
            <family val="1"/>
          </rPr>
          <t xml:space="preserve">3 charges:  </t>
        </r>
        <r>
          <rPr>
            <sz val="12"/>
            <color indexed="81"/>
            <rFont val="Times New Roman"/>
            <family val="1"/>
          </rPr>
          <t>Resistance to cold 20 and fire 20.
MIC 97</t>
        </r>
      </text>
    </comment>
    <comment ref="A5" authorId="0" shapeId="0" xr:uid="{00000000-0006-0000-0500-000008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 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
MIC 67</t>
        </r>
      </text>
    </comment>
  </commentList>
</comments>
</file>

<file path=xl/sharedStrings.xml><?xml version="1.0" encoding="utf-8"?>
<sst xmlns="http://schemas.openxmlformats.org/spreadsheetml/2006/main" count="394" uniqueCount="222">
  <si>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</si>
  <si>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</si>
  <si>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</si>
  <si>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</si>
  <si>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</si>
  <si>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</si>
  <si>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</si>
  <si>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</si>
  <si>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</si>
  <si>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</si>
  <si>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</si>
  <si>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</si>
  <si>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</si>
  <si>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</si>
  <si>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</si>
  <si>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</si>
  <si>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</si>
  <si>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</si>
  <si>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</si>
  <si>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</si>
  <si>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</si>
  <si>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</si>
  <si>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</si>
  <si>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</si>
  <si>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</si>
  <si>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</si>
  <si>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</si>
  <si>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</si>
  <si>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</si>
  <si>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</si>
  <si>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</si>
  <si>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</si>
  <si>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</si>
  <si>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</si>
  <si>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</si>
  <si>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</si>
  <si>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</si>
  <si>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</si>
  <si>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</si>
  <si>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</si>
  <si>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</si>
  <si>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</si>
  <si>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</si>
  <si>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</si>
  <si>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</si>
  <si>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</si>
  <si>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</si>
  <si>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</si>
  <si>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</si>
  <si>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</si>
  <si>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</si>
  <si>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</si>
  <si>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</si>
  <si>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</si>
  <si>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</si>
  <si>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</si>
  <si>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</si>
  <si>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</si>
  <si>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</si>
  <si>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</si>
  <si>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</si>
  <si>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</si>
  <si>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</si>
  <si>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</si>
  <si>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</si>
  <si>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</si>
  <si>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</si>
  <si>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</si>
  <si>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</si>
  <si>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</si>
  <si>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1</t>
  </si>
  <si>
    <t>Feats</t>
  </si>
  <si>
    <t>Rogue</t>
  </si>
  <si>
    <t>4</t>
  </si>
  <si>
    <t>Evasion</t>
  </si>
  <si>
    <t>Trapfinding</t>
  </si>
  <si>
    <t>2</t>
  </si>
  <si>
    <t>+2 to Climb</t>
  </si>
  <si>
    <t>+2 to Disable Device &amp; Open Locks</t>
  </si>
  <si>
    <t>Roll</t>
  </si>
  <si>
    <t>Simple Weapons</t>
  </si>
  <si>
    <t>Perform:  (type)</t>
  </si>
  <si>
    <t>Profession:  (type)</t>
  </si>
  <si>
    <t>Rogue 1</t>
  </si>
  <si>
    <t>Rogue 2</t>
  </si>
  <si>
    <t>Light Armor</t>
  </si>
  <si>
    <t>Rogue 3</t>
  </si>
  <si>
    <t>Craft:  Alchemy</t>
  </si>
  <si>
    <t>19-20, x2</t>
  </si>
  <si>
    <t>Prcg/Slash</t>
  </si>
  <si>
    <t>Smokesticks</t>
  </si>
  <si>
    <t>Skill/Save</t>
  </si>
  <si>
    <t>Silk Rope</t>
  </si>
  <si>
    <t>Whetstone</t>
  </si>
  <si>
    <t>Piercing</t>
  </si>
  <si>
    <t>x2</t>
  </si>
  <si>
    <t>Belt with 6 Pouches</t>
  </si>
  <si>
    <t>Oil Flask</t>
  </si>
  <si>
    <t>Map Case</t>
  </si>
  <si>
    <t>waterproof</t>
  </si>
  <si>
    <t>100’</t>
  </si>
  <si>
    <t>Climber’s Kit</t>
  </si>
  <si>
    <t>Rogue Weapons</t>
  </si>
  <si>
    <t>Thrown Weapon</t>
  </si>
  <si>
    <t>Rogue 4</t>
  </si>
  <si>
    <t>Thieves’ Tools, Masterwork</t>
  </si>
  <si>
    <t>Equipment Carried</t>
  </si>
  <si>
    <t>Soap Bar</t>
  </si>
  <si>
    <t>-</t>
  </si>
  <si>
    <t>Knowledge:  Archit. &amp; Engin.</t>
  </si>
  <si>
    <t>Value</t>
  </si>
  <si>
    <t>Backpack</t>
  </si>
  <si>
    <t>Scrolls and Potions</t>
  </si>
  <si>
    <t>Level</t>
  </si>
  <si>
    <t>CLev</t>
  </si>
  <si>
    <t>Total Equity:</t>
  </si>
  <si>
    <t>6th:  Deft Hands</t>
  </si>
  <si>
    <t>Rogue 5</t>
  </si>
  <si>
    <t>Lucky Fingers</t>
  </si>
  <si>
    <t>Weapon Finesse</t>
  </si>
  <si>
    <t>Enduring Amulet</t>
  </si>
  <si>
    <t>+2 synergy bonus to find secret doors, etc.</t>
  </si>
  <si>
    <t>Acrobat Boots</t>
  </si>
  <si>
    <t>Rogue 6</t>
  </si>
  <si>
    <t>Uncanny Dodge</t>
  </si>
  <si>
    <r>
      <t xml:space="preserve">Eternal Wand of </t>
    </r>
    <r>
      <rPr>
        <i/>
        <sz val="12"/>
        <rFont val="Times New Roman"/>
        <family val="1"/>
      </rPr>
      <t>Mage Hand</t>
    </r>
  </si>
  <si>
    <r>
      <t xml:space="preserve">Eternal Wand of </t>
    </r>
    <r>
      <rPr>
        <i/>
        <sz val="12"/>
        <rFont val="Times New Roman"/>
        <family val="1"/>
      </rPr>
      <t>Obscuring Mist</t>
    </r>
  </si>
  <si>
    <r>
      <t xml:space="preserve">Wand of </t>
    </r>
    <r>
      <rPr>
        <i/>
        <sz val="12"/>
        <rFont val="Times New Roman"/>
        <family val="1"/>
      </rPr>
      <t>Greater Invisibility</t>
    </r>
  </si>
  <si>
    <t>Properties</t>
  </si>
  <si>
    <t>2x/day; Spellcraft DC 15</t>
  </si>
  <si>
    <r>
      <t xml:space="preserve">Short Sword, </t>
    </r>
    <r>
      <rPr>
        <i/>
        <sz val="12"/>
        <rFont val="Times New Roman"/>
        <family val="1"/>
      </rPr>
      <t>haste</t>
    </r>
  </si>
  <si>
    <t>Short Sword, 2nd Attack</t>
  </si>
  <si>
    <t>17-20, x2</t>
  </si>
  <si>
    <r>
      <t xml:space="preserve">+4 vs. Traps, +1 </t>
    </r>
    <r>
      <rPr>
        <i/>
        <sz val="13"/>
        <rFont val="Times New Roman"/>
        <family val="1"/>
      </rPr>
      <t>haste</t>
    </r>
  </si>
  <si>
    <t>Blowgun, 2nd Attack</t>
  </si>
  <si>
    <t>10’</t>
  </si>
  <si>
    <t>Constitution</t>
  </si>
  <si>
    <t>Dexterity</t>
  </si>
  <si>
    <t>Wisdom</t>
  </si>
  <si>
    <t>Intelligence</t>
  </si>
  <si>
    <t>Charisma</t>
  </si>
  <si>
    <t>Strength</t>
  </si>
  <si>
    <t>Race</t>
  </si>
  <si>
    <t>Class</t>
  </si>
  <si>
    <t>Region</t>
  </si>
  <si>
    <t>Deity</t>
  </si>
  <si>
    <t>Alignment</t>
  </si>
  <si>
    <t>Attack Bonus</t>
  </si>
  <si>
    <t>Initiative</t>
  </si>
  <si>
    <t>Sex</t>
  </si>
  <si>
    <t>Age</t>
  </si>
  <si>
    <t>Height</t>
  </si>
  <si>
    <t>Weight</t>
  </si>
  <si>
    <t>Base Speed</t>
  </si>
  <si>
    <t>Actual Speed</t>
  </si>
  <si>
    <t>Lb. Capacity</t>
  </si>
  <si>
    <t>Lb. Carried</t>
  </si>
  <si>
    <t>Hit Points</t>
  </si>
  <si>
    <t>Touch AC</t>
  </si>
  <si>
    <t>FF AC</t>
  </si>
  <si>
    <t>AC</t>
  </si>
  <si>
    <t>NPC</t>
  </si>
  <si>
    <t>Class Features</t>
  </si>
  <si>
    <t>Racial Abilities</t>
  </si>
  <si>
    <t>1’ 7”</t>
  </si>
  <si>
    <t>10 lbs</t>
  </si>
  <si>
    <t>+4</t>
  </si>
  <si>
    <t>Eager Sap, 2nd Attack</t>
  </si>
  <si>
    <t>Resistance Acid (10) &amp; Cold (10)</t>
  </si>
  <si>
    <t>Immunity to Petrification &amp; Electricity</t>
  </si>
  <si>
    <t>Common, Elven, Dwarven</t>
  </si>
  <si>
    <t>Focused Movement</t>
  </si>
  <si>
    <t>Tongues</t>
  </si>
  <si>
    <t>8</t>
  </si>
  <si>
    <t>Bite</t>
  </si>
  <si>
    <t>1d3-2</t>
  </si>
  <si>
    <t>Musteval</t>
  </si>
  <si>
    <t>Male</t>
  </si>
  <si>
    <t>Knowledge:  The Planes</t>
  </si>
  <si>
    <t>Racial Skills</t>
  </si>
  <si>
    <t>SF</t>
  </si>
  <si>
    <t>DC</t>
  </si>
  <si>
    <t>Cast?</t>
  </si>
  <si>
    <t>Musteval Spells (CL 3)</t>
  </si>
  <si>
    <t>Detect Evil</t>
  </si>
  <si>
    <t>Detect Magic</t>
  </si>
  <si>
    <t>Disguise Self</t>
  </si>
  <si>
    <t>Magic Missile</t>
  </si>
  <si>
    <t>Protection from Evil (self only)</t>
  </si>
  <si>
    <t>Invisibility (1/day, DC13)</t>
  </si>
  <si>
    <t>See Invisibility</t>
  </si>
  <si>
    <t>+3d6 Sneak</t>
  </si>
  <si>
    <t>Solstice</t>
  </si>
  <si>
    <t>Equinox</t>
  </si>
  <si>
    <t>Elysium</t>
  </si>
  <si>
    <t>Mayaheine</t>
  </si>
  <si>
    <t>Chaotic Good</t>
  </si>
  <si>
    <r>
      <t>12</t>
    </r>
    <r>
      <rPr>
        <sz val="13"/>
        <rFont val="Times New Roman"/>
        <family val="1"/>
      </rPr>
      <t>/</t>
    </r>
    <r>
      <rPr>
        <sz val="13"/>
        <color indexed="51"/>
        <rFont val="Times New Roman"/>
        <family val="1"/>
      </rPr>
      <t>23</t>
    </r>
    <r>
      <rPr>
        <sz val="13"/>
        <rFont val="Times New Roman"/>
        <family val="1"/>
      </rPr>
      <t>/</t>
    </r>
    <r>
      <rPr>
        <sz val="13"/>
        <color indexed="10"/>
        <rFont val="Times New Roman"/>
        <family val="1"/>
      </rPr>
      <t>35</t>
    </r>
  </si>
  <si>
    <t>30’/10’ b</t>
  </si>
  <si>
    <t>Keen Short Sword</t>
  </si>
  <si>
    <t>1 nl</t>
  </si>
  <si>
    <t>MW Sap</t>
  </si>
  <si>
    <t>Leather Armor</t>
  </si>
  <si>
    <t>30’</t>
  </si>
  <si>
    <t>Sneak Attack 3d6</t>
  </si>
  <si>
    <t>MW Blowgun</t>
  </si>
  <si>
    <t>+2 vs. Sleep/Charm, +2 if Lucky</t>
  </si>
  <si>
    <r>
      <t xml:space="preserve">Blowgun, </t>
    </r>
    <r>
      <rPr>
        <i/>
        <sz val="12"/>
        <rFont val="Times New Roman"/>
        <family val="1"/>
      </rPr>
      <t>haste</t>
    </r>
  </si>
  <si>
    <t>Anchoring Buckler</t>
  </si>
  <si>
    <r>
      <t xml:space="preserve">Wand of </t>
    </r>
    <r>
      <rPr>
        <i/>
        <sz val="12"/>
        <rFont val="Times New Roman"/>
        <family val="1"/>
      </rPr>
      <t>Cure Moderate Wounds</t>
    </r>
  </si>
  <si>
    <t>Gold Coins</t>
  </si>
  <si>
    <t>Copper Coins</t>
  </si>
  <si>
    <t>Silver Coins</t>
  </si>
  <si>
    <t>Spell</t>
  </si>
  <si>
    <t>@ Will</t>
  </si>
  <si>
    <r>
      <t xml:space="preserve">Eager Sap, </t>
    </r>
    <r>
      <rPr>
        <i/>
        <sz val="12"/>
        <rFont val="Times New Roman"/>
        <family val="1"/>
      </rPr>
      <t>haste</t>
    </r>
  </si>
  <si>
    <t>q</t>
  </si>
  <si>
    <t>1st:  Unbelievable Luck</t>
  </si>
  <si>
    <t>3rd:  Lucky Fingers</t>
  </si>
  <si>
    <t>MW Flechettes</t>
  </si>
  <si>
    <t>Regional:  Subduing Strike</t>
  </si>
  <si>
    <t>+3d6 Sneak, Nonlethal no penalty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</si>
</sst>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 [$₲-474]"/>
  </numFmts>
  <fonts count="62"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i/>
      <sz val="12"/>
      <color indexed="81"/>
      <name val="Times New Roman"/>
      <family val="1"/>
    </font>
    <font>
      <i/>
      <sz val="16"/>
      <color indexed="53"/>
      <name val="Times New Roman"/>
      <family val="1"/>
    </font>
    <font>
      <i/>
      <sz val="16"/>
      <color indexed="57"/>
      <name val="Times New Roman"/>
      <family val="1"/>
    </font>
    <font>
      <sz val="12"/>
      <name val="Times New Roman"/>
      <family val="1"/>
    </font>
    <font>
      <i/>
      <sz val="22"/>
      <color theme="6" tint="-0.249977111117893"/>
      <name val="Times New Roman"/>
      <family val="1"/>
    </font>
    <font>
      <sz val="13"/>
      <color theme="1" tint="0.34998626667073579"/>
      <name val="Times New Roman"/>
      <family val="1"/>
    </font>
    <font>
      <i/>
      <sz val="12"/>
      <name val="Times New Roman"/>
      <family val="1"/>
    </font>
    <font>
      <i/>
      <sz val="16"/>
      <color indexed="10"/>
      <name val="Times New Roman"/>
      <family val="1"/>
    </font>
    <font>
      <i/>
      <sz val="13"/>
      <name val="Times New Roman"/>
      <family val="1"/>
    </font>
    <font>
      <sz val="12"/>
      <color rgb="FFFF0000"/>
      <name val="Times New Roman"/>
      <family val="1"/>
    </font>
    <font>
      <i/>
      <sz val="16"/>
      <name val="Times New Roman"/>
      <family val="1"/>
    </font>
    <font>
      <b/>
      <sz val="13"/>
      <color theme="0"/>
      <name val="Times New Roman"/>
      <family val="1"/>
    </font>
    <font>
      <sz val="13"/>
      <name val="Wingdings"/>
      <charset val="2"/>
    </font>
    <font>
      <sz val="9"/>
      <color indexed="81"/>
      <name val="Tahoma"/>
      <family val="2"/>
    </font>
    <font>
      <b/>
      <sz val="13"/>
      <color rgb="FF00B0F0"/>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theme="1"/>
        <bgColor indexed="64"/>
      </patternFill>
    </fill>
    <fill>
      <patternFill patternType="solid">
        <fgColor rgb="FFFFFF00"/>
        <bgColor indexed="64"/>
      </patternFill>
    </fill>
    <fill>
      <patternFill patternType="solid">
        <fgColor rgb="FF33CC33"/>
        <bgColor indexed="64"/>
      </patternFill>
    </fill>
    <fill>
      <patternFill patternType="solid">
        <fgColor rgb="FFCC66FF"/>
        <bgColor indexed="64"/>
      </patternFill>
    </fill>
  </fills>
  <borders count="11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medium">
        <color auto="1"/>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s>
  <cellStyleXfs count="10">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xf numFmtId="43" fontId="50" fillId="0" borderId="0" applyFont="0" applyFill="0" applyBorder="0" applyAlignment="0" applyProtection="0"/>
  </cellStyleXfs>
  <cellXfs count="400">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164" fontId="4" fillId="0" borderId="0" xfId="0" applyNumberFormat="1" applyFont="1" applyAlignment="1">
      <alignment horizontal="center"/>
    </xf>
    <xf numFmtId="0" fontId="21"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4" xfId="0" applyNumberFormat="1" applyFont="1" applyBorder="1" applyAlignment="1">
      <alignment horizontal="center"/>
    </xf>
    <xf numFmtId="0" fontId="6" fillId="0" borderId="0" xfId="0" applyFont="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Alignment="1">
      <alignment horizontal="center"/>
    </xf>
    <xf numFmtId="0" fontId="6" fillId="0" borderId="24" xfId="0" applyFont="1" applyBorder="1" applyAlignment="1">
      <alignment horizontal="center"/>
    </xf>
    <xf numFmtId="49" fontId="6" fillId="0" borderId="25" xfId="0" applyNumberFormat="1" applyFont="1" applyBorder="1" applyAlignment="1">
      <alignment horizontal="center"/>
    </xf>
    <xf numFmtId="0" fontId="6" fillId="0" borderId="26" xfId="0" applyFont="1" applyBorder="1" applyAlignment="1">
      <alignment horizontal="center"/>
    </xf>
    <xf numFmtId="0" fontId="6" fillId="0" borderId="1" xfId="0" applyFont="1" applyBorder="1"/>
    <xf numFmtId="0" fontId="6" fillId="0" borderId="2" xfId="0" applyFont="1" applyBorder="1"/>
    <xf numFmtId="164" fontId="2" fillId="0" borderId="0" xfId="0" applyNumberFormat="1" applyFont="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7" xfId="0" applyFont="1" applyFill="1" applyBorder="1" applyAlignment="1">
      <alignment horizontal="right"/>
    </xf>
    <xf numFmtId="0" fontId="7" fillId="4" borderId="46" xfId="0" applyFont="1" applyFill="1" applyBorder="1" applyAlignment="1">
      <alignment horizontal="right"/>
    </xf>
    <xf numFmtId="0" fontId="13" fillId="6" borderId="1" xfId="0" applyFont="1" applyFill="1" applyBorder="1"/>
    <xf numFmtId="0" fontId="6" fillId="6" borderId="24" xfId="0" applyFont="1" applyFill="1" applyBorder="1" applyAlignment="1">
      <alignment horizontal="center"/>
    </xf>
    <xf numFmtId="49" fontId="22" fillId="6" borderId="24" xfId="0" applyNumberFormat="1" applyFont="1" applyFill="1" applyBorder="1" applyAlignment="1">
      <alignment horizontal="center"/>
    </xf>
    <xf numFmtId="0" fontId="22" fillId="6" borderId="25" xfId="0"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Font="1" applyFill="1" applyBorder="1" applyAlignment="1">
      <alignment horizontal="center"/>
    </xf>
    <xf numFmtId="0" fontId="37" fillId="2" borderId="4" xfId="0" applyFont="1" applyFill="1" applyBorder="1" applyAlignment="1">
      <alignment horizontal="right"/>
    </xf>
    <xf numFmtId="0" fontId="13" fillId="6" borderId="25" xfId="0" applyFont="1" applyFill="1" applyBorder="1" applyAlignment="1">
      <alignment horizontal="center"/>
    </xf>
    <xf numFmtId="0" fontId="1" fillId="0" borderId="0" xfId="0" applyFont="1" applyAlignment="1">
      <alignment horizontal="center"/>
    </xf>
    <xf numFmtId="0" fontId="10" fillId="6" borderId="1" xfId="0" applyFont="1" applyFill="1" applyBorder="1"/>
    <xf numFmtId="49" fontId="16" fillId="6" borderId="24" xfId="0" applyNumberFormat="1" applyFont="1" applyFill="1" applyBorder="1" applyAlignment="1">
      <alignment horizontal="center"/>
    </xf>
    <xf numFmtId="0" fontId="16" fillId="6" borderId="25" xfId="0" applyFont="1" applyFill="1" applyBorder="1" applyAlignment="1">
      <alignment horizontal="center"/>
    </xf>
    <xf numFmtId="0" fontId="10" fillId="6" borderId="25" xfId="0" applyFont="1" applyFill="1" applyBorder="1" applyAlignment="1">
      <alignment horizontal="center"/>
    </xf>
    <xf numFmtId="0" fontId="12" fillId="6" borderId="1" xfId="0" applyFont="1" applyFill="1" applyBorder="1"/>
    <xf numFmtId="49" fontId="23" fillId="6" borderId="24" xfId="0" applyNumberFormat="1" applyFont="1" applyFill="1" applyBorder="1" applyAlignment="1">
      <alignment horizontal="center"/>
    </xf>
    <xf numFmtId="0" fontId="23" fillId="6" borderId="25" xfId="0" applyFont="1" applyFill="1" applyBorder="1" applyAlignment="1">
      <alignment horizontal="center"/>
    </xf>
    <xf numFmtId="0" fontId="12" fillId="6" borderId="25" xfId="0" applyFont="1" applyFill="1" applyBorder="1" applyAlignment="1">
      <alignment horizontal="center"/>
    </xf>
    <xf numFmtId="0" fontId="21" fillId="6" borderId="1" xfId="0" applyFont="1" applyFill="1" applyBorder="1"/>
    <xf numFmtId="49" fontId="27" fillId="6" borderId="24" xfId="0" applyNumberFormat="1" applyFont="1" applyFill="1" applyBorder="1" applyAlignment="1">
      <alignment horizontal="center"/>
    </xf>
    <xf numFmtId="0" fontId="27" fillId="6" borderId="25" xfId="0" applyFont="1" applyFill="1" applyBorder="1" applyAlignment="1">
      <alignment horizontal="center"/>
    </xf>
    <xf numFmtId="0" fontId="21" fillId="6" borderId="25" xfId="0" applyFont="1" applyFill="1" applyBorder="1" applyAlignment="1">
      <alignment horizontal="center"/>
    </xf>
    <xf numFmtId="0" fontId="9" fillId="0" borderId="1" xfId="0" applyFont="1" applyBorder="1"/>
    <xf numFmtId="49" fontId="26" fillId="0" borderId="24" xfId="0" applyNumberFormat="1" applyFont="1" applyBorder="1" applyAlignment="1">
      <alignment horizontal="center"/>
    </xf>
    <xf numFmtId="0" fontId="26" fillId="0" borderId="25" xfId="0" applyFont="1" applyBorder="1" applyAlignment="1">
      <alignment horizontal="center"/>
    </xf>
    <xf numFmtId="0" fontId="9" fillId="0" borderId="25" xfId="0" applyFont="1" applyBorder="1" applyAlignment="1">
      <alignment horizontal="center"/>
    </xf>
    <xf numFmtId="0" fontId="6" fillId="0" borderId="0" xfId="0" applyFont="1" applyAlignment="1">
      <alignment wrapText="1"/>
    </xf>
    <xf numFmtId="0" fontId="6" fillId="0" borderId="0" xfId="0" applyFont="1" applyAlignment="1">
      <alignment horizontal="left" wrapText="1"/>
    </xf>
    <xf numFmtId="0" fontId="5" fillId="0" borderId="0" xfId="0" applyFont="1" applyAlignment="1">
      <alignment horizontal="right" wrapText="1"/>
    </xf>
    <xf numFmtId="0" fontId="25" fillId="0" borderId="14" xfId="0" applyFont="1" applyBorder="1" applyAlignment="1">
      <alignment horizontal="center"/>
    </xf>
    <xf numFmtId="0" fontId="13" fillId="0" borderId="1" xfId="0" applyFont="1" applyBorder="1"/>
    <xf numFmtId="49" fontId="22" fillId="0" borderId="24" xfId="0" applyNumberFormat="1" applyFont="1" applyBorder="1" applyAlignment="1">
      <alignment horizontal="center"/>
    </xf>
    <xf numFmtId="0" fontId="22" fillId="0" borderId="25" xfId="0" applyFont="1" applyBorder="1" applyAlignment="1">
      <alignment horizontal="center"/>
    </xf>
    <xf numFmtId="0" fontId="13" fillId="0" borderId="25" xfId="0" applyFont="1" applyBorder="1" applyAlignment="1">
      <alignment horizontal="center"/>
    </xf>
    <xf numFmtId="0" fontId="12" fillId="0" borderId="1" xfId="0" applyFont="1" applyBorder="1"/>
    <xf numFmtId="49" fontId="23" fillId="0" borderId="24" xfId="0" applyNumberFormat="1" applyFont="1" applyBorder="1" applyAlignment="1">
      <alignment horizontal="center"/>
    </xf>
    <xf numFmtId="0" fontId="23" fillId="0" borderId="25" xfId="0" applyFont="1" applyBorder="1" applyAlignment="1">
      <alignment horizontal="center"/>
    </xf>
    <xf numFmtId="0" fontId="12" fillId="0" borderId="25" xfId="0" applyFont="1" applyBorder="1" applyAlignment="1">
      <alignment horizontal="center"/>
    </xf>
    <xf numFmtId="0" fontId="21" fillId="0" borderId="1" xfId="0" applyFont="1" applyBorder="1"/>
    <xf numFmtId="49" fontId="27" fillId="0" borderId="24" xfId="0" applyNumberFormat="1" applyFont="1" applyBorder="1" applyAlignment="1">
      <alignment horizontal="center"/>
    </xf>
    <xf numFmtId="0" fontId="27" fillId="0" borderId="25" xfId="0" applyFont="1" applyBorder="1" applyAlignment="1">
      <alignment horizontal="center"/>
    </xf>
    <xf numFmtId="0" fontId="21" fillId="0" borderId="25" xfId="0" applyFont="1" applyBorder="1" applyAlignment="1">
      <alignment horizontal="center"/>
    </xf>
    <xf numFmtId="0" fontId="7" fillId="0" borderId="1" xfId="0" applyFont="1" applyBorder="1"/>
    <xf numFmtId="49" fontId="17" fillId="0" borderId="24" xfId="0" applyNumberFormat="1" applyFont="1" applyBorder="1" applyAlignment="1">
      <alignment horizontal="center"/>
    </xf>
    <xf numFmtId="0" fontId="17" fillId="0" borderId="25" xfId="0" applyFont="1" applyBorder="1" applyAlignment="1">
      <alignment horizontal="center"/>
    </xf>
    <xf numFmtId="0" fontId="7" fillId="0" borderId="25" xfId="0" applyFont="1" applyBorder="1" applyAlignment="1">
      <alignment horizontal="center"/>
    </xf>
    <xf numFmtId="0" fontId="3" fillId="0" borderId="0" xfId="0" applyFont="1" applyAlignment="1">
      <alignment horizontal="left"/>
    </xf>
    <xf numFmtId="0" fontId="1" fillId="0" borderId="51" xfId="0" applyFont="1" applyBorder="1" applyAlignment="1">
      <alignment horizontal="center" shrinkToFit="1"/>
    </xf>
    <xf numFmtId="0" fontId="3" fillId="2" borderId="53" xfId="0" applyFont="1" applyFill="1" applyBorder="1" applyAlignment="1">
      <alignment horizontal="centerContinuous"/>
    </xf>
    <xf numFmtId="0" fontId="39" fillId="0" borderId="1" xfId="0" applyFont="1" applyBorder="1"/>
    <xf numFmtId="0" fontId="5" fillId="0" borderId="24" xfId="0" applyFont="1" applyBorder="1" applyAlignment="1">
      <alignment horizontal="center"/>
    </xf>
    <xf numFmtId="1" fontId="6" fillId="0" borderId="24" xfId="0" applyNumberFormat="1" applyFont="1" applyBorder="1" applyAlignment="1">
      <alignment horizontal="center" wrapText="1"/>
    </xf>
    <xf numFmtId="0" fontId="40" fillId="8" borderId="25" xfId="0" applyFont="1" applyFill="1" applyBorder="1" applyAlignment="1">
      <alignment horizontal="center"/>
    </xf>
    <xf numFmtId="49" fontId="6" fillId="0" borderId="24" xfId="0" applyNumberFormat="1" applyFont="1" applyBorder="1" applyAlignment="1">
      <alignment horizontal="center" wrapText="1"/>
    </xf>
    <xf numFmtId="0" fontId="41" fillId="0" borderId="1" xfId="0" applyFont="1" applyBorder="1"/>
    <xf numFmtId="0" fontId="42" fillId="0" borderId="57" xfId="0" applyFont="1" applyBorder="1"/>
    <xf numFmtId="0" fontId="5" fillId="0" borderId="58" xfId="0" applyFont="1" applyBorder="1" applyAlignment="1">
      <alignment horizontal="center"/>
    </xf>
    <xf numFmtId="0" fontId="6" fillId="0" borderId="58" xfId="0" applyFont="1" applyBorder="1" applyAlignment="1">
      <alignment horizontal="center"/>
    </xf>
    <xf numFmtId="1" fontId="6" fillId="0" borderId="58" xfId="0" applyNumberFormat="1" applyFont="1" applyBorder="1" applyAlignment="1">
      <alignment horizontal="center" wrapText="1"/>
    </xf>
    <xf numFmtId="0" fontId="40" fillId="8" borderId="58" xfId="0" applyFont="1" applyFill="1" applyBorder="1" applyAlignment="1">
      <alignment horizontal="center"/>
    </xf>
    <xf numFmtId="49" fontId="6" fillId="0" borderId="58" xfId="0" applyNumberFormat="1" applyFont="1" applyBorder="1" applyAlignment="1">
      <alignment horizontal="center" wrapText="1"/>
    </xf>
    <xf numFmtId="0" fontId="42" fillId="0" borderId="24" xfId="0" applyFont="1" applyBorder="1" applyAlignment="1">
      <alignment horizontal="center" wrapText="1"/>
    </xf>
    <xf numFmtId="0" fontId="43" fillId="0" borderId="58" xfId="0" applyFont="1" applyBorder="1" applyAlignment="1">
      <alignment horizontal="center" wrapText="1"/>
    </xf>
    <xf numFmtId="0" fontId="5" fillId="4" borderId="59" xfId="0" applyFont="1" applyFill="1" applyBorder="1" applyAlignment="1">
      <alignment horizontal="right"/>
    </xf>
    <xf numFmtId="0" fontId="5" fillId="4" borderId="60" xfId="0" applyFont="1" applyFill="1" applyBorder="1" applyAlignment="1">
      <alignment horizontal="right"/>
    </xf>
    <xf numFmtId="0" fontId="44" fillId="2" borderId="53" xfId="0" applyFont="1" applyFill="1" applyBorder="1" applyAlignment="1">
      <alignment horizontal="left"/>
    </xf>
    <xf numFmtId="0" fontId="6" fillId="0" borderId="62" xfId="0" quotePrefix="1" applyFont="1" applyBorder="1" applyAlignment="1">
      <alignment horizontal="center"/>
    </xf>
    <xf numFmtId="0" fontId="10" fillId="0" borderId="1" xfId="0" applyFont="1" applyBorder="1"/>
    <xf numFmtId="49" fontId="16" fillId="0" borderId="24" xfId="0" applyNumberFormat="1" applyFont="1" applyBorder="1" applyAlignment="1">
      <alignment horizontal="center"/>
    </xf>
    <xf numFmtId="0" fontId="16" fillId="0" borderId="25" xfId="0" applyFont="1" applyBorder="1" applyAlignment="1">
      <alignment horizontal="center"/>
    </xf>
    <xf numFmtId="0" fontId="10" fillId="0" borderId="25" xfId="0" applyFont="1" applyBorder="1" applyAlignment="1">
      <alignment horizontal="center"/>
    </xf>
    <xf numFmtId="0" fontId="40" fillId="8" borderId="42" xfId="0" applyFont="1" applyFill="1" applyBorder="1" applyAlignment="1">
      <alignment horizontal="center"/>
    </xf>
    <xf numFmtId="0" fontId="1" fillId="0" borderId="68" xfId="0" applyFont="1" applyBorder="1" applyAlignment="1">
      <alignment horizontal="center" shrinkToFit="1"/>
    </xf>
    <xf numFmtId="0" fontId="4" fillId="0" borderId="41" xfId="0" applyFont="1" applyBorder="1" applyAlignment="1">
      <alignment horizontal="left"/>
    </xf>
    <xf numFmtId="0" fontId="4" fillId="0" borderId="36" xfId="0" applyFont="1" applyBorder="1" applyAlignment="1">
      <alignment horizontal="left"/>
    </xf>
    <xf numFmtId="0" fontId="1" fillId="0" borderId="69" xfId="0" applyFont="1" applyBorder="1" applyAlignment="1">
      <alignment horizontal="center" shrinkToFit="1"/>
    </xf>
    <xf numFmtId="0" fontId="1" fillId="0" borderId="38" xfId="0" applyFont="1" applyBorder="1" applyAlignment="1">
      <alignment horizontal="left"/>
    </xf>
    <xf numFmtId="0" fontId="1" fillId="0" borderId="66"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1" fillId="3" borderId="5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43" fillId="8" borderId="33" xfId="0" applyFont="1" applyFill="1" applyBorder="1" applyAlignment="1">
      <alignment horizontal="center" vertical="center" wrapText="1"/>
    </xf>
    <xf numFmtId="0" fontId="11" fillId="3" borderId="56" xfId="0" applyFont="1" applyFill="1" applyBorder="1" applyAlignment="1">
      <alignment horizontal="center" vertical="center"/>
    </xf>
    <xf numFmtId="0" fontId="3" fillId="0" borderId="0" xfId="0" applyFont="1" applyAlignment="1">
      <alignment vertical="center"/>
    </xf>
    <xf numFmtId="0" fontId="10" fillId="9" borderId="1" xfId="0" applyFont="1" applyFill="1" applyBorder="1"/>
    <xf numFmtId="0" fontId="6" fillId="9" borderId="24" xfId="0" applyFont="1" applyFill="1" applyBorder="1" applyAlignment="1">
      <alignment horizontal="center"/>
    </xf>
    <xf numFmtId="49" fontId="16" fillId="9" borderId="24" xfId="0" applyNumberFormat="1" applyFont="1" applyFill="1" applyBorder="1" applyAlignment="1">
      <alignment horizontal="center"/>
    </xf>
    <xf numFmtId="0" fontId="16" fillId="9" borderId="25" xfId="0" applyFont="1" applyFill="1" applyBorder="1" applyAlignment="1">
      <alignment horizontal="center"/>
    </xf>
    <xf numFmtId="0" fontId="10" fillId="9" borderId="25" xfId="0" applyFont="1" applyFill="1" applyBorder="1" applyAlignment="1">
      <alignment horizontal="center"/>
    </xf>
    <xf numFmtId="49" fontId="6" fillId="9" borderId="25" xfId="0" applyNumberFormat="1" applyFont="1" applyFill="1" applyBorder="1" applyAlignment="1">
      <alignment horizontal="center"/>
    </xf>
    <xf numFmtId="0" fontId="6" fillId="9" borderId="26" xfId="0" quotePrefix="1" applyFont="1" applyFill="1" applyBorder="1" applyAlignment="1">
      <alignment horizontal="center"/>
    </xf>
    <xf numFmtId="0" fontId="6" fillId="9" borderId="26" xfId="0" applyFont="1" applyFill="1" applyBorder="1" applyAlignment="1">
      <alignment horizontal="center"/>
    </xf>
    <xf numFmtId="0" fontId="13" fillId="9" borderId="1" xfId="0" applyFont="1" applyFill="1" applyBorder="1"/>
    <xf numFmtId="49" fontId="27" fillId="9" borderId="24" xfId="0" applyNumberFormat="1" applyFont="1" applyFill="1" applyBorder="1" applyAlignment="1">
      <alignment horizontal="center"/>
    </xf>
    <xf numFmtId="0" fontId="27" fillId="9" borderId="25" xfId="0" applyFont="1" applyFill="1" applyBorder="1" applyAlignment="1">
      <alignment horizontal="center"/>
    </xf>
    <xf numFmtId="0" fontId="21" fillId="9" borderId="25" xfId="0" applyFont="1" applyFill="1" applyBorder="1" applyAlignment="1">
      <alignment horizontal="center"/>
    </xf>
    <xf numFmtId="0" fontId="1" fillId="0" borderId="82" xfId="0" applyFont="1" applyBorder="1" applyAlignment="1">
      <alignment horizontal="center" shrinkToFit="1"/>
    </xf>
    <xf numFmtId="0" fontId="1" fillId="0" borderId="83" xfId="0" applyFont="1" applyBorder="1" applyAlignment="1">
      <alignment horizontal="center" shrinkToFit="1"/>
    </xf>
    <xf numFmtId="0" fontId="20" fillId="3" borderId="34" xfId="0" applyFont="1" applyFill="1" applyBorder="1" applyAlignment="1">
      <alignment horizontal="center"/>
    </xf>
    <xf numFmtId="0" fontId="10" fillId="4" borderId="85" xfId="0" applyFont="1" applyFill="1" applyBorder="1" applyAlignment="1">
      <alignment horizontal="right"/>
    </xf>
    <xf numFmtId="0" fontId="10" fillId="4" borderId="86" xfId="0" applyFont="1" applyFill="1" applyBorder="1" applyAlignment="1">
      <alignment horizontal="right"/>
    </xf>
    <xf numFmtId="0" fontId="2" fillId="0" borderId="0" xfId="0" applyFont="1" applyAlignment="1">
      <alignment horizontal="centerContinuous" vertical="center"/>
    </xf>
    <xf numFmtId="0" fontId="4" fillId="0" borderId="0" xfId="0" applyFont="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5"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46"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7" borderId="21" xfId="0" applyFont="1" applyFill="1" applyBorder="1" applyAlignment="1">
      <alignment horizontal="centerContinuous" vertical="center"/>
    </xf>
    <xf numFmtId="0" fontId="20" fillId="7" borderId="67" xfId="0" applyFont="1" applyFill="1" applyBorder="1" applyAlignment="1">
      <alignment horizontal="centerContinuous" vertical="center"/>
    </xf>
    <xf numFmtId="0" fontId="20" fillId="7" borderId="45" xfId="0" applyFont="1" applyFill="1" applyBorder="1" applyAlignment="1">
      <alignment horizontal="centerContinuous" vertical="center"/>
    </xf>
    <xf numFmtId="9" fontId="1" fillId="0" borderId="66" xfId="0" applyNumberFormat="1" applyFont="1" applyBorder="1" applyAlignment="1">
      <alignment horizontal="center" vertical="center"/>
    </xf>
    <xf numFmtId="164" fontId="4" fillId="0" borderId="76" xfId="0" applyNumberFormat="1" applyFont="1" applyBorder="1" applyAlignment="1">
      <alignment horizontal="centerContinuous" vertical="center"/>
    </xf>
    <xf numFmtId="0" fontId="4" fillId="0" borderId="77" xfId="0" applyFont="1" applyBorder="1" applyAlignment="1">
      <alignment horizontal="centerContinuous" vertical="center"/>
    </xf>
    <xf numFmtId="0" fontId="18" fillId="0" borderId="0" xfId="0" applyFont="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8" xfId="0" applyFont="1" applyBorder="1" applyAlignment="1">
      <alignment horizontal="centerContinuous" vertical="center"/>
    </xf>
    <xf numFmtId="0" fontId="4" fillId="0" borderId="63" xfId="0" applyFont="1" applyBorder="1" applyAlignment="1">
      <alignment horizontal="centerContinuous" vertical="center"/>
    </xf>
    <xf numFmtId="0" fontId="4" fillId="0" borderId="43" xfId="0" applyFont="1" applyBorder="1" applyAlignment="1">
      <alignment horizontal="centerContinuous" vertical="center"/>
    </xf>
    <xf numFmtId="164" fontId="4" fillId="0" borderId="42"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1" fillId="0" borderId="10" xfId="0" applyFont="1" applyBorder="1" applyAlignment="1">
      <alignment horizontal="centerContinuous" vertical="center"/>
    </xf>
    <xf numFmtId="0" fontId="34" fillId="2" borderId="54" xfId="1" applyFont="1" applyFill="1" applyBorder="1" applyAlignment="1" applyProtection="1">
      <alignment horizontal="right" vertical="center"/>
    </xf>
    <xf numFmtId="0" fontId="6" fillId="6" borderId="26" xfId="0" quotePrefix="1" applyFont="1" applyFill="1" applyBorder="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center"/>
    </xf>
    <xf numFmtId="0" fontId="20" fillId="7" borderId="29" xfId="0" applyFont="1" applyFill="1" applyBorder="1" applyAlignment="1">
      <alignment horizontal="center" vertical="center"/>
    </xf>
    <xf numFmtId="1" fontId="1" fillId="0" borderId="87"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44" xfId="0" applyNumberFormat="1" applyFont="1" applyBorder="1" applyAlignment="1">
      <alignment horizontal="center" vertical="center"/>
    </xf>
    <xf numFmtId="0" fontId="1" fillId="0" borderId="72" xfId="0" quotePrefix="1" applyFont="1" applyBorder="1" applyAlignment="1">
      <alignment horizontal="center" vertical="center"/>
    </xf>
    <xf numFmtId="9" fontId="1" fillId="0" borderId="72" xfId="0" applyNumberFormat="1" applyFont="1" applyBorder="1" applyAlignment="1">
      <alignment horizontal="center" vertical="center"/>
    </xf>
    <xf numFmtId="0" fontId="1" fillId="0" borderId="36" xfId="0" quotePrefix="1" applyFont="1" applyBorder="1" applyAlignment="1">
      <alignment horizontal="left"/>
    </xf>
    <xf numFmtId="0" fontId="1" fillId="0" borderId="37" xfId="0" applyFont="1" applyBorder="1" applyAlignment="1">
      <alignment horizontal="center" shrinkToFit="1"/>
    </xf>
    <xf numFmtId="0" fontId="1" fillId="0" borderId="80" xfId="0" applyFont="1" applyBorder="1" applyAlignment="1">
      <alignment horizontal="center" shrinkToFit="1"/>
    </xf>
    <xf numFmtId="164" fontId="1" fillId="0" borderId="36" xfId="0" applyNumberFormat="1" applyFont="1" applyBorder="1" applyAlignment="1">
      <alignment horizontal="center" shrinkToFit="1"/>
    </xf>
    <xf numFmtId="0" fontId="1" fillId="0" borderId="78" xfId="0" applyFont="1" applyBorder="1" applyAlignment="1">
      <alignment horizontal="center" shrinkToFit="1"/>
    </xf>
    <xf numFmtId="0" fontId="1" fillId="0" borderId="84" xfId="0" applyFont="1" applyBorder="1" applyAlignment="1">
      <alignment horizontal="center" shrinkToFit="1"/>
    </xf>
    <xf numFmtId="0" fontId="4" fillId="0" borderId="79" xfId="0" applyFont="1" applyBorder="1" applyAlignment="1">
      <alignment horizontal="left"/>
    </xf>
    <xf numFmtId="164" fontId="4" fillId="0" borderId="38" xfId="0" applyNumberFormat="1" applyFont="1" applyBorder="1" applyAlignment="1">
      <alignment horizontal="center" shrinkToFit="1"/>
    </xf>
    <xf numFmtId="0" fontId="4" fillId="0" borderId="38" xfId="0" applyFont="1" applyBorder="1" applyAlignment="1">
      <alignment horizontal="left"/>
    </xf>
    <xf numFmtId="0" fontId="1" fillId="0" borderId="39" xfId="0" applyFont="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0" fontId="20" fillId="7" borderId="88" xfId="0" applyFont="1" applyFill="1" applyBorder="1" applyAlignment="1">
      <alignment horizontal="center" vertical="center"/>
    </xf>
    <xf numFmtId="0" fontId="1" fillId="0" borderId="0" xfId="0" applyFont="1" applyAlignment="1">
      <alignment vertical="center"/>
    </xf>
    <xf numFmtId="0" fontId="1" fillId="0" borderId="64" xfId="0" applyFont="1" applyBorder="1" applyAlignment="1">
      <alignment horizontal="centerContinuous" vertical="center" shrinkToFit="1"/>
    </xf>
    <xf numFmtId="0" fontId="20" fillId="0" borderId="74" xfId="0" applyFont="1" applyBorder="1" applyAlignment="1">
      <alignment horizontal="centerContinuous" vertical="center"/>
    </xf>
    <xf numFmtId="0" fontId="1" fillId="0" borderId="75" xfId="0" applyFont="1" applyBorder="1" applyAlignment="1">
      <alignment horizontal="centerContinuous" vertical="center"/>
    </xf>
    <xf numFmtId="0" fontId="1" fillId="0" borderId="89" xfId="0" applyFont="1" applyBorder="1" applyAlignment="1">
      <alignment horizontal="centerContinuous" vertical="center" shrinkToFit="1"/>
    </xf>
    <xf numFmtId="0" fontId="20" fillId="0" borderId="76" xfId="0" applyFont="1" applyBorder="1" applyAlignment="1">
      <alignment horizontal="centerContinuous" vertical="center"/>
    </xf>
    <xf numFmtId="164" fontId="1" fillId="0" borderId="73" xfId="0" quotePrefix="1" applyNumberFormat="1" applyFont="1" applyBorder="1" applyAlignment="1">
      <alignment horizontal="centerContinuous" vertical="center"/>
    </xf>
    <xf numFmtId="0" fontId="3" fillId="0" borderId="0" xfId="0" applyFont="1" applyAlignment="1">
      <alignment horizontal="right" vertical="center"/>
    </xf>
    <xf numFmtId="165" fontId="1" fillId="0" borderId="0" xfId="0" applyNumberFormat="1" applyFont="1" applyAlignment="1">
      <alignment horizontal="center" vertical="center"/>
    </xf>
    <xf numFmtId="0" fontId="1" fillId="0" borderId="24" xfId="0" applyFont="1" applyBorder="1" applyAlignment="1">
      <alignment horizontal="center" vertical="center"/>
    </xf>
    <xf numFmtId="1" fontId="1" fillId="0" borderId="90" xfId="0" applyNumberFormat="1" applyFont="1" applyBorder="1" applyAlignment="1">
      <alignment horizontal="center" vertical="center"/>
    </xf>
    <xf numFmtId="0" fontId="48" fillId="0" borderId="29" xfId="0" applyFont="1" applyBorder="1" applyAlignment="1">
      <alignment horizontal="centerContinuous"/>
    </xf>
    <xf numFmtId="164" fontId="4" fillId="0" borderId="79" xfId="0" applyNumberFormat="1" applyFont="1" applyBorder="1" applyAlignment="1">
      <alignment horizontal="center" shrinkToFit="1"/>
    </xf>
    <xf numFmtId="0" fontId="4" fillId="0" borderId="80" xfId="0" applyFont="1" applyBorder="1" applyAlignment="1">
      <alignment horizontal="left" shrinkToFit="1"/>
    </xf>
    <xf numFmtId="1" fontId="1" fillId="0" borderId="91" xfId="0" applyNumberFormat="1" applyFont="1" applyBorder="1" applyAlignment="1">
      <alignment horizontal="center" vertical="center" shrinkToFit="1"/>
    </xf>
    <xf numFmtId="0" fontId="1" fillId="0" borderId="79" xfId="0" quotePrefix="1" applyFont="1" applyBorder="1" applyAlignment="1">
      <alignment horizontal="left"/>
    </xf>
    <xf numFmtId="0" fontId="1" fillId="0" borderId="26" xfId="0" quotePrefix="1" applyFont="1" applyBorder="1" applyAlignment="1">
      <alignment horizontal="center" vertical="center"/>
    </xf>
    <xf numFmtId="1" fontId="1" fillId="0" borderId="91" xfId="0" applyNumberFormat="1"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4" xfId="0" quotePrefix="1" applyFont="1" applyBorder="1" applyAlignment="1">
      <alignment horizontal="center" vertical="center" wrapText="1"/>
    </xf>
    <xf numFmtId="49" fontId="1" fillId="0" borderId="94" xfId="2" applyNumberFormat="1" applyFont="1" applyFill="1" applyBorder="1" applyAlignment="1">
      <alignment horizontal="center" vertical="center"/>
    </xf>
    <xf numFmtId="0" fontId="1" fillId="0" borderId="94" xfId="0" applyFont="1" applyBorder="1" applyAlignment="1">
      <alignment horizontal="center" vertical="center" shrinkToFit="1"/>
    </xf>
    <xf numFmtId="164" fontId="4" fillId="0" borderId="95" xfId="0" applyNumberFormat="1" applyFont="1" applyBorder="1" applyAlignment="1">
      <alignment horizontal="center" vertical="center"/>
    </xf>
    <xf numFmtId="1" fontId="46" fillId="8" borderId="95" xfId="0" applyNumberFormat="1" applyFont="1" applyFill="1" applyBorder="1" applyAlignment="1">
      <alignment horizontal="center" vertical="center"/>
    </xf>
    <xf numFmtId="1" fontId="1" fillId="0" borderId="95" xfId="0" applyNumberFormat="1" applyFont="1" applyBorder="1" applyAlignment="1">
      <alignment horizontal="center" vertical="center"/>
    </xf>
    <xf numFmtId="0" fontId="1" fillId="0" borderId="96" xfId="0" quotePrefix="1" applyFont="1" applyBorder="1" applyAlignment="1">
      <alignment horizontal="center" vertical="center"/>
    </xf>
    <xf numFmtId="0" fontId="1" fillId="0" borderId="13" xfId="0" applyFont="1" applyBorder="1" applyAlignment="1">
      <alignment horizontal="center" vertical="center"/>
    </xf>
    <xf numFmtId="0" fontId="1" fillId="0" borderId="24" xfId="0" quotePrefix="1" applyFont="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Border="1" applyAlignment="1">
      <alignment horizontal="center" vertical="center" shrinkToFit="1"/>
    </xf>
    <xf numFmtId="164" fontId="4" fillId="0" borderId="25" xfId="0" applyNumberFormat="1" applyFont="1" applyBorder="1" applyAlignment="1">
      <alignment horizontal="center" vertical="center"/>
    </xf>
    <xf numFmtId="1" fontId="46"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42" xfId="0" applyFont="1" applyBorder="1" applyAlignment="1">
      <alignment horizontal="center" vertical="center"/>
    </xf>
    <xf numFmtId="0" fontId="4" fillId="0" borderId="42" xfId="0" quotePrefix="1" applyFont="1" applyBorder="1" applyAlignment="1">
      <alignment horizontal="center" vertical="center" wrapText="1"/>
    </xf>
    <xf numFmtId="49" fontId="1" fillId="0" borderId="42" xfId="2" applyNumberFormat="1" applyFont="1" applyBorder="1" applyAlignment="1">
      <alignment horizontal="center" vertical="center"/>
    </xf>
    <xf numFmtId="0" fontId="1" fillId="0" borderId="42" xfId="0" applyFont="1" applyBorder="1" applyAlignment="1">
      <alignment horizontal="center" vertical="center" shrinkToFit="1"/>
    </xf>
    <xf numFmtId="164" fontId="4" fillId="0" borderId="43" xfId="0" applyNumberFormat="1" applyFont="1" applyBorder="1" applyAlignment="1">
      <alignment horizontal="center" vertical="center"/>
    </xf>
    <xf numFmtId="1" fontId="1" fillId="0" borderId="43" xfId="0" applyNumberFormat="1" applyFont="1" applyBorder="1" applyAlignment="1">
      <alignment horizontal="center" vertical="center"/>
    </xf>
    <xf numFmtId="164" fontId="1" fillId="9" borderId="42" xfId="0" applyNumberFormat="1" applyFont="1" applyFill="1" applyBorder="1" applyAlignment="1">
      <alignment horizontal="center" vertical="center"/>
    </xf>
    <xf numFmtId="0" fontId="51" fillId="2" borderId="52" xfId="0" applyFont="1" applyFill="1" applyBorder="1" applyAlignment="1">
      <alignment horizontal="right"/>
    </xf>
    <xf numFmtId="0" fontId="51" fillId="2" borderId="53" xfId="0" applyFont="1" applyFill="1" applyBorder="1" applyAlignment="1">
      <alignment horizontal="left"/>
    </xf>
    <xf numFmtId="49" fontId="15" fillId="0" borderId="0" xfId="0" applyNumberFormat="1" applyFont="1"/>
    <xf numFmtId="49" fontId="16" fillId="0" borderId="30" xfId="0" applyNumberFormat="1" applyFont="1" applyBorder="1" applyAlignment="1">
      <alignment horizontal="center" shrinkToFit="1"/>
    </xf>
    <xf numFmtId="1" fontId="6" fillId="0" borderId="61" xfId="0" applyNumberFormat="1" applyFont="1" applyBorder="1" applyAlignment="1">
      <alignment horizontal="center"/>
    </xf>
    <xf numFmtId="0" fontId="1" fillId="0" borderId="15" xfId="0" applyFont="1" applyBorder="1" applyAlignment="1">
      <alignment horizontal="center" vertical="center"/>
    </xf>
    <xf numFmtId="49" fontId="52" fillId="11" borderId="27" xfId="0" applyNumberFormat="1" applyFont="1" applyFill="1" applyBorder="1" applyAlignment="1">
      <alignment horizontal="center"/>
    </xf>
    <xf numFmtId="164" fontId="1" fillId="9" borderId="24" xfId="0" applyNumberFormat="1" applyFont="1" applyFill="1" applyBorder="1" applyAlignment="1">
      <alignment horizontal="center" vertical="center"/>
    </xf>
    <xf numFmtId="1" fontId="1" fillId="9" borderId="90" xfId="0" applyNumberFormat="1" applyFont="1" applyFill="1" applyBorder="1" applyAlignment="1">
      <alignment horizontal="center" vertical="center"/>
    </xf>
    <xf numFmtId="1" fontId="1" fillId="9" borderId="50" xfId="0" applyNumberFormat="1" applyFont="1" applyFill="1" applyBorder="1" applyAlignment="1">
      <alignment horizontal="center" vertical="center"/>
    </xf>
    <xf numFmtId="1" fontId="1" fillId="9" borderId="49" xfId="0" applyNumberFormat="1" applyFont="1" applyFill="1" applyBorder="1" applyAlignment="1">
      <alignment horizontal="center" vertical="center"/>
    </xf>
    <xf numFmtId="49" fontId="1" fillId="0" borderId="24"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25" xfId="0" applyNumberFormat="1" applyFont="1" applyBorder="1" applyAlignment="1">
      <alignment horizontal="center" wrapText="1"/>
    </xf>
    <xf numFmtId="49" fontId="6" fillId="6" borderId="25" xfId="0" applyNumberFormat="1" applyFont="1" applyFill="1" applyBorder="1" applyAlignment="1">
      <alignment horizontal="center" wrapText="1"/>
    </xf>
    <xf numFmtId="49" fontId="6" fillId="9" borderId="25" xfId="0" applyNumberFormat="1" applyFont="1" applyFill="1" applyBorder="1" applyAlignment="1">
      <alignment horizontal="center" wrapText="1"/>
    </xf>
    <xf numFmtId="0" fontId="6" fillId="6" borderId="25" xfId="0" applyFont="1" applyFill="1" applyBorder="1" applyAlignment="1">
      <alignment horizontal="center" wrapText="1"/>
    </xf>
    <xf numFmtId="1" fontId="6" fillId="6" borderId="25" xfId="0" applyNumberFormat="1" applyFont="1" applyFill="1" applyBorder="1" applyAlignment="1">
      <alignment horizontal="center" wrapText="1"/>
    </xf>
    <xf numFmtId="0" fontId="1" fillId="0" borderId="99" xfId="0" applyFont="1" applyBorder="1" applyAlignment="1">
      <alignment horizontal="centerContinuous" vertical="center" shrinkToFit="1"/>
    </xf>
    <xf numFmtId="0" fontId="20" fillId="0" borderId="100" xfId="0" applyFont="1" applyBorder="1" applyAlignment="1">
      <alignment horizontal="centerContinuous" vertical="center"/>
    </xf>
    <xf numFmtId="0" fontId="1" fillId="0" borderId="92" xfId="0" applyFont="1" applyBorder="1" applyAlignment="1">
      <alignment horizontal="center" vertical="center"/>
    </xf>
    <xf numFmtId="0" fontId="1" fillId="0" borderId="101" xfId="0" applyFont="1" applyBorder="1" applyAlignment="1">
      <alignment horizontal="centerContinuous" vertical="center" shrinkToFit="1"/>
    </xf>
    <xf numFmtId="0" fontId="1" fillId="0" borderId="77" xfId="0" applyFont="1" applyBorder="1" applyAlignment="1">
      <alignment horizontal="centerContinuous" vertical="center" shrinkToFit="1"/>
    </xf>
    <xf numFmtId="0" fontId="8" fillId="0" borderId="3" xfId="0" quotePrefix="1" applyFont="1" applyBorder="1" applyAlignment="1">
      <alignment horizontal="center"/>
    </xf>
    <xf numFmtId="0" fontId="8" fillId="0" borderId="3" xfId="0" applyFont="1" applyBorder="1" applyAlignment="1">
      <alignment horizontal="center"/>
    </xf>
    <xf numFmtId="0" fontId="6" fillId="0" borderId="23" xfId="0" quotePrefix="1" applyFont="1" applyBorder="1" applyAlignment="1">
      <alignment horizontal="center"/>
    </xf>
    <xf numFmtId="0" fontId="1" fillId="0" borderId="102" xfId="0" applyFont="1" applyBorder="1" applyAlignment="1">
      <alignment horizontal="center" vertical="center"/>
    </xf>
    <xf numFmtId="164" fontId="1" fillId="9" borderId="58" xfId="0" applyNumberFormat="1" applyFont="1" applyFill="1" applyBorder="1" applyAlignment="1">
      <alignment horizontal="center" vertical="center"/>
    </xf>
    <xf numFmtId="1" fontId="1" fillId="0" borderId="49" xfId="0" applyNumberFormat="1" applyFont="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Border="1" applyAlignment="1">
      <alignment horizontal="center" vertical="center"/>
    </xf>
    <xf numFmtId="0" fontId="56" fillId="0" borderId="0" xfId="0" applyFont="1" applyAlignment="1">
      <alignment horizontal="center" vertical="center"/>
    </xf>
    <xf numFmtId="0" fontId="1" fillId="0" borderId="0" xfId="0" applyFont="1" applyAlignment="1">
      <alignment horizontal="right" vertical="center"/>
    </xf>
    <xf numFmtId="0" fontId="56" fillId="2" borderId="53" xfId="0" applyFont="1" applyFill="1" applyBorder="1" applyAlignment="1">
      <alignment horizontal="center"/>
    </xf>
    <xf numFmtId="2" fontId="4" fillId="0" borderId="79" xfId="0" applyNumberFormat="1" applyFont="1" applyBorder="1" applyAlignment="1">
      <alignment horizontal="center" shrinkToFit="1"/>
    </xf>
    <xf numFmtId="164" fontId="1" fillId="0" borderId="72" xfId="0" applyNumberFormat="1" applyFont="1" applyBorder="1" applyAlignment="1">
      <alignment horizontal="center" vertical="center"/>
    </xf>
    <xf numFmtId="164" fontId="1" fillId="0" borderId="94" xfId="0" applyNumberFormat="1" applyFont="1" applyBorder="1" applyAlignment="1">
      <alignment horizontal="center" vertical="center"/>
    </xf>
    <xf numFmtId="0" fontId="54" fillId="0" borderId="29" xfId="0" applyFont="1" applyBorder="1" applyAlignment="1">
      <alignment horizontal="centerContinuous" vertical="center" wrapText="1"/>
    </xf>
    <xf numFmtId="0" fontId="6" fillId="0" borderId="50" xfId="0" applyFont="1" applyBorder="1" applyAlignment="1">
      <alignment horizontal="centerContinuous"/>
    </xf>
    <xf numFmtId="0" fontId="6" fillId="0" borderId="32" xfId="0" applyFont="1" applyBorder="1" applyAlignment="1">
      <alignment horizontal="centerContinuous"/>
    </xf>
    <xf numFmtId="0" fontId="6" fillId="0" borderId="44" xfId="0" applyFont="1" applyBorder="1" applyAlignment="1">
      <alignment horizontal="centerContinuous"/>
    </xf>
    <xf numFmtId="0" fontId="49" fillId="0" borderId="29" xfId="0" applyFont="1" applyBorder="1" applyAlignment="1">
      <alignment horizontal="centerContinuous" vertical="center" wrapText="1"/>
    </xf>
    <xf numFmtId="0" fontId="6" fillId="0" borderId="49" xfId="0" applyFont="1" applyBorder="1" applyAlignment="1">
      <alignment horizontal="centerContinuous"/>
    </xf>
    <xf numFmtId="37" fontId="6" fillId="0" borderId="23" xfId="9" applyNumberFormat="1" applyFont="1" applyFill="1" applyBorder="1" applyAlignment="1">
      <alignment horizontal="centerContinuous" vertical="center"/>
    </xf>
    <xf numFmtId="0" fontId="6" fillId="0" borderId="104" xfId="0" applyFont="1" applyBorder="1" applyAlignment="1">
      <alignment horizontal="centerContinuous" vertical="center"/>
    </xf>
    <xf numFmtId="0" fontId="5" fillId="4" borderId="81" xfId="0" applyFont="1" applyFill="1" applyBorder="1" applyAlignment="1">
      <alignment horizontal="right" vertical="center"/>
    </xf>
    <xf numFmtId="0" fontId="5" fillId="4" borderId="11" xfId="0" applyFont="1" applyFill="1" applyBorder="1" applyAlignment="1">
      <alignment horizontal="right" vertical="center"/>
    </xf>
    <xf numFmtId="0" fontId="1" fillId="0" borderId="70" xfId="0" applyFont="1" applyBorder="1" applyAlignment="1">
      <alignment horizontal="center" vertical="center"/>
    </xf>
    <xf numFmtId="164" fontId="1" fillId="0" borderId="66" xfId="0" applyNumberFormat="1" applyFont="1" applyBorder="1" applyAlignment="1">
      <alignment horizontal="center" vertical="center"/>
    </xf>
    <xf numFmtId="164" fontId="1" fillId="0" borderId="65" xfId="0" applyNumberFormat="1" applyFont="1" applyBorder="1" applyAlignment="1">
      <alignment horizontal="centerContinuous" vertical="center"/>
    </xf>
    <xf numFmtId="164" fontId="1" fillId="0" borderId="74" xfId="0" applyNumberFormat="1" applyFont="1" applyBorder="1" applyAlignment="1">
      <alignment horizontal="centerContinuous" vertical="center"/>
    </xf>
    <xf numFmtId="0" fontId="1" fillId="0" borderId="75" xfId="0" quotePrefix="1" applyFont="1" applyBorder="1" applyAlignment="1">
      <alignment horizontal="centerContinuous" vertical="center"/>
    </xf>
    <xf numFmtId="0" fontId="12" fillId="10" borderId="1" xfId="0" applyFont="1" applyFill="1" applyBorder="1"/>
    <xf numFmtId="0" fontId="6" fillId="10" borderId="24" xfId="0" applyFont="1" applyFill="1" applyBorder="1" applyAlignment="1">
      <alignment horizontal="center"/>
    </xf>
    <xf numFmtId="49" fontId="23" fillId="10" borderId="24" xfId="0" applyNumberFormat="1" applyFont="1" applyFill="1" applyBorder="1" applyAlignment="1">
      <alignment horizontal="center"/>
    </xf>
    <xf numFmtId="0" fontId="23" fillId="10" borderId="25" xfId="0" applyFont="1" applyFill="1" applyBorder="1" applyAlignment="1">
      <alignment horizontal="center"/>
    </xf>
    <xf numFmtId="0" fontId="12" fillId="10" borderId="25" xfId="0" applyFont="1" applyFill="1" applyBorder="1" applyAlignment="1">
      <alignment horizontal="center"/>
    </xf>
    <xf numFmtId="49" fontId="6" fillId="10" borderId="25" xfId="0" applyNumberFormat="1" applyFont="1" applyFill="1" applyBorder="1" applyAlignment="1">
      <alignment horizontal="center" wrapText="1"/>
    </xf>
    <xf numFmtId="49" fontId="6" fillId="10" borderId="25" xfId="0" applyNumberFormat="1" applyFont="1" applyFill="1" applyBorder="1" applyAlignment="1">
      <alignment horizontal="center"/>
    </xf>
    <xf numFmtId="0" fontId="6" fillId="10" borderId="26" xfId="0" applyFont="1" applyFill="1" applyBorder="1" applyAlignment="1">
      <alignment horizontal="center"/>
    </xf>
    <xf numFmtId="0" fontId="21" fillId="10" borderId="1" xfId="0" applyFont="1" applyFill="1" applyBorder="1"/>
    <xf numFmtId="49" fontId="27" fillId="10" borderId="24" xfId="0" applyNumberFormat="1" applyFont="1" applyFill="1" applyBorder="1" applyAlignment="1">
      <alignment horizontal="center"/>
    </xf>
    <xf numFmtId="0" fontId="27" fillId="10" borderId="25" xfId="0" applyFont="1" applyFill="1" applyBorder="1" applyAlignment="1">
      <alignment horizontal="center"/>
    </xf>
    <xf numFmtId="0" fontId="21" fillId="10" borderId="25" xfId="0" applyFont="1" applyFill="1" applyBorder="1" applyAlignment="1">
      <alignment horizontal="center"/>
    </xf>
    <xf numFmtId="0" fontId="6" fillId="10" borderId="25" xfId="0" applyFont="1" applyFill="1" applyBorder="1" applyAlignment="1">
      <alignment horizontal="center" wrapText="1"/>
    </xf>
    <xf numFmtId="0" fontId="7" fillId="10" borderId="1" xfId="0" applyFont="1" applyFill="1" applyBorder="1"/>
    <xf numFmtId="49" fontId="17" fillId="10" borderId="24" xfId="0" applyNumberFormat="1" applyFont="1" applyFill="1" applyBorder="1" applyAlignment="1">
      <alignment horizontal="center"/>
    </xf>
    <xf numFmtId="0" fontId="17" fillId="10" borderId="25" xfId="0" applyFont="1" applyFill="1" applyBorder="1" applyAlignment="1">
      <alignment horizontal="center"/>
    </xf>
    <xf numFmtId="0" fontId="7" fillId="10" borderId="25" xfId="0" applyFont="1" applyFill="1" applyBorder="1" applyAlignment="1">
      <alignment horizontal="center"/>
    </xf>
    <xf numFmtId="0" fontId="6" fillId="10" borderId="26" xfId="0" quotePrefix="1" applyFont="1" applyFill="1" applyBorder="1" applyAlignment="1">
      <alignment horizontal="center"/>
    </xf>
    <xf numFmtId="0" fontId="12" fillId="10" borderId="8" xfId="0" applyFont="1" applyFill="1" applyBorder="1"/>
    <xf numFmtId="0" fontId="6" fillId="10" borderId="42" xfId="0" applyFont="1" applyFill="1" applyBorder="1" applyAlignment="1">
      <alignment horizontal="center"/>
    </xf>
    <xf numFmtId="49" fontId="23" fillId="10" borderId="42" xfId="0" applyNumberFormat="1" applyFont="1" applyFill="1" applyBorder="1" applyAlignment="1">
      <alignment horizontal="center"/>
    </xf>
    <xf numFmtId="0" fontId="23" fillId="10" borderId="43" xfId="0" applyFont="1" applyFill="1" applyBorder="1" applyAlignment="1">
      <alignment horizontal="center"/>
    </xf>
    <xf numFmtId="0" fontId="12" fillId="10" borderId="43" xfId="0" applyFont="1" applyFill="1" applyBorder="1" applyAlignment="1">
      <alignment horizontal="center"/>
    </xf>
    <xf numFmtId="49" fontId="6" fillId="10" borderId="43" xfId="0" applyNumberFormat="1" applyFont="1" applyFill="1" applyBorder="1" applyAlignment="1">
      <alignment horizontal="center" wrapText="1"/>
    </xf>
    <xf numFmtId="49" fontId="6" fillId="10" borderId="43" xfId="0" applyNumberFormat="1" applyFont="1" applyFill="1" applyBorder="1" applyAlignment="1">
      <alignment horizontal="center"/>
    </xf>
    <xf numFmtId="0" fontId="6" fillId="10" borderId="31" xfId="0" applyFont="1" applyFill="1" applyBorder="1" applyAlignment="1">
      <alignment horizontal="center"/>
    </xf>
    <xf numFmtId="0" fontId="7" fillId="6" borderId="1" xfId="0" applyFont="1" applyFill="1" applyBorder="1"/>
    <xf numFmtId="49" fontId="17" fillId="6" borderId="24" xfId="0" applyNumberFormat="1" applyFont="1" applyFill="1" applyBorder="1" applyAlignment="1">
      <alignment horizontal="center"/>
    </xf>
    <xf numFmtId="0" fontId="17" fillId="6" borderId="25" xfId="0" applyFont="1" applyFill="1" applyBorder="1" applyAlignment="1">
      <alignment horizontal="center"/>
    </xf>
    <xf numFmtId="0" fontId="7" fillId="6" borderId="25" xfId="0" applyFont="1" applyFill="1" applyBorder="1" applyAlignment="1">
      <alignment horizontal="center"/>
    </xf>
    <xf numFmtId="0" fontId="57" fillId="0" borderId="103" xfId="0" applyFont="1" applyBorder="1" applyAlignment="1">
      <alignment horizontal="centerContinuous" vertical="center"/>
    </xf>
    <xf numFmtId="0" fontId="5" fillId="0" borderId="105" xfId="0" applyFont="1" applyBorder="1" applyAlignment="1">
      <alignment horizontal="centerContinuous" vertical="center"/>
    </xf>
    <xf numFmtId="0" fontId="5" fillId="0" borderId="106" xfId="0" applyFont="1" applyBorder="1" applyAlignment="1">
      <alignment horizontal="centerContinuous" vertical="center"/>
    </xf>
    <xf numFmtId="0" fontId="58" fillId="8" borderId="57" xfId="0" applyFont="1" applyFill="1" applyBorder="1" applyAlignment="1">
      <alignment horizontal="centerContinuous" vertical="center"/>
    </xf>
    <xf numFmtId="0" fontId="58" fillId="8" borderId="107" xfId="0" applyFont="1" applyFill="1" applyBorder="1" applyAlignment="1">
      <alignment horizontal="centerContinuous" vertical="center"/>
    </xf>
    <xf numFmtId="0" fontId="58" fillId="8" borderId="108" xfId="0" applyFont="1" applyFill="1" applyBorder="1" applyAlignment="1">
      <alignment horizontal="center" vertical="center"/>
    </xf>
    <xf numFmtId="0" fontId="58" fillId="8" borderId="109" xfId="0" applyFont="1" applyFill="1" applyBorder="1" applyAlignment="1">
      <alignment horizontal="centerContinuous" vertical="center"/>
    </xf>
    <xf numFmtId="0" fontId="6" fillId="0" borderId="110" xfId="0" applyFont="1" applyBorder="1" applyAlignment="1">
      <alignment horizontal="center" vertical="center"/>
    </xf>
    <xf numFmtId="0" fontId="6" fillId="0" borderId="111" xfId="0" applyFont="1" applyBorder="1" applyAlignment="1">
      <alignment horizontal="centerContinuous" vertical="center"/>
    </xf>
    <xf numFmtId="49" fontId="6" fillId="0" borderId="112" xfId="0" applyNumberFormat="1" applyFont="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Continuous" vertical="center"/>
    </xf>
    <xf numFmtId="49" fontId="6" fillId="0" borderId="24" xfId="0" applyNumberFormat="1" applyFont="1" applyBorder="1" applyAlignment="1">
      <alignment horizontal="center" vertical="center"/>
    </xf>
    <xf numFmtId="0" fontId="6" fillId="0" borderId="8" xfId="0" applyFont="1" applyBorder="1" applyAlignment="1">
      <alignment horizontal="center" vertical="center"/>
    </xf>
    <xf numFmtId="0" fontId="6" fillId="0" borderId="43" xfId="0" applyFont="1" applyBorder="1" applyAlignment="1">
      <alignment horizontal="centerContinuous" vertical="center"/>
    </xf>
    <xf numFmtId="49" fontId="6" fillId="0" borderId="42" xfId="0" applyNumberFormat="1" applyFont="1" applyBorder="1" applyAlignment="1">
      <alignment horizontal="center" vertical="center"/>
    </xf>
    <xf numFmtId="0" fontId="59" fillId="5" borderId="10" xfId="2" applyNumberFormat="1" applyFont="1" applyFill="1" applyBorder="1" applyAlignment="1">
      <alignment horizontal="centerContinuous" vertical="center" shrinkToFit="1"/>
    </xf>
    <xf numFmtId="0" fontId="1" fillId="0" borderId="31" xfId="0" quotePrefix="1" applyFont="1" applyBorder="1" applyAlignment="1">
      <alignment horizontal="center" vertical="center"/>
    </xf>
    <xf numFmtId="2" fontId="1" fillId="0" borderId="24" xfId="0" applyNumberFormat="1" applyFont="1" applyBorder="1" applyAlignment="1">
      <alignment horizontal="center" vertical="center"/>
    </xf>
    <xf numFmtId="0" fontId="1" fillId="0" borderId="58" xfId="0" applyFont="1" applyBorder="1" applyAlignment="1">
      <alignment horizontal="center" vertical="center"/>
    </xf>
    <xf numFmtId="0" fontId="1" fillId="0" borderId="58" xfId="0" quotePrefix="1" applyFont="1" applyBorder="1" applyAlignment="1">
      <alignment horizontal="center" vertical="center" wrapText="1"/>
    </xf>
    <xf numFmtId="49" fontId="1" fillId="0" borderId="58" xfId="2" applyNumberFormat="1" applyFont="1" applyFill="1" applyBorder="1" applyAlignment="1">
      <alignment horizontal="center" vertical="center"/>
    </xf>
    <xf numFmtId="0" fontId="1" fillId="0" borderId="58" xfId="0" applyFont="1" applyBorder="1" applyAlignment="1">
      <alignment horizontal="center" vertical="center" shrinkToFit="1"/>
    </xf>
    <xf numFmtId="164" fontId="4" fillId="0" borderId="14" xfId="0" applyNumberFormat="1" applyFont="1" applyBorder="1" applyAlignment="1">
      <alignment horizontal="center" vertical="center"/>
    </xf>
    <xf numFmtId="1" fontId="46" fillId="8" borderId="14" xfId="0" applyNumberFormat="1" applyFont="1" applyFill="1" applyBorder="1" applyAlignment="1">
      <alignment horizontal="center" vertical="center"/>
    </xf>
    <xf numFmtId="1" fontId="1" fillId="0" borderId="14" xfId="0" applyNumberFormat="1" applyFont="1" applyBorder="1" applyAlignment="1">
      <alignment horizontal="center" vertical="center"/>
    </xf>
    <xf numFmtId="0" fontId="1" fillId="0" borderId="30" xfId="0" quotePrefix="1" applyFont="1" applyBorder="1" applyAlignment="1">
      <alignment horizontal="center" vertical="center"/>
    </xf>
    <xf numFmtId="49" fontId="1" fillId="0" borderId="58" xfId="0" applyNumberFormat="1" applyFont="1" applyBorder="1" applyAlignment="1">
      <alignment horizontal="center" vertical="center"/>
    </xf>
    <xf numFmtId="0" fontId="1" fillId="0" borderId="1" xfId="0" applyFont="1" applyBorder="1" applyAlignment="1">
      <alignment horizontal="centerContinuous" vertical="center" shrinkToFit="1"/>
    </xf>
    <xf numFmtId="0" fontId="20" fillId="0" borderId="0" xfId="0" applyFont="1" applyAlignment="1">
      <alignment horizontal="centerContinuous" vertical="center"/>
    </xf>
    <xf numFmtId="0" fontId="1" fillId="0" borderId="2" xfId="0" applyFont="1" applyBorder="1" applyAlignment="1">
      <alignment horizontal="centerContinuous" vertical="center"/>
    </xf>
    <xf numFmtId="2" fontId="1" fillId="0" borderId="32" xfId="0" applyNumberFormat="1" applyFont="1" applyBorder="1" applyAlignment="1">
      <alignment horizontal="center" vertical="center" shrinkToFit="1"/>
    </xf>
    <xf numFmtId="2" fontId="1" fillId="0" borderId="36" xfId="0" applyNumberFormat="1" applyFont="1" applyBorder="1" applyAlignment="1">
      <alignment horizontal="center" shrinkToFit="1"/>
    </xf>
    <xf numFmtId="0" fontId="6" fillId="5" borderId="113" xfId="2" quotePrefix="1" applyNumberFormat="1" applyFont="1" applyFill="1" applyBorder="1" applyAlignment="1">
      <alignment horizontal="centerContinuous" vertical="center" shrinkToFit="1"/>
    </xf>
    <xf numFmtId="0" fontId="6" fillId="5" borderId="2" xfId="2" quotePrefix="1" applyNumberFormat="1" applyFont="1" applyFill="1" applyBorder="1" applyAlignment="1">
      <alignment horizontal="centerContinuous" vertical="center" shrinkToFit="1"/>
    </xf>
    <xf numFmtId="164" fontId="1" fillId="0" borderId="38" xfId="0" applyNumberFormat="1" applyFont="1" applyBorder="1" applyAlignment="1">
      <alignment horizontal="center" shrinkToFit="1"/>
    </xf>
    <xf numFmtId="0" fontId="1" fillId="0" borderId="39" xfId="0" applyFont="1" applyBorder="1" applyAlignment="1">
      <alignment horizontal="left" shrinkToFit="1"/>
    </xf>
    <xf numFmtId="0" fontId="6" fillId="0" borderId="14" xfId="0" applyFont="1" applyBorder="1" applyAlignment="1">
      <alignment horizontal="center" vertical="center"/>
    </xf>
    <xf numFmtId="0" fontId="6" fillId="0" borderId="3" xfId="0" quotePrefix="1" applyFont="1" applyBorder="1" applyAlignment="1">
      <alignment horizontal="center"/>
    </xf>
    <xf numFmtId="0" fontId="6" fillId="0" borderId="44" xfId="0" applyFont="1" applyBorder="1" applyAlignment="1">
      <alignment horizontal="center" shrinkToFit="1"/>
    </xf>
    <xf numFmtId="0" fontId="6" fillId="0" borderId="48" xfId="0" applyFont="1" applyBorder="1" applyAlignment="1">
      <alignment horizontal="center" shrinkToFit="1"/>
    </xf>
    <xf numFmtId="0" fontId="6" fillId="0" borderId="32" xfId="0" applyFont="1" applyBorder="1" applyAlignment="1">
      <alignment horizontal="center" shrinkToFit="1"/>
    </xf>
    <xf numFmtId="49" fontId="6" fillId="0" borderId="27" xfId="0" applyNumberFormat="1" applyFont="1" applyBorder="1" applyAlignment="1">
      <alignment horizontal="center"/>
    </xf>
    <xf numFmtId="0" fontId="6" fillId="0" borderId="26" xfId="0" quotePrefix="1" applyFont="1" applyBorder="1" applyAlignment="1">
      <alignment horizontal="center"/>
    </xf>
    <xf numFmtId="49" fontId="5" fillId="13" borderId="27" xfId="0" applyNumberFormat="1" applyFont="1" applyFill="1" applyBorder="1" applyAlignment="1">
      <alignment horizontal="center" vertical="center"/>
    </xf>
    <xf numFmtId="0" fontId="1" fillId="14" borderId="24" xfId="0" applyFont="1" applyFill="1" applyBorder="1" applyAlignment="1">
      <alignment horizontal="center" vertical="center"/>
    </xf>
    <xf numFmtId="0" fontId="1" fillId="14" borderId="58" xfId="0" applyFont="1" applyFill="1" applyBorder="1" applyAlignment="1">
      <alignment horizontal="center" vertical="center"/>
    </xf>
    <xf numFmtId="1" fontId="6" fillId="12" borderId="97" xfId="0" applyNumberFormat="1" applyFont="1" applyFill="1" applyBorder="1" applyAlignment="1">
      <alignment horizontal="centerContinuous"/>
    </xf>
    <xf numFmtId="1" fontId="1" fillId="12" borderId="98" xfId="0" applyNumberFormat="1" applyFont="1" applyFill="1" applyBorder="1" applyAlignment="1">
      <alignment horizontal="centerContinuous"/>
    </xf>
    <xf numFmtId="0" fontId="1" fillId="0" borderId="94" xfId="2" applyNumberFormat="1" applyFont="1" applyFill="1" applyBorder="1" applyAlignment="1">
      <alignment horizontal="center" vertical="center"/>
    </xf>
    <xf numFmtId="0" fontId="1" fillId="0" borderId="24" xfId="2" applyNumberFormat="1" applyFont="1" applyFill="1" applyBorder="1" applyAlignment="1">
      <alignment horizontal="center" vertical="center"/>
    </xf>
    <xf numFmtId="0" fontId="1" fillId="0" borderId="58" xfId="2" applyNumberFormat="1" applyFont="1" applyFill="1" applyBorder="1" applyAlignment="1">
      <alignment horizontal="center" vertical="center"/>
    </xf>
    <xf numFmtId="49" fontId="1" fillId="0" borderId="42" xfId="2" applyNumberFormat="1" applyFont="1" applyFill="1" applyBorder="1" applyAlignment="1">
      <alignment horizontal="center" vertical="center"/>
    </xf>
    <xf numFmtId="0" fontId="61" fillId="2" borderId="4" xfId="0" applyFont="1" applyFill="1" applyBorder="1" applyAlignment="1">
      <alignment horizontal="right"/>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5">
    <dxf>
      <font>
        <color rgb="FFFF0000"/>
      </font>
    </dxf>
    <dxf>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ED488848-AF0A-4A85-BD3D-C941048F4213}"/>
  </tableStyles>
  <colors>
    <mruColors>
      <color rgb="FFCC66FF"/>
      <color rgb="FF339933"/>
      <color rgb="FF00CC00"/>
      <color rgb="FFCCFFCC"/>
      <color rgb="FF66FFFF"/>
      <color rgb="FF00FF00"/>
      <color rgb="FF009900"/>
      <color rgb="FF9933FF"/>
      <color rgb="FF008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57150</xdr:rowOff>
    </xdr:from>
    <xdr:to>
      <xdr:col>6</xdr:col>
      <xdr:colOff>1276350</xdr:colOff>
      <xdr:row>24</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60960</xdr:colOff>
      <xdr:row>15</xdr:row>
      <xdr:rowOff>22860</xdr:rowOff>
    </xdr:from>
    <xdr:to>
      <xdr:col>6</xdr:col>
      <xdr:colOff>1104899</xdr:colOff>
      <xdr:row>15</xdr:row>
      <xdr:rowOff>272414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20540" y="3215640"/>
          <a:ext cx="2217419" cy="2495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53341</xdr:colOff>
      <xdr:row>1</xdr:row>
      <xdr:rowOff>137161</xdr:rowOff>
    </xdr:from>
    <xdr:to>
      <xdr:col>6</xdr:col>
      <xdr:colOff>1131499</xdr:colOff>
      <xdr:row>14</xdr:row>
      <xdr:rowOff>99061</xdr:rowOff>
    </xdr:to>
    <xdr:pic>
      <xdr:nvPicPr>
        <xdr:cNvPr id="2" name="Picture 1">
          <a:extLst>
            <a:ext uri="{FF2B5EF4-FFF2-40B4-BE49-F238E27FC236}">
              <a16:creationId xmlns:a16="http://schemas.microsoft.com/office/drawing/2014/main" id="{EF000B6D-C7E7-42B8-ACDB-C948270484E2}"/>
            </a:ext>
          </a:extLst>
        </xdr:cNvPr>
        <xdr:cNvPicPr>
          <a:picLocks noChangeAspect="1"/>
        </xdr:cNvPicPr>
      </xdr:nvPicPr>
      <xdr:blipFill>
        <a:blip xmlns:r="http://schemas.openxmlformats.org/officeDocument/2006/relationships" r:embed="rId1"/>
        <a:stretch>
          <a:fillRect/>
        </a:stretch>
      </xdr:blipFill>
      <xdr:spPr>
        <a:xfrm>
          <a:off x="4312921" y="510541"/>
          <a:ext cx="2251638" cy="2773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253365</xdr:colOff>
      <xdr:row>1</xdr:row>
      <xdr:rowOff>123825</xdr:rowOff>
    </xdr:from>
    <xdr:to>
      <xdr:col>4</xdr:col>
      <xdr:colOff>140970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showGridLines="0" tabSelected="1" zoomScaleNormal="100" workbookViewId="0"/>
  </sheetViews>
  <sheetFormatPr defaultColWidth="13" defaultRowHeight="15.6" x14ac:dyDescent="0.3"/>
  <cols>
    <col min="1" max="1" width="15" style="19" customWidth="1"/>
    <col min="2" max="2" width="11" style="20" customWidth="1"/>
    <col min="3" max="3" width="6.296875" style="20" customWidth="1"/>
    <col min="4" max="4" width="13.69921875" style="19" bestFit="1" customWidth="1"/>
    <col min="5" max="5" width="9.8984375" style="20" bestFit="1" customWidth="1"/>
    <col min="6" max="6" width="15.3984375" style="19" customWidth="1"/>
    <col min="7" max="7" width="15.3984375" style="20" customWidth="1"/>
    <col min="8" max="16384" width="13" style="1"/>
  </cols>
  <sheetData>
    <row r="1" spans="1:7" ht="29.4" thickTop="1" thickBot="1" x14ac:dyDescent="0.55000000000000004">
      <c r="A1" s="264" t="s">
        <v>192</v>
      </c>
      <c r="B1" s="265" t="s">
        <v>193</v>
      </c>
      <c r="C1" s="124"/>
      <c r="D1" s="107"/>
      <c r="E1" s="297"/>
      <c r="F1" s="107"/>
      <c r="G1" s="198" t="s">
        <v>161</v>
      </c>
    </row>
    <row r="2" spans="1:7" ht="17.399999999999999" thickTop="1" x14ac:dyDescent="0.3">
      <c r="A2" s="2" t="s">
        <v>142</v>
      </c>
      <c r="B2" s="29" t="s">
        <v>176</v>
      </c>
      <c r="C2" s="29"/>
      <c r="D2" s="4" t="s">
        <v>149</v>
      </c>
      <c r="E2" s="38" t="s">
        <v>177</v>
      </c>
      <c r="F2"/>
      <c r="G2" s="5"/>
    </row>
    <row r="3" spans="1:7" ht="16.8" x14ac:dyDescent="0.3">
      <c r="A3" s="2" t="s">
        <v>143</v>
      </c>
      <c r="B3" s="29" t="s">
        <v>176</v>
      </c>
      <c r="C3" s="29"/>
      <c r="D3" s="4" t="s">
        <v>113</v>
      </c>
      <c r="E3" s="38">
        <v>3</v>
      </c>
      <c r="F3" s="4"/>
      <c r="G3" s="5"/>
    </row>
    <row r="4" spans="1:7" ht="16.8" x14ac:dyDescent="0.3">
      <c r="A4" s="2" t="s">
        <v>143</v>
      </c>
      <c r="B4" s="29" t="s">
        <v>72</v>
      </c>
      <c r="C4" s="29"/>
      <c r="D4" s="4" t="s">
        <v>113</v>
      </c>
      <c r="E4" s="38">
        <v>6</v>
      </c>
      <c r="F4" s="4"/>
      <c r="G4" s="5"/>
    </row>
    <row r="5" spans="1:7" ht="16.8" x14ac:dyDescent="0.3">
      <c r="A5" s="2" t="s">
        <v>144</v>
      </c>
      <c r="B5" s="29" t="s">
        <v>194</v>
      </c>
      <c r="C5" s="29"/>
      <c r="D5" s="4" t="s">
        <v>150</v>
      </c>
      <c r="E5" s="38">
        <v>312</v>
      </c>
      <c r="F5" s="4"/>
      <c r="G5" s="5"/>
    </row>
    <row r="6" spans="1:7" ht="16.8" x14ac:dyDescent="0.3">
      <c r="A6" s="2" t="s">
        <v>145</v>
      </c>
      <c r="B6" s="29" t="s">
        <v>195</v>
      </c>
      <c r="C6" s="29"/>
      <c r="D6" s="4" t="s">
        <v>151</v>
      </c>
      <c r="E6" s="38" t="s">
        <v>164</v>
      </c>
      <c r="F6" s="4"/>
      <c r="G6" s="5"/>
    </row>
    <row r="7" spans="1:7" ht="17.399999999999999" thickBot="1" x14ac:dyDescent="0.35">
      <c r="A7" s="2" t="s">
        <v>146</v>
      </c>
      <c r="B7" s="29" t="s">
        <v>196</v>
      </c>
      <c r="C7" s="29"/>
      <c r="D7" s="4" t="s">
        <v>152</v>
      </c>
      <c r="E7" s="38" t="s">
        <v>165</v>
      </c>
      <c r="F7" s="4"/>
      <c r="G7" s="5"/>
    </row>
    <row r="8" spans="1:7" ht="17.399999999999999" thickTop="1" x14ac:dyDescent="0.3">
      <c r="A8" s="122" t="s">
        <v>147</v>
      </c>
      <c r="B8" s="393">
        <f>2+4+1</f>
        <v>7</v>
      </c>
      <c r="C8" s="394"/>
      <c r="D8" s="123" t="s">
        <v>153</v>
      </c>
      <c r="E8" s="268" t="s">
        <v>198</v>
      </c>
      <c r="F8" s="3"/>
      <c r="G8" s="5"/>
    </row>
    <row r="9" spans="1:7" ht="17.399999999999999" thickBot="1" x14ac:dyDescent="0.35">
      <c r="A9" s="310" t="s">
        <v>148</v>
      </c>
      <c r="B9" s="307" t="s">
        <v>166</v>
      </c>
      <c r="C9" s="308"/>
      <c r="D9" s="309" t="s">
        <v>154</v>
      </c>
      <c r="E9" s="276" t="s">
        <v>198</v>
      </c>
      <c r="F9" s="3"/>
      <c r="G9" s="5"/>
    </row>
    <row r="10" spans="1:7" ht="17.399999999999999" thickTop="1" x14ac:dyDescent="0.3">
      <c r="A10" s="26" t="s">
        <v>141</v>
      </c>
      <c r="B10" s="383">
        <f>7</f>
        <v>7</v>
      </c>
      <c r="C10" s="88">
        <f t="shared" ref="C10:C15" si="0">IF(B10&gt;9.9,CONCATENATE("+",ROUNDDOWN((B10-10)/2,0)),ROUNDUP((B10-10)/2,0))</f>
        <v>-2</v>
      </c>
      <c r="D10" s="58" t="s">
        <v>155</v>
      </c>
      <c r="E10" s="267" t="s">
        <v>197</v>
      </c>
      <c r="F10" s="3"/>
      <c r="G10" s="5"/>
    </row>
    <row r="11" spans="1:7" ht="16.8" x14ac:dyDescent="0.3">
      <c r="A11" s="6" t="s">
        <v>137</v>
      </c>
      <c r="B11" s="384">
        <f>17</f>
        <v>17</v>
      </c>
      <c r="C11" s="37" t="str">
        <f t="shared" si="0"/>
        <v>+3</v>
      </c>
      <c r="D11" s="59" t="s">
        <v>156</v>
      </c>
      <c r="E11" s="40">
        <f>SUM(Martial!G3:G22)+SUM(Equipment!C3:C20)</f>
        <v>20.123749999999998</v>
      </c>
      <c r="F11" s="3"/>
      <c r="G11" s="5"/>
    </row>
    <row r="12" spans="1:7" ht="16.8" x14ac:dyDescent="0.3">
      <c r="A12" s="399" t="s">
        <v>136</v>
      </c>
      <c r="B12" s="287">
        <f>12</f>
        <v>12</v>
      </c>
      <c r="C12" s="30" t="str">
        <f t="shared" si="0"/>
        <v>+1</v>
      </c>
      <c r="D12" s="59" t="s">
        <v>157</v>
      </c>
      <c r="E12" s="390">
        <f>11+ROUNDUP(((E4*6)*0.75)+(E4*C12),0)</f>
        <v>44</v>
      </c>
      <c r="F12" s="3"/>
      <c r="G12" s="5"/>
    </row>
    <row r="13" spans="1:7" ht="16.8" x14ac:dyDescent="0.3">
      <c r="A13" s="66" t="s">
        <v>139</v>
      </c>
      <c r="B13" s="287">
        <f>11</f>
        <v>11</v>
      </c>
      <c r="C13" s="37" t="str">
        <f t="shared" si="0"/>
        <v>+0</v>
      </c>
      <c r="D13" s="160" t="s">
        <v>158</v>
      </c>
      <c r="E13" s="388">
        <f>2+10+C11</f>
        <v>15</v>
      </c>
      <c r="F13" s="2"/>
      <c r="G13" s="5"/>
    </row>
    <row r="14" spans="1:7" ht="16.8" x14ac:dyDescent="0.3">
      <c r="A14" s="25" t="s">
        <v>138</v>
      </c>
      <c r="B14" s="288">
        <f>14</f>
        <v>14</v>
      </c>
      <c r="C14" s="37" t="str">
        <f t="shared" si="0"/>
        <v>+2</v>
      </c>
      <c r="D14" s="160" t="s">
        <v>159</v>
      </c>
      <c r="E14" s="270">
        <f>E15-C11</f>
        <v>15</v>
      </c>
      <c r="F14" s="3"/>
      <c r="G14" s="5"/>
    </row>
    <row r="15" spans="1:7" ht="17.399999999999999" thickBot="1" x14ac:dyDescent="0.35">
      <c r="A15" s="27" t="s">
        <v>140</v>
      </c>
      <c r="B15" s="289">
        <f>15</f>
        <v>15</v>
      </c>
      <c r="C15" s="31" t="str">
        <f t="shared" si="0"/>
        <v>+2</v>
      </c>
      <c r="D15" s="161" t="s">
        <v>160</v>
      </c>
      <c r="E15" s="39">
        <f>E13+SUM(Martial!B18:B19)</f>
        <v>18</v>
      </c>
      <c r="F15" s="3"/>
      <c r="G15" s="5"/>
    </row>
    <row r="16" spans="1:7" ht="24" thickTop="1" thickBot="1" x14ac:dyDescent="0.45">
      <c r="A16" s="7" t="s">
        <v>16</v>
      </c>
      <c r="B16" s="8"/>
      <c r="C16" s="8"/>
      <c r="D16" s="9"/>
      <c r="E16" s="266"/>
      <c r="F16" s="9"/>
      <c r="G16" s="10"/>
    </row>
    <row r="17" spans="1:7" s="14" customFormat="1" ht="17.399999999999999" thickTop="1" x14ac:dyDescent="0.3">
      <c r="A17" s="11"/>
      <c r="B17" s="12"/>
      <c r="C17" s="12"/>
      <c r="D17" s="12"/>
      <c r="E17" s="12"/>
      <c r="F17" s="12"/>
      <c r="G17" s="13"/>
    </row>
    <row r="18" spans="1:7" s="14" customFormat="1" ht="16.8" x14ac:dyDescent="0.3">
      <c r="A18" s="45"/>
      <c r="B18" s="15"/>
      <c r="C18" s="15"/>
      <c r="D18" s="15"/>
      <c r="E18" s="15"/>
      <c r="F18" s="15"/>
      <c r="G18" s="46"/>
    </row>
    <row r="19" spans="1:7" s="14" customFormat="1" ht="16.8" x14ac:dyDescent="0.3">
      <c r="A19" s="45"/>
      <c r="B19" s="15"/>
      <c r="C19" s="15"/>
      <c r="D19" s="15"/>
      <c r="E19" s="15"/>
      <c r="F19" s="15"/>
      <c r="G19" s="46"/>
    </row>
    <row r="20" spans="1:7" s="14" customFormat="1" ht="16.8" x14ac:dyDescent="0.3">
      <c r="A20" s="45"/>
      <c r="B20" s="15"/>
      <c r="C20" s="15"/>
      <c r="D20" s="15"/>
      <c r="E20" s="15"/>
      <c r="F20" s="15"/>
      <c r="G20" s="46"/>
    </row>
    <row r="21" spans="1:7" s="14" customFormat="1" ht="16.8" x14ac:dyDescent="0.3">
      <c r="A21" s="45"/>
      <c r="B21" s="15"/>
      <c r="C21" s="15"/>
      <c r="D21" s="15"/>
      <c r="E21" s="15"/>
      <c r="F21" s="15"/>
      <c r="G21" s="46"/>
    </row>
    <row r="22" spans="1:7" s="14" customFormat="1" ht="16.8" x14ac:dyDescent="0.3">
      <c r="A22" s="45"/>
      <c r="B22" s="15"/>
      <c r="C22" s="15"/>
      <c r="D22" s="15"/>
      <c r="E22" s="15"/>
      <c r="F22" s="15"/>
      <c r="G22" s="46"/>
    </row>
    <row r="23" spans="1:7" s="14" customFormat="1" ht="16.8" x14ac:dyDescent="0.3">
      <c r="A23" s="45"/>
      <c r="B23" s="15"/>
      <c r="C23" s="15"/>
      <c r="D23" s="15"/>
      <c r="E23" s="15"/>
      <c r="F23" s="15"/>
      <c r="G23" s="46"/>
    </row>
    <row r="24" spans="1:7" s="14" customFormat="1" ht="16.8" x14ac:dyDescent="0.3">
      <c r="A24" s="45"/>
      <c r="B24" s="15"/>
      <c r="C24" s="15"/>
      <c r="D24" s="15"/>
      <c r="E24" s="15"/>
      <c r="F24" s="15"/>
      <c r="G24" s="46"/>
    </row>
    <row r="25" spans="1:7" ht="17.399999999999999" thickBot="1" x14ac:dyDescent="0.35">
      <c r="A25" s="16"/>
      <c r="B25" s="17"/>
      <c r="C25" s="17"/>
      <c r="D25" s="17"/>
      <c r="E25" s="17"/>
      <c r="F25" s="17"/>
      <c r="G25" s="18"/>
    </row>
    <row r="26" spans="1:7" ht="16.2" thickTop="1" x14ac:dyDescent="0.3"/>
  </sheetData>
  <phoneticPr fontId="0" type="noConversion"/>
  <conditionalFormatting sqref="E11">
    <cfRule type="cellIs" dxfId="4" priority="4" stopIfTrue="1" operator="greaterThan">
      <formula>23</formula>
    </cfRule>
    <cfRule type="cellIs" dxfId="3" priority="5" stopIfTrue="1" operator="between">
      <formula>12</formula>
      <formula>23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x14ac:dyDescent="0.3"/>
  <cols>
    <col min="1" max="1" width="29.59765625" style="19" bestFit="1" customWidth="1"/>
    <col min="2" max="2" width="5.8984375" style="19" bestFit="1" customWidth="1"/>
    <col min="3" max="3" width="11.59765625" style="20" hidden="1" customWidth="1"/>
    <col min="4" max="4" width="5.796875" style="20" hidden="1" customWidth="1"/>
    <col min="5" max="5" width="9.19921875" style="20" bestFit="1" customWidth="1"/>
    <col min="6" max="6" width="7.796875" style="20" bestFit="1" customWidth="1"/>
    <col min="7" max="7" width="5.8984375" style="20" bestFit="1" customWidth="1"/>
    <col min="8" max="8" width="4.69921875" style="20" bestFit="1" customWidth="1"/>
    <col min="9" max="9" width="6.8984375" style="20" bestFit="1" customWidth="1"/>
    <col min="10" max="10" width="39" style="19" bestFit="1" customWidth="1"/>
    <col min="11" max="16384" width="13" style="1"/>
  </cols>
  <sheetData>
    <row r="1" spans="1:10" ht="23.4" thickBot="1" x14ac:dyDescent="0.45">
      <c r="A1" s="28" t="s">
        <v>6</v>
      </c>
      <c r="B1" s="21"/>
      <c r="C1" s="21"/>
      <c r="D1" s="21"/>
      <c r="E1" s="21"/>
      <c r="F1" s="21"/>
      <c r="G1" s="21"/>
      <c r="H1" s="21"/>
      <c r="I1" s="21"/>
      <c r="J1" s="21"/>
    </row>
    <row r="2" spans="1:10" s="144" customFormat="1" ht="34.200000000000003" thickBot="1" x14ac:dyDescent="0.35">
      <c r="A2" s="139" t="s">
        <v>91</v>
      </c>
      <c r="B2" s="140" t="s">
        <v>21</v>
      </c>
      <c r="C2" s="140" t="s">
        <v>23</v>
      </c>
      <c r="D2" s="140" t="s">
        <v>20</v>
      </c>
      <c r="E2" s="141" t="s">
        <v>48</v>
      </c>
      <c r="F2" s="141" t="s">
        <v>24</v>
      </c>
      <c r="G2" s="141" t="s">
        <v>50</v>
      </c>
      <c r="H2" s="142" t="s">
        <v>79</v>
      </c>
      <c r="I2" s="140" t="s">
        <v>62</v>
      </c>
      <c r="J2" s="143" t="s">
        <v>61</v>
      </c>
    </row>
    <row r="3" spans="1:10" s="14" customFormat="1" ht="16.8" x14ac:dyDescent="0.3">
      <c r="A3" s="108" t="s">
        <v>52</v>
      </c>
      <c r="B3" s="109">
        <f>4+2</f>
        <v>6</v>
      </c>
      <c r="C3" s="42" t="s">
        <v>136</v>
      </c>
      <c r="D3" s="42" t="str">
        <f>VLOOKUP(C3,'Personal File'!$A$10:$C$15,3,FALSE)</f>
        <v>+1</v>
      </c>
      <c r="E3" s="120" t="str">
        <f t="shared" ref="E3:E42" si="0">CONCATENATE(LEFT(C3,3)," (",D3,")")</f>
        <v>Con (+1)</v>
      </c>
      <c r="F3" s="42">
        <v>0</v>
      </c>
      <c r="G3" s="110">
        <f t="shared" ref="G3:G5" si="1">B3+D3+F3</f>
        <v>7</v>
      </c>
      <c r="H3" s="111">
        <f t="shared" ref="H3:H42" ca="1" si="2">RANDBETWEEN(1,20)</f>
        <v>2</v>
      </c>
      <c r="I3" s="112">
        <f t="shared" ref="I3:I5" ca="1" si="3">SUM(G3:H3)</f>
        <v>9</v>
      </c>
      <c r="J3" s="44"/>
    </row>
    <row r="4" spans="1:10" s="14" customFormat="1" ht="16.8" x14ac:dyDescent="0.3">
      <c r="A4" s="113" t="s">
        <v>53</v>
      </c>
      <c r="B4" s="109">
        <f>7+5</f>
        <v>12</v>
      </c>
      <c r="C4" s="42" t="s">
        <v>137</v>
      </c>
      <c r="D4" s="42" t="str">
        <f>VLOOKUP(C4,'Personal File'!$A$10:$C$15,3,FALSE)</f>
        <v>+3</v>
      </c>
      <c r="E4" s="96" t="str">
        <f t="shared" si="0"/>
        <v>Dex (+3)</v>
      </c>
      <c r="F4" s="277">
        <v>0</v>
      </c>
      <c r="G4" s="110">
        <f t="shared" si="1"/>
        <v>15</v>
      </c>
      <c r="H4" s="111">
        <f t="shared" ca="1" si="2"/>
        <v>3</v>
      </c>
      <c r="I4" s="112">
        <f t="shared" ca="1" si="3"/>
        <v>18</v>
      </c>
      <c r="J4" s="389" t="s">
        <v>133</v>
      </c>
    </row>
    <row r="5" spans="1:10" s="14" customFormat="1" ht="16.8" x14ac:dyDescent="0.3">
      <c r="A5" s="114" t="s">
        <v>54</v>
      </c>
      <c r="B5" s="115">
        <f>5+2</f>
        <v>7</v>
      </c>
      <c r="C5" s="116" t="s">
        <v>138</v>
      </c>
      <c r="D5" s="116" t="str">
        <f>VLOOKUP(C5,'Personal File'!$A$10:$C$15,3,FALSE)</f>
        <v>+2</v>
      </c>
      <c r="E5" s="121" t="str">
        <f t="shared" si="0"/>
        <v>Wis (+2)</v>
      </c>
      <c r="F5" s="116">
        <v>0</v>
      </c>
      <c r="G5" s="117">
        <f t="shared" si="1"/>
        <v>9</v>
      </c>
      <c r="H5" s="118">
        <f t="shared" ca="1" si="2"/>
        <v>17</v>
      </c>
      <c r="I5" s="119">
        <f t="shared" ca="1" si="3"/>
        <v>26</v>
      </c>
      <c r="J5" s="125" t="s">
        <v>206</v>
      </c>
    </row>
    <row r="6" spans="1:10" s="32" customFormat="1" ht="16.8" x14ac:dyDescent="0.3">
      <c r="A6" s="126" t="s">
        <v>25</v>
      </c>
      <c r="B6" s="42">
        <v>0</v>
      </c>
      <c r="C6" s="127" t="s">
        <v>139</v>
      </c>
      <c r="D6" s="128" t="str">
        <f>VLOOKUP(C6,'Personal File'!$A$10:$C$15,3,FALSE)</f>
        <v>+0</v>
      </c>
      <c r="E6" s="129" t="str">
        <f t="shared" si="0"/>
        <v>Int (+0)</v>
      </c>
      <c r="F6" s="277" t="s">
        <v>49</v>
      </c>
      <c r="G6" s="43">
        <f t="shared" ref="G6:G42" si="4">B6+D6+F6</f>
        <v>0</v>
      </c>
      <c r="H6" s="111">
        <f t="shared" ca="1" si="2"/>
        <v>6</v>
      </c>
      <c r="I6" s="43">
        <f t="shared" ref="I6:I7" ca="1" si="5">SUM(G6:H6)</f>
        <v>6</v>
      </c>
      <c r="J6" s="44"/>
    </row>
    <row r="7" spans="1:10" s="36" customFormat="1" ht="16.8" x14ac:dyDescent="0.3">
      <c r="A7" s="316" t="s">
        <v>26</v>
      </c>
      <c r="B7" s="317">
        <v>3</v>
      </c>
      <c r="C7" s="318" t="s">
        <v>137</v>
      </c>
      <c r="D7" s="319" t="str">
        <f>VLOOKUP(C7,'Personal File'!$A$10:$C$15,3,FALSE)</f>
        <v>+3</v>
      </c>
      <c r="E7" s="320" t="str">
        <f t="shared" si="0"/>
        <v>Dex (+3)</v>
      </c>
      <c r="F7" s="321" t="s">
        <v>76</v>
      </c>
      <c r="G7" s="322">
        <f t="shared" si="4"/>
        <v>8</v>
      </c>
      <c r="H7" s="111">
        <f t="shared" ca="1" si="2"/>
        <v>9</v>
      </c>
      <c r="I7" s="322">
        <f t="shared" ca="1" si="5"/>
        <v>17</v>
      </c>
      <c r="J7" s="323"/>
    </row>
    <row r="8" spans="1:10" s="34" customFormat="1" ht="16.8" x14ac:dyDescent="0.3">
      <c r="A8" s="60" t="s">
        <v>27</v>
      </c>
      <c r="B8" s="61">
        <v>1</v>
      </c>
      <c r="C8" s="62" t="s">
        <v>140</v>
      </c>
      <c r="D8" s="63" t="str">
        <f>VLOOKUP(C8,'Personal File'!$A$10:$C$15,3,FALSE)</f>
        <v>+2</v>
      </c>
      <c r="E8" s="67" t="str">
        <f t="shared" si="0"/>
        <v>Cha (+2)</v>
      </c>
      <c r="F8" s="278" t="s">
        <v>49</v>
      </c>
      <c r="G8" s="64">
        <f t="shared" si="4"/>
        <v>3</v>
      </c>
      <c r="H8" s="111">
        <f t="shared" ca="1" si="2"/>
        <v>5</v>
      </c>
      <c r="I8" s="64">
        <f t="shared" ref="I8:I42" ca="1" si="6">SUM(G8:H8)</f>
        <v>8</v>
      </c>
      <c r="J8" s="65"/>
    </row>
    <row r="9" spans="1:10" s="33" customFormat="1" ht="16.8" x14ac:dyDescent="0.3">
      <c r="A9" s="329" t="s">
        <v>28</v>
      </c>
      <c r="B9" s="317">
        <v>9</v>
      </c>
      <c r="C9" s="330" t="s">
        <v>141</v>
      </c>
      <c r="D9" s="331">
        <f>VLOOKUP(C9,'Personal File'!$A$10:$C$15,3,FALSE)</f>
        <v>-2</v>
      </c>
      <c r="E9" s="332" t="str">
        <f t="shared" si="0"/>
        <v>Str (-2)</v>
      </c>
      <c r="F9" s="321" t="s">
        <v>76</v>
      </c>
      <c r="G9" s="322">
        <f t="shared" si="4"/>
        <v>9</v>
      </c>
      <c r="H9" s="111">
        <f t="shared" ca="1" si="2"/>
        <v>14</v>
      </c>
      <c r="I9" s="322">
        <f t="shared" ca="1" si="6"/>
        <v>23</v>
      </c>
      <c r="J9" s="323"/>
    </row>
    <row r="10" spans="1:10" s="33" customFormat="1" ht="16.8" x14ac:dyDescent="0.3">
      <c r="A10" s="81" t="s">
        <v>7</v>
      </c>
      <c r="B10" s="42">
        <v>0</v>
      </c>
      <c r="C10" s="82" t="s">
        <v>136</v>
      </c>
      <c r="D10" s="83" t="str">
        <f>VLOOKUP(C10,'Personal File'!$A$10:$C$15,3,FALSE)</f>
        <v>+1</v>
      </c>
      <c r="E10" s="84" t="str">
        <f t="shared" si="0"/>
        <v>Con (+1)</v>
      </c>
      <c r="F10" s="277" t="s">
        <v>49</v>
      </c>
      <c r="G10" s="43">
        <f t="shared" si="4"/>
        <v>1</v>
      </c>
      <c r="H10" s="111">
        <f t="shared" ca="1" si="2"/>
        <v>1</v>
      </c>
      <c r="I10" s="43">
        <f t="shared" ca="1" si="6"/>
        <v>2</v>
      </c>
      <c r="J10" s="44"/>
    </row>
    <row r="11" spans="1:10" s="32" customFormat="1" ht="16.8" x14ac:dyDescent="0.3">
      <c r="A11" s="69" t="s">
        <v>87</v>
      </c>
      <c r="B11" s="61">
        <v>1</v>
      </c>
      <c r="C11" s="70" t="s">
        <v>139</v>
      </c>
      <c r="D11" s="71" t="str">
        <f>VLOOKUP(C11,'Personal File'!$A$10:$C$15,3,FALSE)</f>
        <v>+0</v>
      </c>
      <c r="E11" s="72" t="str">
        <f t="shared" si="0"/>
        <v>Int (+0)</v>
      </c>
      <c r="F11" s="278" t="s">
        <v>49</v>
      </c>
      <c r="G11" s="64">
        <f t="shared" si="4"/>
        <v>1</v>
      </c>
      <c r="H11" s="111">
        <f t="shared" ca="1" si="2"/>
        <v>18</v>
      </c>
      <c r="I11" s="64">
        <f t="shared" ca="1" si="6"/>
        <v>19</v>
      </c>
      <c r="J11" s="65"/>
    </row>
    <row r="12" spans="1:10" s="35" customFormat="1" ht="16.8" x14ac:dyDescent="0.3">
      <c r="A12" s="145" t="s">
        <v>29</v>
      </c>
      <c r="B12" s="146">
        <v>0</v>
      </c>
      <c r="C12" s="147" t="s">
        <v>139</v>
      </c>
      <c r="D12" s="148" t="str">
        <f>VLOOKUP(C12,'Personal File'!$A$10:$C$15,3,FALSE)</f>
        <v>+0</v>
      </c>
      <c r="E12" s="149" t="str">
        <f t="shared" si="0"/>
        <v>Int (+0)</v>
      </c>
      <c r="F12" s="279" t="s">
        <v>49</v>
      </c>
      <c r="G12" s="150">
        <f t="shared" si="4"/>
        <v>0</v>
      </c>
      <c r="H12" s="111">
        <f t="shared" ca="1" si="2"/>
        <v>19</v>
      </c>
      <c r="I12" s="150">
        <f t="shared" ca="1" si="6"/>
        <v>19</v>
      </c>
      <c r="J12" s="152"/>
    </row>
    <row r="13" spans="1:10" s="36" customFormat="1" ht="16.8" x14ac:dyDescent="0.3">
      <c r="A13" s="89" t="s">
        <v>30</v>
      </c>
      <c r="B13" s="42">
        <v>0</v>
      </c>
      <c r="C13" s="90" t="s">
        <v>140</v>
      </c>
      <c r="D13" s="91" t="str">
        <f>VLOOKUP(C13,'Personal File'!$A$10:$C$15,3,FALSE)</f>
        <v>+2</v>
      </c>
      <c r="E13" s="92" t="str">
        <f t="shared" si="0"/>
        <v>Cha (+2)</v>
      </c>
      <c r="F13" s="277" t="s">
        <v>76</v>
      </c>
      <c r="G13" s="43">
        <f t="shared" si="4"/>
        <v>4</v>
      </c>
      <c r="H13" s="111">
        <f t="shared" ca="1" si="2"/>
        <v>11</v>
      </c>
      <c r="I13" s="43">
        <f t="shared" ca="1" si="6"/>
        <v>15</v>
      </c>
      <c r="J13" s="44"/>
    </row>
    <row r="14" spans="1:10" s="36" customFormat="1" ht="16.8" x14ac:dyDescent="0.3">
      <c r="A14" s="69" t="s">
        <v>31</v>
      </c>
      <c r="B14" s="61">
        <v>5</v>
      </c>
      <c r="C14" s="70" t="s">
        <v>139</v>
      </c>
      <c r="D14" s="71" t="str">
        <f>VLOOKUP(C14,'Personal File'!$A$10:$C$15,3,FALSE)</f>
        <v>+0</v>
      </c>
      <c r="E14" s="72" t="str">
        <f t="shared" si="0"/>
        <v>Int (+0)</v>
      </c>
      <c r="F14" s="278" t="s">
        <v>76</v>
      </c>
      <c r="G14" s="64">
        <f t="shared" si="4"/>
        <v>7</v>
      </c>
      <c r="H14" s="111">
        <f t="shared" ca="1" si="2"/>
        <v>6</v>
      </c>
      <c r="I14" s="64">
        <f t="shared" ca="1" si="6"/>
        <v>13</v>
      </c>
      <c r="J14" s="65" t="s">
        <v>118</v>
      </c>
    </row>
    <row r="15" spans="1:10" s="36" customFormat="1" ht="16.8" x14ac:dyDescent="0.3">
      <c r="A15" s="60" t="s">
        <v>32</v>
      </c>
      <c r="B15" s="61">
        <v>1</v>
      </c>
      <c r="C15" s="62" t="s">
        <v>140</v>
      </c>
      <c r="D15" s="63" t="str">
        <f>VLOOKUP(C15,'Personal File'!$A$10:$C$15,3,FALSE)</f>
        <v>+2</v>
      </c>
      <c r="E15" s="67" t="str">
        <f t="shared" si="0"/>
        <v>Cha (+2)</v>
      </c>
      <c r="F15" s="280">
        <f>10+2</f>
        <v>12</v>
      </c>
      <c r="G15" s="64">
        <f t="shared" si="4"/>
        <v>15</v>
      </c>
      <c r="H15" s="111">
        <f t="shared" ca="1" si="2"/>
        <v>14</v>
      </c>
      <c r="I15" s="64">
        <f t="shared" ca="1" si="6"/>
        <v>29</v>
      </c>
      <c r="J15" s="199"/>
    </row>
    <row r="16" spans="1:10" s="36" customFormat="1" ht="16.8" x14ac:dyDescent="0.3">
      <c r="A16" s="316" t="s">
        <v>33</v>
      </c>
      <c r="B16" s="317">
        <v>5</v>
      </c>
      <c r="C16" s="318" t="s">
        <v>137</v>
      </c>
      <c r="D16" s="319" t="str">
        <f>VLOOKUP(C16,'Personal File'!$A$10:$C$15,3,FALSE)</f>
        <v>+3</v>
      </c>
      <c r="E16" s="320" t="str">
        <f t="shared" si="0"/>
        <v>Dex (+3)</v>
      </c>
      <c r="F16" s="321" t="s">
        <v>49</v>
      </c>
      <c r="G16" s="322">
        <f t="shared" si="4"/>
        <v>8</v>
      </c>
      <c r="H16" s="111">
        <f t="shared" ca="1" si="2"/>
        <v>8</v>
      </c>
      <c r="I16" s="322">
        <f t="shared" ca="1" si="6"/>
        <v>16</v>
      </c>
      <c r="J16" s="323"/>
    </row>
    <row r="17" spans="1:10" s="36" customFormat="1" ht="16.8" x14ac:dyDescent="0.3">
      <c r="A17" s="126" t="s">
        <v>34</v>
      </c>
      <c r="B17" s="42">
        <v>0</v>
      </c>
      <c r="C17" s="127" t="s">
        <v>139</v>
      </c>
      <c r="D17" s="128" t="str">
        <f>VLOOKUP(C17,'Personal File'!$A$10:$C$15,3,FALSE)</f>
        <v>+0</v>
      </c>
      <c r="E17" s="129" t="str">
        <f t="shared" si="0"/>
        <v>Int (+0)</v>
      </c>
      <c r="F17" s="277" t="s">
        <v>49</v>
      </c>
      <c r="G17" s="43">
        <f t="shared" si="4"/>
        <v>0</v>
      </c>
      <c r="H17" s="111">
        <f t="shared" ca="1" si="2"/>
        <v>1</v>
      </c>
      <c r="I17" s="43">
        <f t="shared" ca="1" si="6"/>
        <v>1</v>
      </c>
      <c r="J17" s="44"/>
    </row>
    <row r="18" spans="1:10" s="36" customFormat="1" ht="16.8" x14ac:dyDescent="0.3">
      <c r="A18" s="60" t="s">
        <v>35</v>
      </c>
      <c r="B18" s="61">
        <v>1</v>
      </c>
      <c r="C18" s="62" t="s">
        <v>140</v>
      </c>
      <c r="D18" s="63" t="str">
        <f>VLOOKUP(C18,'Personal File'!$A$10:$C$15,3,FALSE)</f>
        <v>+2</v>
      </c>
      <c r="E18" s="67" t="str">
        <f t="shared" si="0"/>
        <v>Cha (+2)</v>
      </c>
      <c r="F18" s="278" t="s">
        <v>76</v>
      </c>
      <c r="G18" s="64">
        <f t="shared" si="4"/>
        <v>5</v>
      </c>
      <c r="H18" s="111">
        <f t="shared" ca="1" si="2"/>
        <v>14</v>
      </c>
      <c r="I18" s="64">
        <f t="shared" ca="1" si="6"/>
        <v>19</v>
      </c>
      <c r="J18" s="65"/>
    </row>
    <row r="19" spans="1:10" s="36" customFormat="1" ht="16.8" x14ac:dyDescent="0.3">
      <c r="A19" s="89" t="s">
        <v>9</v>
      </c>
      <c r="B19" s="42">
        <v>0</v>
      </c>
      <c r="C19" s="90" t="s">
        <v>140</v>
      </c>
      <c r="D19" s="91" t="str">
        <f>VLOOKUP(C19,'Personal File'!$A$10:$C$15,3,FALSE)</f>
        <v>+2</v>
      </c>
      <c r="E19" s="92" t="str">
        <f t="shared" si="0"/>
        <v>Cha (+2)</v>
      </c>
      <c r="F19" s="277" t="s">
        <v>49</v>
      </c>
      <c r="G19" s="43">
        <f t="shared" si="4"/>
        <v>2</v>
      </c>
      <c r="H19" s="111">
        <f t="shared" ca="1" si="2"/>
        <v>18</v>
      </c>
      <c r="I19" s="43">
        <f t="shared" ca="1" si="6"/>
        <v>20</v>
      </c>
      <c r="J19" s="44"/>
    </row>
    <row r="20" spans="1:10" s="36" customFormat="1" ht="16.8" x14ac:dyDescent="0.3">
      <c r="A20" s="77" t="s">
        <v>36</v>
      </c>
      <c r="B20" s="61">
        <v>5</v>
      </c>
      <c r="C20" s="78" t="s">
        <v>138</v>
      </c>
      <c r="D20" s="79" t="str">
        <f>VLOOKUP(C20,'Personal File'!$A$10:$C$15,3,FALSE)</f>
        <v>+2</v>
      </c>
      <c r="E20" s="80" t="str">
        <f t="shared" si="0"/>
        <v>Wis (+2)</v>
      </c>
      <c r="F20" s="278" t="s">
        <v>49</v>
      </c>
      <c r="G20" s="64">
        <f t="shared" si="4"/>
        <v>7</v>
      </c>
      <c r="H20" s="111">
        <f t="shared" ca="1" si="2"/>
        <v>11</v>
      </c>
      <c r="I20" s="64">
        <f t="shared" ca="1" si="6"/>
        <v>18</v>
      </c>
      <c r="J20" s="65"/>
    </row>
    <row r="21" spans="1:10" s="36" customFormat="1" ht="16.8" x14ac:dyDescent="0.3">
      <c r="A21" s="316" t="s">
        <v>37</v>
      </c>
      <c r="B21" s="317">
        <v>5</v>
      </c>
      <c r="C21" s="318" t="s">
        <v>137</v>
      </c>
      <c r="D21" s="319" t="str">
        <f>VLOOKUP(C21,'Personal File'!$A$10:$C$15,3,FALSE)</f>
        <v>+3</v>
      </c>
      <c r="E21" s="320" t="str">
        <f t="shared" si="0"/>
        <v>Dex (+3)</v>
      </c>
      <c r="F21" s="321" t="s">
        <v>173</v>
      </c>
      <c r="G21" s="322">
        <f t="shared" si="4"/>
        <v>16</v>
      </c>
      <c r="H21" s="111">
        <f t="shared" ca="1" si="2"/>
        <v>3</v>
      </c>
      <c r="I21" s="322">
        <f t="shared" ca="1" si="6"/>
        <v>19</v>
      </c>
      <c r="J21" s="333"/>
    </row>
    <row r="22" spans="1:10" s="36" customFormat="1" ht="16.8" x14ac:dyDescent="0.3">
      <c r="A22" s="89" t="s">
        <v>38</v>
      </c>
      <c r="B22" s="42">
        <v>0</v>
      </c>
      <c r="C22" s="90" t="s">
        <v>140</v>
      </c>
      <c r="D22" s="91" t="str">
        <f>VLOOKUP(C22,'Personal File'!$A$10:$C$15,3,FALSE)</f>
        <v>+2</v>
      </c>
      <c r="E22" s="92" t="str">
        <f t="shared" si="0"/>
        <v>Cha (+2)</v>
      </c>
      <c r="F22" s="277" t="s">
        <v>76</v>
      </c>
      <c r="G22" s="43">
        <f t="shared" si="4"/>
        <v>4</v>
      </c>
      <c r="H22" s="111">
        <f t="shared" ca="1" si="2"/>
        <v>10</v>
      </c>
      <c r="I22" s="43">
        <f t="shared" ca="1" si="6"/>
        <v>14</v>
      </c>
      <c r="J22" s="44"/>
    </row>
    <row r="23" spans="1:10" s="36" customFormat="1" ht="16.8" x14ac:dyDescent="0.3">
      <c r="A23" s="342" t="s">
        <v>39</v>
      </c>
      <c r="B23" s="61">
        <v>1</v>
      </c>
      <c r="C23" s="343" t="s">
        <v>141</v>
      </c>
      <c r="D23" s="344">
        <f>VLOOKUP(C23,'Personal File'!$A$10:$C$15,3,FALSE)</f>
        <v>-2</v>
      </c>
      <c r="E23" s="345" t="str">
        <f t="shared" si="0"/>
        <v>Str (-2)</v>
      </c>
      <c r="F23" s="278" t="s">
        <v>76</v>
      </c>
      <c r="G23" s="64">
        <f t="shared" si="4"/>
        <v>1</v>
      </c>
      <c r="H23" s="111">
        <f t="shared" ca="1" si="2"/>
        <v>16</v>
      </c>
      <c r="I23" s="64">
        <f t="shared" ca="1" si="6"/>
        <v>17</v>
      </c>
      <c r="J23" s="65"/>
    </row>
    <row r="24" spans="1:10" s="36" customFormat="1" ht="16.8" x14ac:dyDescent="0.3">
      <c r="A24" s="69" t="s">
        <v>109</v>
      </c>
      <c r="B24" s="61">
        <v>3</v>
      </c>
      <c r="C24" s="70" t="s">
        <v>139</v>
      </c>
      <c r="D24" s="71" t="str">
        <f>VLOOKUP(C24,'Personal File'!$A$10:$C$15,3,FALSE)</f>
        <v>+0</v>
      </c>
      <c r="E24" s="72" t="str">
        <f t="shared" si="0"/>
        <v>Int (+0)</v>
      </c>
      <c r="F24" s="278" t="s">
        <v>49</v>
      </c>
      <c r="G24" s="64">
        <f t="shared" si="4"/>
        <v>3</v>
      </c>
      <c r="H24" s="111">
        <f t="shared" ca="1" si="2"/>
        <v>5</v>
      </c>
      <c r="I24" s="64">
        <f t="shared" ca="1" si="6"/>
        <v>8</v>
      </c>
      <c r="J24" s="65"/>
    </row>
    <row r="25" spans="1:10" s="36" customFormat="1" ht="16.8" x14ac:dyDescent="0.3">
      <c r="A25" s="69" t="s">
        <v>178</v>
      </c>
      <c r="B25" s="61">
        <v>3</v>
      </c>
      <c r="C25" s="70" t="s">
        <v>139</v>
      </c>
      <c r="D25" s="71" t="str">
        <f>VLOOKUP(C25,'Personal File'!$A$10:$C$15,3,FALSE)</f>
        <v>+0</v>
      </c>
      <c r="E25" s="72" t="str">
        <f t="shared" si="0"/>
        <v>Int (+0)</v>
      </c>
      <c r="F25" s="278" t="s">
        <v>49</v>
      </c>
      <c r="G25" s="64">
        <f t="shared" ref="G25" si="7">B25+D25+F25</f>
        <v>3</v>
      </c>
      <c r="H25" s="111">
        <f t="shared" ca="1" si="2"/>
        <v>6</v>
      </c>
      <c r="I25" s="64">
        <f t="shared" ref="I25" ca="1" si="8">SUM(G25:H25)</f>
        <v>9</v>
      </c>
      <c r="J25" s="65"/>
    </row>
    <row r="26" spans="1:10" s="36" customFormat="1" ht="16.8" x14ac:dyDescent="0.3">
      <c r="A26" s="324" t="s">
        <v>40</v>
      </c>
      <c r="B26" s="317">
        <v>5</v>
      </c>
      <c r="C26" s="325" t="s">
        <v>138</v>
      </c>
      <c r="D26" s="326" t="str">
        <f>VLOOKUP(C26,'Personal File'!$A$10:$C$15,3,FALSE)</f>
        <v>+2</v>
      </c>
      <c r="E26" s="327" t="str">
        <f t="shared" si="0"/>
        <v>Wis (+2)</v>
      </c>
      <c r="F26" s="321" t="s">
        <v>49</v>
      </c>
      <c r="G26" s="322">
        <f t="shared" si="4"/>
        <v>7</v>
      </c>
      <c r="H26" s="111">
        <f t="shared" ca="1" si="2"/>
        <v>2</v>
      </c>
      <c r="I26" s="322">
        <f t="shared" ca="1" si="6"/>
        <v>9</v>
      </c>
      <c r="J26" s="323"/>
    </row>
    <row r="27" spans="1:10" s="36" customFormat="1" ht="16.8" x14ac:dyDescent="0.3">
      <c r="A27" s="316" t="s">
        <v>10</v>
      </c>
      <c r="B27" s="317">
        <v>2</v>
      </c>
      <c r="C27" s="318" t="s">
        <v>137</v>
      </c>
      <c r="D27" s="319" t="str">
        <f>VLOOKUP(C27,'Personal File'!$A$10:$C$15,3,FALSE)</f>
        <v>+3</v>
      </c>
      <c r="E27" s="320" t="str">
        <f t="shared" si="0"/>
        <v>Dex (+3)</v>
      </c>
      <c r="F27" s="321" t="s">
        <v>173</v>
      </c>
      <c r="G27" s="322">
        <f t="shared" si="4"/>
        <v>13</v>
      </c>
      <c r="H27" s="111">
        <f t="shared" ca="1" si="2"/>
        <v>3</v>
      </c>
      <c r="I27" s="322">
        <f t="shared" ca="1" si="6"/>
        <v>16</v>
      </c>
      <c r="J27" s="323"/>
    </row>
    <row r="28" spans="1:10" s="36" customFormat="1" ht="16.8" x14ac:dyDescent="0.3">
      <c r="A28" s="73" t="s">
        <v>41</v>
      </c>
      <c r="B28" s="61">
        <v>9</v>
      </c>
      <c r="C28" s="74" t="s">
        <v>137</v>
      </c>
      <c r="D28" s="75" t="str">
        <f>VLOOKUP(C28,'Personal File'!$A$10:$C$15,3,FALSE)</f>
        <v>+3</v>
      </c>
      <c r="E28" s="76" t="str">
        <f t="shared" si="0"/>
        <v>Dex (+3)</v>
      </c>
      <c r="F28" s="281">
        <f>2</f>
        <v>2</v>
      </c>
      <c r="G28" s="64">
        <f t="shared" si="4"/>
        <v>14</v>
      </c>
      <c r="H28" s="111">
        <f t="shared" ca="1" si="2"/>
        <v>10</v>
      </c>
      <c r="I28" s="64">
        <f t="shared" ca="1" si="6"/>
        <v>24</v>
      </c>
      <c r="J28" s="65" t="s">
        <v>118</v>
      </c>
    </row>
    <row r="29" spans="1:10" ht="16.8" x14ac:dyDescent="0.3">
      <c r="A29" s="89" t="s">
        <v>81</v>
      </c>
      <c r="B29" s="42">
        <v>0</v>
      </c>
      <c r="C29" s="90" t="s">
        <v>140</v>
      </c>
      <c r="D29" s="91" t="str">
        <f>VLOOKUP(C29,'Personal File'!$A$10:$C$15,3,FALSE)</f>
        <v>+2</v>
      </c>
      <c r="E29" s="92" t="str">
        <f t="shared" si="0"/>
        <v>Cha (+2)</v>
      </c>
      <c r="F29" s="277" t="s">
        <v>49</v>
      </c>
      <c r="G29" s="43">
        <f t="shared" si="4"/>
        <v>2</v>
      </c>
      <c r="H29" s="111">
        <f t="shared" ca="1" si="2"/>
        <v>19</v>
      </c>
      <c r="I29" s="43">
        <f t="shared" ca="1" si="6"/>
        <v>21</v>
      </c>
      <c r="J29" s="44"/>
    </row>
    <row r="30" spans="1:10" ht="16.8" x14ac:dyDescent="0.3">
      <c r="A30" s="153" t="s">
        <v>82</v>
      </c>
      <c r="B30" s="146">
        <v>0</v>
      </c>
      <c r="C30" s="154" t="s">
        <v>138</v>
      </c>
      <c r="D30" s="155" t="str">
        <f>VLOOKUP(C30,'Personal File'!$A$10:$C$15,3,FALSE)</f>
        <v>+2</v>
      </c>
      <c r="E30" s="156" t="str">
        <f t="shared" si="0"/>
        <v>Wis (+2)</v>
      </c>
      <c r="F30" s="279" t="s">
        <v>49</v>
      </c>
      <c r="G30" s="150">
        <f t="shared" si="4"/>
        <v>2</v>
      </c>
      <c r="H30" s="111">
        <f t="shared" ca="1" si="2"/>
        <v>10</v>
      </c>
      <c r="I30" s="150">
        <f t="shared" ca="1" si="6"/>
        <v>12</v>
      </c>
      <c r="J30" s="152"/>
    </row>
    <row r="31" spans="1:10" ht="16.8" x14ac:dyDescent="0.3">
      <c r="A31" s="93" t="s">
        <v>11</v>
      </c>
      <c r="B31" s="42">
        <v>0</v>
      </c>
      <c r="C31" s="94" t="s">
        <v>137</v>
      </c>
      <c r="D31" s="95" t="str">
        <f>VLOOKUP(C31,'Personal File'!$A$10:$C$15,3,FALSE)</f>
        <v>+3</v>
      </c>
      <c r="E31" s="96" t="str">
        <f t="shared" si="0"/>
        <v>Dex (+3)</v>
      </c>
      <c r="F31" s="277" t="s">
        <v>49</v>
      </c>
      <c r="G31" s="43">
        <f t="shared" si="4"/>
        <v>3</v>
      </c>
      <c r="H31" s="111">
        <f t="shared" ca="1" si="2"/>
        <v>15</v>
      </c>
      <c r="I31" s="43">
        <f t="shared" ca="1" si="6"/>
        <v>18</v>
      </c>
      <c r="J31" s="44"/>
    </row>
    <row r="32" spans="1:10" ht="16.8" x14ac:dyDescent="0.3">
      <c r="A32" s="69" t="s">
        <v>12</v>
      </c>
      <c r="B32" s="61">
        <v>4</v>
      </c>
      <c r="C32" s="70" t="s">
        <v>139</v>
      </c>
      <c r="D32" s="71" t="str">
        <f>VLOOKUP(C32,'Personal File'!$A$10:$C$15,3,FALSE)</f>
        <v>+0</v>
      </c>
      <c r="E32" s="72" t="str">
        <f t="shared" si="0"/>
        <v>Int (+0)</v>
      </c>
      <c r="F32" s="278" t="s">
        <v>49</v>
      </c>
      <c r="G32" s="64">
        <f t="shared" si="4"/>
        <v>4</v>
      </c>
      <c r="H32" s="111">
        <f t="shared" ca="1" si="2"/>
        <v>14</v>
      </c>
      <c r="I32" s="64">
        <f t="shared" ca="1" si="6"/>
        <v>18</v>
      </c>
      <c r="J32" s="199" t="s">
        <v>121</v>
      </c>
    </row>
    <row r="33" spans="1:10" ht="16.8" x14ac:dyDescent="0.3">
      <c r="A33" s="97" t="s">
        <v>42</v>
      </c>
      <c r="B33" s="42">
        <v>0</v>
      </c>
      <c r="C33" s="98" t="s">
        <v>138</v>
      </c>
      <c r="D33" s="99" t="str">
        <f>VLOOKUP(C33,'Personal File'!$A$10:$C$15,3,FALSE)</f>
        <v>+2</v>
      </c>
      <c r="E33" s="100" t="str">
        <f t="shared" si="0"/>
        <v>Wis (+2)</v>
      </c>
      <c r="F33" s="277" t="s">
        <v>49</v>
      </c>
      <c r="G33" s="43">
        <f t="shared" si="4"/>
        <v>2</v>
      </c>
      <c r="H33" s="111">
        <f t="shared" ca="1" si="2"/>
        <v>5</v>
      </c>
      <c r="I33" s="43">
        <f t="shared" ca="1" si="6"/>
        <v>7</v>
      </c>
      <c r="J33" s="44"/>
    </row>
    <row r="34" spans="1:10" ht="16.8" x14ac:dyDescent="0.3">
      <c r="A34" s="316" t="s">
        <v>66</v>
      </c>
      <c r="B34" s="317">
        <v>5</v>
      </c>
      <c r="C34" s="318" t="s">
        <v>137</v>
      </c>
      <c r="D34" s="319" t="str">
        <f>VLOOKUP(C34,'Personal File'!$A$10:$C$15,3,FALSE)</f>
        <v>+3</v>
      </c>
      <c r="E34" s="320" t="str">
        <f t="shared" si="0"/>
        <v>Dex (+3)</v>
      </c>
      <c r="F34" s="328">
        <f>2+2</f>
        <v>4</v>
      </c>
      <c r="G34" s="322">
        <f t="shared" si="4"/>
        <v>12</v>
      </c>
      <c r="H34" s="111">
        <f t="shared" ca="1" si="2"/>
        <v>10</v>
      </c>
      <c r="I34" s="322">
        <f t="shared" ca="1" si="6"/>
        <v>22</v>
      </c>
      <c r="J34" s="323" t="s">
        <v>118</v>
      </c>
    </row>
    <row r="35" spans="1:10" ht="16.8" x14ac:dyDescent="0.3">
      <c r="A35" s="145" t="s">
        <v>65</v>
      </c>
      <c r="B35" s="146">
        <v>0</v>
      </c>
      <c r="C35" s="147" t="s">
        <v>139</v>
      </c>
      <c r="D35" s="148" t="str">
        <f>VLOOKUP(C35,'Personal File'!$A$10:$C$15,3,FALSE)</f>
        <v>+0</v>
      </c>
      <c r="E35" s="149" t="str">
        <f t="shared" si="0"/>
        <v>Int (+0)</v>
      </c>
      <c r="F35" s="279" t="s">
        <v>49</v>
      </c>
      <c r="G35" s="150">
        <f t="shared" si="4"/>
        <v>0</v>
      </c>
      <c r="H35" s="111">
        <f t="shared" ca="1" si="2"/>
        <v>11</v>
      </c>
      <c r="I35" s="150">
        <f t="shared" ca="1" si="6"/>
        <v>11</v>
      </c>
      <c r="J35" s="151"/>
    </row>
    <row r="36" spans="1:10" ht="16.8" x14ac:dyDescent="0.3">
      <c r="A36" s="145" t="s">
        <v>43</v>
      </c>
      <c r="B36" s="146">
        <v>0</v>
      </c>
      <c r="C36" s="147" t="s">
        <v>139</v>
      </c>
      <c r="D36" s="148" t="str">
        <f>VLOOKUP(C36,'Personal File'!$A$10:$C$15,3,FALSE)</f>
        <v>+0</v>
      </c>
      <c r="E36" s="149" t="str">
        <f t="shared" si="0"/>
        <v>Int (+0)</v>
      </c>
      <c r="F36" s="279" t="s">
        <v>49</v>
      </c>
      <c r="G36" s="150">
        <f t="shared" si="4"/>
        <v>0</v>
      </c>
      <c r="H36" s="111">
        <f t="shared" ca="1" si="2"/>
        <v>20</v>
      </c>
      <c r="I36" s="150">
        <f t="shared" ca="1" si="6"/>
        <v>20</v>
      </c>
      <c r="J36" s="151"/>
    </row>
    <row r="37" spans="1:10" ht="16.8" x14ac:dyDescent="0.3">
      <c r="A37" s="77" t="s">
        <v>44</v>
      </c>
      <c r="B37" s="61">
        <v>4</v>
      </c>
      <c r="C37" s="78" t="s">
        <v>138</v>
      </c>
      <c r="D37" s="79" t="str">
        <f>VLOOKUP(C37,'Personal File'!$A$10:$C$15,3,FALSE)</f>
        <v>+2</v>
      </c>
      <c r="E37" s="80" t="str">
        <f t="shared" si="0"/>
        <v>Wis (+2)</v>
      </c>
      <c r="F37" s="278" t="s">
        <v>76</v>
      </c>
      <c r="G37" s="64">
        <f t="shared" si="4"/>
        <v>8</v>
      </c>
      <c r="H37" s="111">
        <f t="shared" ca="1" si="2"/>
        <v>14</v>
      </c>
      <c r="I37" s="64">
        <f t="shared" ca="1" si="6"/>
        <v>22</v>
      </c>
      <c r="J37" s="65"/>
    </row>
    <row r="38" spans="1:10" ht="16.8" x14ac:dyDescent="0.3">
      <c r="A38" s="324" t="s">
        <v>67</v>
      </c>
      <c r="B38" s="317">
        <v>5</v>
      </c>
      <c r="C38" s="325" t="s">
        <v>138</v>
      </c>
      <c r="D38" s="326" t="str">
        <f>VLOOKUP(C38,'Personal File'!$A$10:$C$15,3,FALSE)</f>
        <v>+2</v>
      </c>
      <c r="E38" s="327" t="str">
        <f t="shared" si="0"/>
        <v>Wis (+2)</v>
      </c>
      <c r="F38" s="321" t="s">
        <v>49</v>
      </c>
      <c r="G38" s="322">
        <f t="shared" si="4"/>
        <v>7</v>
      </c>
      <c r="H38" s="111">
        <f t="shared" ca="1" si="2"/>
        <v>20</v>
      </c>
      <c r="I38" s="322">
        <f t="shared" ca="1" si="6"/>
        <v>27</v>
      </c>
      <c r="J38" s="323"/>
    </row>
    <row r="39" spans="1:10" ht="16.8" x14ac:dyDescent="0.3">
      <c r="A39" s="101" t="s">
        <v>13</v>
      </c>
      <c r="B39" s="42">
        <v>0</v>
      </c>
      <c r="C39" s="102" t="s">
        <v>141</v>
      </c>
      <c r="D39" s="103">
        <f>VLOOKUP(C39,'Personal File'!$A$10:$C$15,3,FALSE)</f>
        <v>-2</v>
      </c>
      <c r="E39" s="104" t="str">
        <f t="shared" si="0"/>
        <v>Str (-2)</v>
      </c>
      <c r="F39" s="277" t="s">
        <v>49</v>
      </c>
      <c r="G39" s="43">
        <f t="shared" si="4"/>
        <v>-2</v>
      </c>
      <c r="H39" s="111">
        <f t="shared" ca="1" si="2"/>
        <v>14</v>
      </c>
      <c r="I39" s="43">
        <f t="shared" ca="1" si="6"/>
        <v>12</v>
      </c>
      <c r="J39" s="44"/>
    </row>
    <row r="40" spans="1:10" ht="16.8" x14ac:dyDescent="0.3">
      <c r="A40" s="316" t="s">
        <v>45</v>
      </c>
      <c r="B40" s="317">
        <v>2</v>
      </c>
      <c r="C40" s="318" t="s">
        <v>137</v>
      </c>
      <c r="D40" s="319" t="str">
        <f>VLOOKUP(C40,'Personal File'!$A$10:$C$15,3,FALSE)</f>
        <v>+3</v>
      </c>
      <c r="E40" s="320" t="str">
        <f t="shared" si="0"/>
        <v>Dex (+3)</v>
      </c>
      <c r="F40" s="321" t="s">
        <v>76</v>
      </c>
      <c r="G40" s="322">
        <f t="shared" si="4"/>
        <v>7</v>
      </c>
      <c r="H40" s="111">
        <f t="shared" ca="1" si="2"/>
        <v>1</v>
      </c>
      <c r="I40" s="322">
        <f t="shared" ca="1" si="6"/>
        <v>8</v>
      </c>
      <c r="J40" s="323"/>
    </row>
    <row r="41" spans="1:10" ht="16.8" x14ac:dyDescent="0.3">
      <c r="A41" s="60" t="s">
        <v>46</v>
      </c>
      <c r="B41" s="61">
        <v>10</v>
      </c>
      <c r="C41" s="62" t="s">
        <v>140</v>
      </c>
      <c r="D41" s="63" t="str">
        <f>VLOOKUP(C41,'Personal File'!$A$10:$C$15,3,FALSE)</f>
        <v>+2</v>
      </c>
      <c r="E41" s="67" t="str">
        <f t="shared" si="0"/>
        <v>Cha (+2)</v>
      </c>
      <c r="F41" s="278" t="s">
        <v>49</v>
      </c>
      <c r="G41" s="64">
        <f t="shared" si="4"/>
        <v>12</v>
      </c>
      <c r="H41" s="111">
        <f t="shared" ca="1" si="2"/>
        <v>6</v>
      </c>
      <c r="I41" s="64">
        <f t="shared" ca="1" si="6"/>
        <v>18</v>
      </c>
      <c r="J41" s="65"/>
    </row>
    <row r="42" spans="1:10" ht="17.399999999999999" thickBot="1" x14ac:dyDescent="0.35">
      <c r="A42" s="334" t="s">
        <v>47</v>
      </c>
      <c r="B42" s="335">
        <v>1</v>
      </c>
      <c r="C42" s="336" t="s">
        <v>137</v>
      </c>
      <c r="D42" s="337" t="str">
        <f>VLOOKUP(C42,'Personal File'!$A$10:$C$15,3,FALSE)</f>
        <v>+3</v>
      </c>
      <c r="E42" s="338" t="str">
        <f t="shared" si="0"/>
        <v>Dex (+3)</v>
      </c>
      <c r="F42" s="339" t="s">
        <v>76</v>
      </c>
      <c r="G42" s="340">
        <f t="shared" si="4"/>
        <v>6</v>
      </c>
      <c r="H42" s="130">
        <f t="shared" ca="1" si="2"/>
        <v>5</v>
      </c>
      <c r="I42" s="340">
        <f t="shared" ca="1" si="6"/>
        <v>11</v>
      </c>
      <c r="J42" s="341"/>
    </row>
    <row r="43" spans="1:10" ht="16.2" thickTop="1" x14ac:dyDescent="0.3">
      <c r="B43" s="41">
        <f>SUM(B6:B42)-B44</f>
        <v>48</v>
      </c>
      <c r="E43" s="200">
        <f>SUM(E44:E49)</f>
        <v>48</v>
      </c>
    </row>
    <row r="44" spans="1:10" x14ac:dyDescent="0.3">
      <c r="A44" s="19" t="s">
        <v>179</v>
      </c>
      <c r="B44" s="41">
        <v>42</v>
      </c>
      <c r="E44" s="201">
        <f>8+'Personal File'!$C$13</f>
        <v>8</v>
      </c>
      <c r="F44" s="105" t="s">
        <v>83</v>
      </c>
    </row>
    <row r="45" spans="1:10" x14ac:dyDescent="0.3">
      <c r="E45" s="201">
        <f>8+'Personal File'!$C$13</f>
        <v>8</v>
      </c>
      <c r="F45" s="105" t="s">
        <v>84</v>
      </c>
    </row>
    <row r="46" spans="1:10" x14ac:dyDescent="0.3">
      <c r="E46" s="201">
        <f>8+'Personal File'!$C$13</f>
        <v>8</v>
      </c>
      <c r="F46" s="105" t="s">
        <v>86</v>
      </c>
    </row>
    <row r="47" spans="1:10" x14ac:dyDescent="0.3">
      <c r="E47" s="201">
        <f>8+'Personal File'!$C$13</f>
        <v>8</v>
      </c>
      <c r="F47" s="105" t="s">
        <v>104</v>
      </c>
    </row>
    <row r="48" spans="1:10" x14ac:dyDescent="0.3">
      <c r="E48" s="201">
        <f>8+'Personal File'!$C$13</f>
        <v>8</v>
      </c>
      <c r="F48" s="105" t="s">
        <v>117</v>
      </c>
    </row>
    <row r="49" spans="5:6" x14ac:dyDescent="0.3">
      <c r="E49" s="201">
        <f>8+'Personal File'!$C$13</f>
        <v>8</v>
      </c>
      <c r="F49" s="105" t="s">
        <v>123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workbookViewId="0"/>
  </sheetViews>
  <sheetFormatPr defaultColWidth="8.69921875" defaultRowHeight="16.8" x14ac:dyDescent="0.3"/>
  <cols>
    <col min="1" max="1" width="25.09765625" style="86" customWidth="1"/>
    <col min="2" max="2" width="2.3984375" style="87" customWidth="1"/>
    <col min="3" max="3" width="35.296875" style="38" bestFit="1" customWidth="1"/>
    <col min="4" max="4" width="2.3984375" style="38" customWidth="1"/>
    <col min="5" max="5" width="28.69921875" style="38" bestFit="1" customWidth="1"/>
    <col min="6" max="6" width="6.19921875" style="38" bestFit="1" customWidth="1"/>
    <col min="7" max="7" width="3.5" style="85" bestFit="1" customWidth="1"/>
    <col min="8" max="8" width="4.09765625" style="85" bestFit="1" customWidth="1"/>
    <col min="9" max="9" width="7.296875" style="85" bestFit="1" customWidth="1"/>
    <col min="10" max="16384" width="8.69921875" style="85"/>
  </cols>
  <sheetData>
    <row r="1" spans="1:9" ht="22.2" thickTop="1" thickBot="1" x14ac:dyDescent="0.45">
      <c r="A1" s="234" t="s">
        <v>71</v>
      </c>
      <c r="B1" s="85"/>
      <c r="C1" s="301" t="s">
        <v>68</v>
      </c>
      <c r="E1" s="346" t="s">
        <v>183</v>
      </c>
      <c r="F1" s="347"/>
      <c r="G1" s="347"/>
      <c r="H1" s="347"/>
      <c r="I1" s="348"/>
    </row>
    <row r="2" spans="1:9" ht="17.399999999999999" thickTop="1" x14ac:dyDescent="0.3">
      <c r="A2" s="303" t="s">
        <v>217</v>
      </c>
      <c r="B2" s="85"/>
      <c r="C2" s="302" t="s">
        <v>80</v>
      </c>
      <c r="E2" s="349" t="s">
        <v>213</v>
      </c>
      <c r="F2" s="350" t="s">
        <v>113</v>
      </c>
      <c r="G2" s="351" t="s">
        <v>180</v>
      </c>
      <c r="H2" s="351" t="s">
        <v>181</v>
      </c>
      <c r="I2" s="352" t="s">
        <v>182</v>
      </c>
    </row>
    <row r="3" spans="1:9" x14ac:dyDescent="0.3">
      <c r="A3" s="303" t="s">
        <v>220</v>
      </c>
      <c r="B3" s="85"/>
      <c r="C3" s="303" t="s">
        <v>102</v>
      </c>
      <c r="E3" s="353" t="s">
        <v>184</v>
      </c>
      <c r="F3" s="354">
        <v>1</v>
      </c>
      <c r="G3" s="355" t="s">
        <v>49</v>
      </c>
      <c r="H3" s="358">
        <f>10+F1+G1+'Personal File'!$C$15</f>
        <v>12</v>
      </c>
      <c r="I3" s="379" t="s">
        <v>214</v>
      </c>
    </row>
    <row r="4" spans="1:9" ht="17.399999999999999" thickBot="1" x14ac:dyDescent="0.35">
      <c r="A4" s="303" t="s">
        <v>218</v>
      </c>
      <c r="B4" s="85"/>
      <c r="C4" s="304" t="s">
        <v>85</v>
      </c>
      <c r="E4" s="356" t="s">
        <v>185</v>
      </c>
      <c r="F4" s="357">
        <v>1</v>
      </c>
      <c r="G4" s="358" t="s">
        <v>49</v>
      </c>
      <c r="H4" s="358">
        <f>10+F1+G1+'Personal File'!$C$15</f>
        <v>12</v>
      </c>
      <c r="I4" s="380" t="s">
        <v>214</v>
      </c>
    </row>
    <row r="5" spans="1:9" ht="18" thickTop="1" thickBot="1" x14ac:dyDescent="0.35">
      <c r="A5" s="385" t="s">
        <v>116</v>
      </c>
      <c r="B5" s="85"/>
      <c r="E5" s="356" t="s">
        <v>186</v>
      </c>
      <c r="F5" s="357">
        <v>1</v>
      </c>
      <c r="G5" s="358" t="s">
        <v>49</v>
      </c>
      <c r="H5" s="358">
        <f>10+F1+G1+'Personal File'!$C$15</f>
        <v>12</v>
      </c>
      <c r="I5" s="380" t="s">
        <v>214</v>
      </c>
    </row>
    <row r="6" spans="1:9" ht="22.2" thickTop="1" thickBot="1" x14ac:dyDescent="0.35">
      <c r="B6" s="85"/>
      <c r="C6" s="305" t="s">
        <v>57</v>
      </c>
      <c r="E6" s="356" t="s">
        <v>187</v>
      </c>
      <c r="F6" s="357">
        <v>1</v>
      </c>
      <c r="G6" s="358" t="s">
        <v>49</v>
      </c>
      <c r="H6" s="358">
        <f>10+F1+G1+'Personal File'!$C$15</f>
        <v>12</v>
      </c>
      <c r="I6" s="380" t="s">
        <v>214</v>
      </c>
    </row>
    <row r="7" spans="1:9" ht="22.2" thickTop="1" thickBot="1" x14ac:dyDescent="0.45">
      <c r="A7" s="234" t="s">
        <v>162</v>
      </c>
      <c r="B7" s="85"/>
      <c r="C7" s="306" t="s">
        <v>170</v>
      </c>
      <c r="E7" s="356" t="s">
        <v>188</v>
      </c>
      <c r="F7" s="357">
        <v>1</v>
      </c>
      <c r="G7" s="358" t="s">
        <v>49</v>
      </c>
      <c r="H7" s="358">
        <f>10+F1+G1+'Personal File'!$C$15</f>
        <v>12</v>
      </c>
      <c r="I7" s="380" t="s">
        <v>214</v>
      </c>
    </row>
    <row r="8" spans="1:9" ht="17.399999999999999" thickBot="1" x14ac:dyDescent="0.35">
      <c r="A8" s="386" t="s">
        <v>74</v>
      </c>
      <c r="B8" s="85"/>
      <c r="E8" s="356" t="s">
        <v>190</v>
      </c>
      <c r="F8" s="357">
        <v>2</v>
      </c>
      <c r="G8" s="358" t="s">
        <v>49</v>
      </c>
      <c r="H8" s="358">
        <f>10+F1+G1+'Personal File'!$C$15</f>
        <v>12</v>
      </c>
      <c r="I8" s="380" t="s">
        <v>214</v>
      </c>
    </row>
    <row r="9" spans="1:9" ht="22.2" thickTop="1" thickBot="1" x14ac:dyDescent="0.45">
      <c r="A9" s="303" t="str">
        <f>CONCATENATE("Trap Sense +",2+2)</f>
        <v>Trap Sense +4</v>
      </c>
      <c r="B9" s="85"/>
      <c r="C9" s="234" t="s">
        <v>163</v>
      </c>
      <c r="E9" s="359" t="s">
        <v>189</v>
      </c>
      <c r="F9" s="360">
        <v>2</v>
      </c>
      <c r="G9" s="361" t="s">
        <v>49</v>
      </c>
      <c r="H9" s="361">
        <f>10+F1+G1+'Personal File'!$C$15</f>
        <v>12</v>
      </c>
      <c r="I9" s="362" t="s">
        <v>216</v>
      </c>
    </row>
    <row r="10" spans="1:9" x14ac:dyDescent="0.3">
      <c r="A10" s="387" t="s">
        <v>204</v>
      </c>
      <c r="B10" s="85"/>
      <c r="C10" s="386" t="s">
        <v>169</v>
      </c>
    </row>
    <row r="11" spans="1:9" x14ac:dyDescent="0.3">
      <c r="A11" s="387" t="s">
        <v>124</v>
      </c>
      <c r="B11" s="85"/>
      <c r="C11" s="387" t="s">
        <v>168</v>
      </c>
    </row>
    <row r="12" spans="1:9" ht="17.399999999999999" thickBot="1" x14ac:dyDescent="0.35">
      <c r="A12" s="385" t="s">
        <v>75</v>
      </c>
      <c r="C12" s="387" t="s">
        <v>172</v>
      </c>
    </row>
    <row r="13" spans="1:9" ht="17.399999999999999" thickTop="1" x14ac:dyDescent="0.3">
      <c r="C13" s="387" t="s">
        <v>119</v>
      </c>
    </row>
    <row r="14" spans="1:9" ht="17.399999999999999" thickBot="1" x14ac:dyDescent="0.35">
      <c r="C14" s="385" t="s">
        <v>171</v>
      </c>
    </row>
    <row r="15" spans="1:9" ht="17.399999999999999" thickTop="1" x14ac:dyDescent="0.3">
      <c r="E15" s="85"/>
      <c r="F15" s="85"/>
    </row>
    <row r="16" spans="1:9" x14ac:dyDescent="0.3">
      <c r="E16" s="85"/>
      <c r="F16" s="85"/>
    </row>
    <row r="17" spans="5:6" x14ac:dyDescent="0.3">
      <c r="E17" s="85"/>
      <c r="F17" s="85"/>
    </row>
    <row r="18" spans="5:6" x14ac:dyDescent="0.3">
      <c r="E18" s="85"/>
      <c r="F18" s="85"/>
    </row>
    <row r="19" spans="5:6" x14ac:dyDescent="0.3">
      <c r="E19" s="85"/>
      <c r="F19" s="85"/>
    </row>
    <row r="20" spans="5:6" x14ac:dyDescent="0.3">
      <c r="E20" s="85"/>
      <c r="F20" s="85"/>
    </row>
  </sheetData>
  <sortState xmlns:xlrd2="http://schemas.microsoft.com/office/spreadsheetml/2017/richdata2" ref="C1:F2">
    <sortCondition ref="D2:D11"/>
    <sortCondition ref="C2:C11"/>
  </sortState>
  <phoneticPr fontId="0" type="noConversion"/>
  <conditionalFormatting sqref="I3:I9">
    <cfRule type="cellIs" dxfId="2"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showGridLines="0" workbookViewId="0"/>
  </sheetViews>
  <sheetFormatPr defaultColWidth="13" defaultRowHeight="15.6" x14ac:dyDescent="0.3"/>
  <cols>
    <col min="1" max="1" width="20.59765625" style="170" bestFit="1" customWidth="1"/>
    <col min="2" max="2" width="8.59765625" style="170" bestFit="1" customWidth="1"/>
    <col min="3" max="3" width="4.3984375" style="170" bestFit="1" customWidth="1"/>
    <col min="4" max="4" width="6.19921875" style="170" bestFit="1" customWidth="1"/>
    <col min="5" max="5" width="8.5" style="170" bestFit="1" customWidth="1"/>
    <col min="6" max="6" width="8.8984375" style="170" bestFit="1" customWidth="1"/>
    <col min="7" max="7" width="4.3984375" style="170" bestFit="1" customWidth="1"/>
    <col min="8" max="8" width="5.59765625" style="170" bestFit="1" customWidth="1"/>
    <col min="9" max="9" width="5.5" style="170" bestFit="1" customWidth="1"/>
    <col min="10" max="10" width="6.19921875" style="170" bestFit="1" customWidth="1"/>
    <col min="11" max="11" width="27.8984375" style="170" bestFit="1" customWidth="1"/>
    <col min="12" max="12" width="3" style="163" customWidth="1"/>
    <col min="13" max="13" width="8.796875" style="163" bestFit="1" customWidth="1"/>
    <col min="14" max="14" width="8.8984375" style="163" bestFit="1" customWidth="1"/>
    <col min="15" max="16384" width="13" style="163"/>
  </cols>
  <sheetData>
    <row r="1" spans="1:14" ht="23.4" thickBot="1" x14ac:dyDescent="0.35">
      <c r="A1" s="162" t="s">
        <v>14</v>
      </c>
      <c r="B1" s="162"/>
      <c r="C1" s="162"/>
      <c r="D1" s="162"/>
      <c r="E1" s="162"/>
      <c r="F1" s="162"/>
      <c r="G1" s="162"/>
      <c r="H1" s="162"/>
      <c r="I1" s="162"/>
      <c r="J1" s="162"/>
      <c r="K1" s="162"/>
    </row>
    <row r="2" spans="1:14" ht="16.8" thickTop="1" thickBot="1" x14ac:dyDescent="0.35">
      <c r="A2" s="164" t="s">
        <v>0</v>
      </c>
      <c r="B2" s="165" t="s">
        <v>1</v>
      </c>
      <c r="C2" s="165" t="s">
        <v>17</v>
      </c>
      <c r="D2" s="165" t="s">
        <v>18</v>
      </c>
      <c r="E2" s="166" t="s">
        <v>51</v>
      </c>
      <c r="F2" s="165" t="s">
        <v>15</v>
      </c>
      <c r="G2" s="165" t="s">
        <v>19</v>
      </c>
      <c r="H2" s="167" t="s">
        <v>69</v>
      </c>
      <c r="I2" s="168" t="s">
        <v>79</v>
      </c>
      <c r="J2" s="167" t="s">
        <v>62</v>
      </c>
      <c r="K2" s="169" t="s">
        <v>61</v>
      </c>
      <c r="M2" s="202" t="s">
        <v>110</v>
      </c>
    </row>
    <row r="3" spans="1:14" x14ac:dyDescent="0.3">
      <c r="A3" s="241" t="s">
        <v>199</v>
      </c>
      <c r="B3" s="242">
        <v>1</v>
      </c>
      <c r="C3" s="243">
        <v>1</v>
      </c>
      <c r="D3" s="395">
        <v>0</v>
      </c>
      <c r="E3" s="244" t="s">
        <v>132</v>
      </c>
      <c r="F3" s="245" t="s">
        <v>94</v>
      </c>
      <c r="G3" s="300">
        <v>0.05</v>
      </c>
      <c r="H3" s="246" t="str">
        <f>CONCATENATE("+",'Personal File'!$B$8+'Personal File'!$C$11+D3)</f>
        <v>+10</v>
      </c>
      <c r="I3" s="247">
        <f t="shared" ref="I3:I6" ca="1" si="0">RANDBETWEEN(1,20)</f>
        <v>9</v>
      </c>
      <c r="J3" s="248">
        <f t="shared" ref="J3" ca="1" si="1">I3+H3</f>
        <v>19</v>
      </c>
      <c r="K3" s="249" t="s">
        <v>191</v>
      </c>
      <c r="M3" s="203">
        <v>2000</v>
      </c>
      <c r="N3" s="295"/>
    </row>
    <row r="4" spans="1:14" x14ac:dyDescent="0.3">
      <c r="A4" s="250" t="s">
        <v>131</v>
      </c>
      <c r="B4" s="232">
        <v>1</v>
      </c>
      <c r="C4" s="251">
        <v>1</v>
      </c>
      <c r="D4" s="396">
        <v>0</v>
      </c>
      <c r="E4" s="252" t="s">
        <v>132</v>
      </c>
      <c r="F4" s="253" t="s">
        <v>94</v>
      </c>
      <c r="G4" s="271" t="s">
        <v>108</v>
      </c>
      <c r="H4" s="254" t="str">
        <f>CONCATENATE("+",H3-5)</f>
        <v>+5</v>
      </c>
      <c r="I4" s="255">
        <f t="shared" ca="1" si="0"/>
        <v>13</v>
      </c>
      <c r="J4" s="256">
        <f t="shared" ref="J4:J5" ca="1" si="2">I4+H4</f>
        <v>18</v>
      </c>
      <c r="K4" s="239" t="s">
        <v>191</v>
      </c>
      <c r="M4" s="272" t="s">
        <v>108</v>
      </c>
    </row>
    <row r="5" spans="1:14" x14ac:dyDescent="0.3">
      <c r="A5" s="290" t="s">
        <v>130</v>
      </c>
      <c r="B5" s="365">
        <v>1</v>
      </c>
      <c r="C5" s="366">
        <v>1</v>
      </c>
      <c r="D5" s="397">
        <v>0</v>
      </c>
      <c r="E5" s="367" t="s">
        <v>132</v>
      </c>
      <c r="F5" s="368" t="s">
        <v>94</v>
      </c>
      <c r="G5" s="291" t="s">
        <v>108</v>
      </c>
      <c r="H5" s="369" t="str">
        <f>CONCATENATE("+",'Personal File'!$B$8+'Personal File'!$C$11+D5)</f>
        <v>+10</v>
      </c>
      <c r="I5" s="370">
        <f t="shared" ca="1" si="0"/>
        <v>18</v>
      </c>
      <c r="J5" s="371">
        <f t="shared" ca="1" si="2"/>
        <v>28</v>
      </c>
      <c r="K5" s="372" t="s">
        <v>191</v>
      </c>
      <c r="M5" s="272" t="s">
        <v>108</v>
      </c>
    </row>
    <row r="6" spans="1:14" x14ac:dyDescent="0.3">
      <c r="A6" s="250" t="s">
        <v>201</v>
      </c>
      <c r="B6" s="232" t="s">
        <v>200</v>
      </c>
      <c r="C6" s="251">
        <v>0</v>
      </c>
      <c r="D6" s="396">
        <v>0</v>
      </c>
      <c r="E6" s="252" t="s">
        <v>88</v>
      </c>
      <c r="F6" s="253" t="s">
        <v>89</v>
      </c>
      <c r="G6" s="364">
        <v>2.5000000000000001E-2</v>
      </c>
      <c r="H6" s="254" t="str">
        <f>CONCATENATE("+",'Personal File'!$B$8+'Personal File'!$C$11+D6)</f>
        <v>+10</v>
      </c>
      <c r="I6" s="255">
        <f t="shared" ca="1" si="0"/>
        <v>14</v>
      </c>
      <c r="J6" s="256">
        <f t="shared" ref="J6:J8" ca="1" si="3">I6+H6</f>
        <v>24</v>
      </c>
      <c r="K6" s="239" t="s">
        <v>221</v>
      </c>
      <c r="M6" s="240">
        <v>300</v>
      </c>
      <c r="N6" s="295"/>
    </row>
    <row r="7" spans="1:14" x14ac:dyDescent="0.3">
      <c r="A7" s="250" t="s">
        <v>167</v>
      </c>
      <c r="B7" s="232" t="s">
        <v>200</v>
      </c>
      <c r="C7" s="251">
        <v>0</v>
      </c>
      <c r="D7" s="396">
        <v>0</v>
      </c>
      <c r="E7" s="252" t="s">
        <v>88</v>
      </c>
      <c r="F7" s="253" t="s">
        <v>89</v>
      </c>
      <c r="G7" s="271" t="s">
        <v>108</v>
      </c>
      <c r="H7" s="254" t="str">
        <f>CONCATENATE("+",H6-5)</f>
        <v>+5</v>
      </c>
      <c r="I7" s="255">
        <f t="shared" ref="I7:I8" ca="1" si="4">RANDBETWEEN(1,20)</f>
        <v>19</v>
      </c>
      <c r="J7" s="256">
        <f t="shared" ca="1" si="3"/>
        <v>24</v>
      </c>
      <c r="K7" s="239" t="s">
        <v>221</v>
      </c>
      <c r="M7" s="272" t="s">
        <v>108</v>
      </c>
    </row>
    <row r="8" spans="1:14" x14ac:dyDescent="0.3">
      <c r="A8" s="290" t="s">
        <v>215</v>
      </c>
      <c r="B8" s="365" t="s">
        <v>200</v>
      </c>
      <c r="C8" s="366">
        <v>0</v>
      </c>
      <c r="D8" s="397">
        <v>0</v>
      </c>
      <c r="E8" s="367" t="s">
        <v>88</v>
      </c>
      <c r="F8" s="368" t="s">
        <v>89</v>
      </c>
      <c r="G8" s="291" t="s">
        <v>108</v>
      </c>
      <c r="H8" s="369" t="str">
        <f>CONCATENATE("+",'Personal File'!$B$8+'Personal File'!$C$11+D8)</f>
        <v>+10</v>
      </c>
      <c r="I8" s="370">
        <f t="shared" ca="1" si="4"/>
        <v>10</v>
      </c>
      <c r="J8" s="371">
        <f t="shared" ca="1" si="3"/>
        <v>20</v>
      </c>
      <c r="K8" s="372" t="s">
        <v>221</v>
      </c>
      <c r="M8" s="273" t="s">
        <v>108</v>
      </c>
    </row>
    <row r="9" spans="1:14" ht="16.2" thickBot="1" x14ac:dyDescent="0.35">
      <c r="A9" s="269" t="s">
        <v>174</v>
      </c>
      <c r="B9" s="257" t="s">
        <v>175</v>
      </c>
      <c r="C9" s="258" t="s">
        <v>49</v>
      </c>
      <c r="D9" s="398">
        <v>0</v>
      </c>
      <c r="E9" s="259" t="s">
        <v>95</v>
      </c>
      <c r="F9" s="260" t="s">
        <v>135</v>
      </c>
      <c r="G9" s="263">
        <v>0.5</v>
      </c>
      <c r="H9" s="261" t="str">
        <f>CONCATENATE("+",'Personal File'!$B$8+'Personal File'!$C$11+D9)</f>
        <v>+10</v>
      </c>
      <c r="I9" s="176">
        <f ca="1">RANDBETWEEN(1,20)</f>
        <v>20</v>
      </c>
      <c r="J9" s="262">
        <f ca="1">I9+H9</f>
        <v>30</v>
      </c>
      <c r="K9" s="363" t="s">
        <v>191</v>
      </c>
      <c r="M9" s="274" t="s">
        <v>108</v>
      </c>
    </row>
    <row r="10" spans="1:14" ht="6" customHeight="1" thickTop="1" thickBot="1" x14ac:dyDescent="0.35"/>
    <row r="11" spans="1:14" ht="16.8" thickTop="1" thickBot="1" x14ac:dyDescent="0.35">
      <c r="A11" s="164" t="s">
        <v>3</v>
      </c>
      <c r="B11" s="165" t="s">
        <v>4</v>
      </c>
      <c r="C11" s="165" t="s">
        <v>17</v>
      </c>
      <c r="D11" s="165" t="s">
        <v>18</v>
      </c>
      <c r="E11" s="166" t="s">
        <v>51</v>
      </c>
      <c r="F11" s="165" t="s">
        <v>5</v>
      </c>
      <c r="G11" s="165" t="s">
        <v>19</v>
      </c>
      <c r="H11" s="167" t="s">
        <v>69</v>
      </c>
      <c r="I11" s="168" t="s">
        <v>79</v>
      </c>
      <c r="J11" s="167" t="s">
        <v>62</v>
      </c>
      <c r="K11" s="169" t="s">
        <v>61</v>
      </c>
      <c r="M11" s="202" t="s">
        <v>110</v>
      </c>
    </row>
    <row r="12" spans="1:14" x14ac:dyDescent="0.3">
      <c r="A12" s="250" t="s">
        <v>205</v>
      </c>
      <c r="B12" s="232">
        <v>1</v>
      </c>
      <c r="C12" s="243" t="s">
        <v>70</v>
      </c>
      <c r="D12" s="391">
        <f t="shared" ref="D12:D14" si="5">1+1</f>
        <v>2</v>
      </c>
      <c r="E12" s="232" t="s">
        <v>95</v>
      </c>
      <c r="F12" s="275" t="s">
        <v>135</v>
      </c>
      <c r="G12" s="293">
        <v>0.05</v>
      </c>
      <c r="H12" s="294" t="str">
        <f>CONCATENATE("+",'Personal File'!$B$8+'Personal File'!$C$11+D12)</f>
        <v>+12</v>
      </c>
      <c r="I12" s="255">
        <f ca="1">RANDBETWEEN(1,20)</f>
        <v>16</v>
      </c>
      <c r="J12" s="256">
        <f ca="1">I12+H12</f>
        <v>28</v>
      </c>
      <c r="K12" s="239" t="s">
        <v>191</v>
      </c>
      <c r="M12" s="233">
        <v>300</v>
      </c>
      <c r="N12" s="295"/>
    </row>
    <row r="13" spans="1:14" x14ac:dyDescent="0.3">
      <c r="A13" s="250" t="s">
        <v>134</v>
      </c>
      <c r="B13" s="232">
        <v>1</v>
      </c>
      <c r="C13" s="275" t="s">
        <v>49</v>
      </c>
      <c r="D13" s="391">
        <f t="shared" si="5"/>
        <v>2</v>
      </c>
      <c r="E13" s="232" t="s">
        <v>95</v>
      </c>
      <c r="F13" s="275" t="s">
        <v>135</v>
      </c>
      <c r="G13" s="271" t="s">
        <v>108</v>
      </c>
      <c r="H13" s="254" t="str">
        <f>CONCATENATE("+",H12-5)</f>
        <v>+7</v>
      </c>
      <c r="I13" s="255">
        <f t="shared" ref="I13:I14" ca="1" si="6">RANDBETWEEN(1,20)</f>
        <v>19</v>
      </c>
      <c r="J13" s="256">
        <f t="shared" ref="J13:J14" ca="1" si="7">I13+H13</f>
        <v>26</v>
      </c>
      <c r="K13" s="239" t="s">
        <v>191</v>
      </c>
      <c r="M13" s="272" t="s">
        <v>108</v>
      </c>
    </row>
    <row r="14" spans="1:14" x14ac:dyDescent="0.3">
      <c r="A14" s="290" t="s">
        <v>207</v>
      </c>
      <c r="B14" s="365">
        <v>1</v>
      </c>
      <c r="C14" s="373" t="s">
        <v>49</v>
      </c>
      <c r="D14" s="392">
        <f t="shared" si="5"/>
        <v>2</v>
      </c>
      <c r="E14" s="365" t="s">
        <v>95</v>
      </c>
      <c r="F14" s="373" t="s">
        <v>135</v>
      </c>
      <c r="G14" s="291" t="s">
        <v>108</v>
      </c>
      <c r="H14" s="369" t="str">
        <f>CONCATENATE("+",'Personal File'!$B$8+'Personal File'!$C$11+D14)</f>
        <v>+12</v>
      </c>
      <c r="I14" s="370">
        <f t="shared" ca="1" si="6"/>
        <v>19</v>
      </c>
      <c r="J14" s="371">
        <f t="shared" ca="1" si="7"/>
        <v>31</v>
      </c>
      <c r="K14" s="372" t="s">
        <v>191</v>
      </c>
      <c r="M14" s="272" t="s">
        <v>108</v>
      </c>
    </row>
    <row r="15" spans="1:14" ht="16.2" thickBot="1" x14ac:dyDescent="0.35">
      <c r="A15" s="171" t="s">
        <v>103</v>
      </c>
      <c r="B15" s="172" t="s">
        <v>108</v>
      </c>
      <c r="C15" s="173" t="s">
        <v>49</v>
      </c>
      <c r="D15" s="173" t="s">
        <v>73</v>
      </c>
      <c r="E15" s="172" t="s">
        <v>108</v>
      </c>
      <c r="F15" s="173" t="s">
        <v>108</v>
      </c>
      <c r="G15" s="174" t="s">
        <v>108</v>
      </c>
      <c r="H15" s="175" t="str">
        <f>CONCATENATE("+",'Personal File'!$B$8+'Personal File'!$C$11+D15)</f>
        <v>+14</v>
      </c>
      <c r="I15" s="176">
        <f ca="1">RANDBETWEEN(1,20)</f>
        <v>14</v>
      </c>
      <c r="J15" s="177">
        <f ca="1">I15+H15</f>
        <v>28</v>
      </c>
      <c r="K15" s="178"/>
      <c r="M15" s="292" t="s">
        <v>108</v>
      </c>
    </row>
    <row r="16" spans="1:14" ht="6" customHeight="1" thickTop="1" thickBot="1" x14ac:dyDescent="0.35">
      <c r="D16" s="179"/>
      <c r="E16" s="179"/>
      <c r="G16" s="180"/>
      <c r="H16" s="180"/>
      <c r="I16" s="180"/>
      <c r="J16" s="180"/>
    </row>
    <row r="17" spans="1:14" ht="16.8" thickTop="1" thickBot="1" x14ac:dyDescent="0.35">
      <c r="A17" s="164" t="s">
        <v>55</v>
      </c>
      <c r="B17" s="165" t="s">
        <v>8</v>
      </c>
      <c r="C17" s="165" t="s">
        <v>22</v>
      </c>
      <c r="D17" s="165" t="s">
        <v>62</v>
      </c>
      <c r="E17" s="165" t="s">
        <v>63</v>
      </c>
      <c r="F17" s="165" t="s">
        <v>64</v>
      </c>
      <c r="G17" s="165" t="s">
        <v>19</v>
      </c>
      <c r="H17" s="181" t="s">
        <v>61</v>
      </c>
      <c r="I17" s="182"/>
      <c r="J17" s="182"/>
      <c r="K17" s="183"/>
      <c r="M17" s="202" t="s">
        <v>110</v>
      </c>
    </row>
    <row r="18" spans="1:14" x14ac:dyDescent="0.3">
      <c r="A18" s="311" t="s">
        <v>202</v>
      </c>
      <c r="B18" s="136">
        <v>2</v>
      </c>
      <c r="C18" s="136">
        <v>6</v>
      </c>
      <c r="D18" s="136">
        <v>0</v>
      </c>
      <c r="E18" s="184">
        <v>0.1</v>
      </c>
      <c r="F18" s="136" t="s">
        <v>203</v>
      </c>
      <c r="G18" s="312">
        <v>1.5</v>
      </c>
      <c r="H18" s="313"/>
      <c r="I18" s="314"/>
      <c r="J18" s="314"/>
      <c r="K18" s="315"/>
      <c r="L18" s="223"/>
      <c r="M18" s="204">
        <v>10</v>
      </c>
      <c r="N18" s="295"/>
    </row>
    <row r="19" spans="1:14" ht="16.2" thickBot="1" x14ac:dyDescent="0.35">
      <c r="A19" s="137" t="s">
        <v>208</v>
      </c>
      <c r="B19" s="138">
        <v>1</v>
      </c>
      <c r="C19" s="206" t="s">
        <v>108</v>
      </c>
      <c r="D19" s="138">
        <v>0</v>
      </c>
      <c r="E19" s="207">
        <v>0.05</v>
      </c>
      <c r="F19" s="138" t="s">
        <v>108</v>
      </c>
      <c r="G19" s="299">
        <v>1</v>
      </c>
      <c r="H19" s="229"/>
      <c r="I19" s="185"/>
      <c r="J19" s="185"/>
      <c r="K19" s="186"/>
      <c r="M19" s="205">
        <v>1165</v>
      </c>
      <c r="N19" s="295"/>
    </row>
    <row r="20" spans="1:14" ht="6.75" customHeight="1" thickTop="1" thickBot="1" x14ac:dyDescent="0.35"/>
    <row r="21" spans="1:14" ht="16.8" thickTop="1" thickBot="1" x14ac:dyDescent="0.35">
      <c r="A21" s="187"/>
      <c r="B21" s="180"/>
      <c r="D21" s="188" t="s">
        <v>56</v>
      </c>
      <c r="E21" s="189"/>
      <c r="F21" s="181" t="s">
        <v>2</v>
      </c>
      <c r="G21" s="165" t="s">
        <v>19</v>
      </c>
      <c r="H21" s="167" t="s">
        <v>69</v>
      </c>
      <c r="I21" s="181" t="s">
        <v>61</v>
      </c>
      <c r="J21" s="182"/>
      <c r="K21" s="183"/>
      <c r="M21" s="202" t="s">
        <v>110</v>
      </c>
    </row>
    <row r="22" spans="1:14" ht="16.2" thickBot="1" x14ac:dyDescent="0.35">
      <c r="A22" s="187"/>
      <c r="B22" s="180"/>
      <c r="D22" s="190" t="s">
        <v>219</v>
      </c>
      <c r="E22" s="191"/>
      <c r="F22" s="192">
        <v>35</v>
      </c>
      <c r="G22" s="193">
        <f>F22*0.05*0.025</f>
        <v>4.3750000000000004E-2</v>
      </c>
      <c r="H22" s="194" t="s">
        <v>70</v>
      </c>
      <c r="I22" s="195"/>
      <c r="J22" s="196"/>
      <c r="K22" s="197"/>
      <c r="M22" s="205">
        <f>F22</f>
        <v>35</v>
      </c>
    </row>
    <row r="23" spans="1:14" ht="6" customHeight="1" thickTop="1" thickBot="1" x14ac:dyDescent="0.35"/>
    <row r="24" spans="1:14" ht="16.8" thickTop="1" thickBot="1" x14ac:dyDescent="0.35">
      <c r="D24" s="188" t="s">
        <v>112</v>
      </c>
      <c r="E24" s="182"/>
      <c r="F24" s="182"/>
      <c r="G24" s="182"/>
      <c r="H24" s="222" t="s">
        <v>2</v>
      </c>
      <c r="I24" s="222" t="s">
        <v>113</v>
      </c>
      <c r="J24" s="222" t="s">
        <v>114</v>
      </c>
      <c r="K24" s="183" t="s">
        <v>128</v>
      </c>
      <c r="L24" s="223"/>
      <c r="M24" s="202" t="s">
        <v>110</v>
      </c>
    </row>
    <row r="25" spans="1:14" x14ac:dyDescent="0.3">
      <c r="D25" s="224" t="s">
        <v>127</v>
      </c>
      <c r="E25" s="225"/>
      <c r="F25" s="225"/>
      <c r="G25" s="225"/>
      <c r="H25" s="136">
        <v>1</v>
      </c>
      <c r="I25" s="136">
        <v>4</v>
      </c>
      <c r="J25" s="136">
        <v>8</v>
      </c>
      <c r="K25" s="226">
        <v>3</v>
      </c>
      <c r="L25" s="223"/>
      <c r="M25" s="204">
        <f>25*H25*I25*J25*LEFT(K25,2)</f>
        <v>2400</v>
      </c>
    </row>
    <row r="26" spans="1:14" x14ac:dyDescent="0.3">
      <c r="D26" s="374" t="s">
        <v>209</v>
      </c>
      <c r="E26" s="375"/>
      <c r="F26" s="375"/>
      <c r="G26" s="375"/>
      <c r="H26" s="232">
        <v>1</v>
      </c>
      <c r="I26" s="232">
        <v>2</v>
      </c>
      <c r="J26" s="232">
        <v>5</v>
      </c>
      <c r="K26" s="376">
        <v>24</v>
      </c>
      <c r="L26" s="223"/>
      <c r="M26" s="240">
        <f>25*H26*I26*J26*LEFT(K26,2)</f>
        <v>6000</v>
      </c>
    </row>
    <row r="27" spans="1:14" x14ac:dyDescent="0.3">
      <c r="C27" s="296"/>
      <c r="D27" s="282" t="s">
        <v>125</v>
      </c>
      <c r="E27" s="283"/>
      <c r="F27" s="283"/>
      <c r="G27" s="283"/>
      <c r="H27" s="284">
        <v>1</v>
      </c>
      <c r="I27" s="284">
        <v>0</v>
      </c>
      <c r="J27" s="284">
        <v>1</v>
      </c>
      <c r="K27" s="285" t="s">
        <v>129</v>
      </c>
      <c r="L27" s="223"/>
      <c r="M27" s="240">
        <v>460</v>
      </c>
    </row>
    <row r="28" spans="1:14" ht="16.2" thickBot="1" x14ac:dyDescent="0.35">
      <c r="D28" s="227" t="s">
        <v>126</v>
      </c>
      <c r="E28" s="228"/>
      <c r="F28" s="228"/>
      <c r="G28" s="228"/>
      <c r="H28" s="138">
        <v>1</v>
      </c>
      <c r="I28" s="138">
        <v>1</v>
      </c>
      <c r="J28" s="138">
        <v>1</v>
      </c>
      <c r="K28" s="286" t="s">
        <v>129</v>
      </c>
      <c r="L28" s="223"/>
      <c r="M28" s="205">
        <v>820</v>
      </c>
    </row>
    <row r="29" spans="1:14" ht="16.2" thickTop="1" x14ac:dyDescent="0.3"/>
  </sheetData>
  <phoneticPr fontId="0" type="noConversion"/>
  <conditionalFormatting sqref="I3:I5">
    <cfRule type="cellIs" dxfId="1" priority="1" operator="greaterThanOrEqual">
      <formula>17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showGridLines="0" workbookViewId="0"/>
  </sheetViews>
  <sheetFormatPr defaultColWidth="13" defaultRowHeight="15.6" x14ac:dyDescent="0.3"/>
  <cols>
    <col min="1" max="1" width="23.8984375" style="23" bestFit="1" customWidth="1"/>
    <col min="2" max="2" width="4.69921875" style="23" bestFit="1" customWidth="1"/>
    <col min="3" max="3" width="4.3984375" style="24" bestFit="1" customWidth="1"/>
    <col min="4" max="5" width="21.59765625" style="1" customWidth="1"/>
    <col min="6" max="6" width="2.8984375" style="23" customWidth="1"/>
    <col min="7" max="7" width="8.296875" style="1" bestFit="1" customWidth="1"/>
    <col min="8" max="16384" width="13" style="1"/>
  </cols>
  <sheetData>
    <row r="1" spans="1:7" ht="23.4" thickBot="1" x14ac:dyDescent="0.45">
      <c r="A1" s="22" t="s">
        <v>58</v>
      </c>
      <c r="B1" s="22"/>
      <c r="C1" s="47"/>
      <c r="D1" s="22"/>
      <c r="E1" s="22"/>
    </row>
    <row r="2" spans="1:7" s="23" customFormat="1" ht="16.8" thickTop="1" thickBot="1" x14ac:dyDescent="0.35">
      <c r="A2" s="48" t="s">
        <v>59</v>
      </c>
      <c r="B2" s="159" t="s">
        <v>2</v>
      </c>
      <c r="C2" s="49" t="s">
        <v>19</v>
      </c>
      <c r="D2" s="50" t="s">
        <v>60</v>
      </c>
      <c r="E2" s="51" t="s">
        <v>61</v>
      </c>
      <c r="G2" s="218" t="s">
        <v>110</v>
      </c>
    </row>
    <row r="3" spans="1:7" x14ac:dyDescent="0.3">
      <c r="A3" s="131" t="s">
        <v>96</v>
      </c>
      <c r="B3" s="157">
        <v>1</v>
      </c>
      <c r="C3" s="57">
        <v>0.3</v>
      </c>
      <c r="D3" s="132"/>
      <c r="E3" s="56"/>
      <c r="G3" s="219">
        <v>0</v>
      </c>
    </row>
    <row r="4" spans="1:7" x14ac:dyDescent="0.3">
      <c r="A4" s="106" t="s">
        <v>120</v>
      </c>
      <c r="B4" s="157">
        <v>1</v>
      </c>
      <c r="C4" s="52">
        <v>0</v>
      </c>
      <c r="D4" s="133"/>
      <c r="E4" s="53"/>
      <c r="G4" s="220">
        <v>1500</v>
      </c>
    </row>
    <row r="5" spans="1:7" x14ac:dyDescent="0.3">
      <c r="A5" s="212" t="s">
        <v>122</v>
      </c>
      <c r="B5" s="213">
        <v>1</v>
      </c>
      <c r="C5" s="235">
        <v>0</v>
      </c>
      <c r="D5" s="238"/>
      <c r="E5" s="236"/>
      <c r="G5" s="237">
        <v>900</v>
      </c>
    </row>
    <row r="6" spans="1:7" ht="16.2" thickBot="1" x14ac:dyDescent="0.35">
      <c r="A6" s="134"/>
      <c r="B6" s="158"/>
      <c r="C6" s="381"/>
      <c r="D6" s="135"/>
      <c r="E6" s="382"/>
      <c r="G6" s="221"/>
    </row>
    <row r="7" spans="1:7" ht="24" thickTop="1" thickBot="1" x14ac:dyDescent="0.45">
      <c r="A7" s="22" t="s">
        <v>106</v>
      </c>
      <c r="B7" s="22"/>
      <c r="C7" s="54"/>
      <c r="D7" s="22"/>
      <c r="E7" s="55"/>
    </row>
    <row r="8" spans="1:7" ht="16.8" thickTop="1" thickBot="1" x14ac:dyDescent="0.35">
      <c r="A8" s="48" t="s">
        <v>59</v>
      </c>
      <c r="B8" s="159" t="s">
        <v>2</v>
      </c>
      <c r="C8" s="49" t="s">
        <v>19</v>
      </c>
      <c r="D8" s="50" t="s">
        <v>60</v>
      </c>
      <c r="E8" s="51" t="s">
        <v>61</v>
      </c>
      <c r="G8" s="218" t="s">
        <v>110</v>
      </c>
    </row>
    <row r="9" spans="1:7" x14ac:dyDescent="0.3">
      <c r="A9" s="106" t="s">
        <v>111</v>
      </c>
      <c r="B9" s="157">
        <v>1</v>
      </c>
      <c r="C9" s="52">
        <v>0.1</v>
      </c>
      <c r="D9" s="208"/>
      <c r="E9" s="209"/>
      <c r="F9" s="68"/>
      <c r="G9" s="219">
        <v>0</v>
      </c>
    </row>
    <row r="10" spans="1:7" x14ac:dyDescent="0.3">
      <c r="A10" s="106" t="s">
        <v>101</v>
      </c>
      <c r="B10" s="157">
        <v>1</v>
      </c>
      <c r="C10" s="52">
        <v>0.5</v>
      </c>
      <c r="D10" s="208" t="s">
        <v>77</v>
      </c>
      <c r="E10" s="209"/>
      <c r="F10" s="68"/>
      <c r="G10" s="220">
        <v>0</v>
      </c>
    </row>
    <row r="11" spans="1:7" x14ac:dyDescent="0.3">
      <c r="A11" s="106" t="s">
        <v>92</v>
      </c>
      <c r="B11" s="157">
        <v>1</v>
      </c>
      <c r="C11" s="52">
        <v>0.25</v>
      </c>
      <c r="D11" s="208" t="s">
        <v>100</v>
      </c>
      <c r="E11" s="210"/>
      <c r="F11" s="68"/>
      <c r="G11" s="220">
        <v>0</v>
      </c>
    </row>
    <row r="12" spans="1:7" x14ac:dyDescent="0.3">
      <c r="A12" s="106" t="s">
        <v>105</v>
      </c>
      <c r="B12" s="157">
        <v>1</v>
      </c>
      <c r="C12" s="211">
        <v>0.2</v>
      </c>
      <c r="D12" s="208" t="s">
        <v>78</v>
      </c>
      <c r="E12" s="210"/>
      <c r="F12" s="68"/>
      <c r="G12" s="220">
        <v>300</v>
      </c>
    </row>
    <row r="13" spans="1:7" x14ac:dyDescent="0.3">
      <c r="A13" s="106" t="s">
        <v>97</v>
      </c>
      <c r="B13" s="157">
        <v>2</v>
      </c>
      <c r="C13" s="211">
        <v>0.02</v>
      </c>
      <c r="D13" s="208"/>
      <c r="E13" s="210"/>
      <c r="F13" s="68"/>
      <c r="G13" s="220">
        <v>0</v>
      </c>
    </row>
    <row r="14" spans="1:7" x14ac:dyDescent="0.3">
      <c r="A14" s="106" t="s">
        <v>98</v>
      </c>
      <c r="B14" s="157">
        <v>1</v>
      </c>
      <c r="C14" s="211">
        <v>0.1</v>
      </c>
      <c r="D14" s="208" t="s">
        <v>99</v>
      </c>
      <c r="E14" s="210"/>
      <c r="F14" s="68"/>
      <c r="G14" s="220">
        <v>0</v>
      </c>
    </row>
    <row r="15" spans="1:7" x14ac:dyDescent="0.3">
      <c r="A15" s="106" t="s">
        <v>107</v>
      </c>
      <c r="B15" s="157">
        <v>1</v>
      </c>
      <c r="C15" s="211">
        <v>0.1</v>
      </c>
      <c r="D15" s="208"/>
      <c r="E15" s="210"/>
      <c r="F15" s="68"/>
      <c r="G15" s="220">
        <v>0</v>
      </c>
    </row>
    <row r="16" spans="1:7" x14ac:dyDescent="0.3">
      <c r="A16" s="106" t="s">
        <v>211</v>
      </c>
      <c r="B16" s="157">
        <v>27</v>
      </c>
      <c r="C16" s="378">
        <f>B16/200</f>
        <v>0.13500000000000001</v>
      </c>
      <c r="D16" s="208"/>
      <c r="E16" s="210"/>
      <c r="F16" s="68"/>
      <c r="G16" s="377">
        <f>B16/100</f>
        <v>0.27</v>
      </c>
    </row>
    <row r="17" spans="1:7" x14ac:dyDescent="0.3">
      <c r="A17" s="106" t="s">
        <v>212</v>
      </c>
      <c r="B17" s="157">
        <v>42</v>
      </c>
      <c r="C17" s="378">
        <f>B17/150</f>
        <v>0.28000000000000003</v>
      </c>
      <c r="D17" s="208"/>
      <c r="E17" s="210"/>
      <c r="F17" s="68"/>
      <c r="G17" s="377">
        <f>B17/20</f>
        <v>2.1</v>
      </c>
    </row>
    <row r="18" spans="1:7" x14ac:dyDescent="0.3">
      <c r="A18" s="212" t="s">
        <v>210</v>
      </c>
      <c r="B18" s="213">
        <v>1427</v>
      </c>
      <c r="C18" s="378">
        <f>B18/100</f>
        <v>14.27</v>
      </c>
      <c r="D18" s="238"/>
      <c r="E18" s="210"/>
      <c r="F18" s="68"/>
      <c r="G18" s="220">
        <f>B18</f>
        <v>1427</v>
      </c>
    </row>
    <row r="19" spans="1:7" x14ac:dyDescent="0.3">
      <c r="A19" s="212" t="s">
        <v>90</v>
      </c>
      <c r="B19" s="213">
        <v>2</v>
      </c>
      <c r="C19" s="298">
        <f>B19/10</f>
        <v>0.2</v>
      </c>
      <c r="D19" s="214"/>
      <c r="E19" s="210"/>
      <c r="F19" s="68"/>
      <c r="G19" s="220">
        <v>0</v>
      </c>
    </row>
    <row r="20" spans="1:7" ht="16.2" thickBot="1" x14ac:dyDescent="0.35">
      <c r="A20" s="134" t="s">
        <v>93</v>
      </c>
      <c r="B20" s="158">
        <v>1</v>
      </c>
      <c r="C20" s="215">
        <v>0.5</v>
      </c>
      <c r="D20" s="216"/>
      <c r="E20" s="217"/>
      <c r="F20" s="68"/>
      <c r="G20" s="221">
        <v>0</v>
      </c>
    </row>
    <row r="21" spans="1:7" ht="16.2" thickTop="1" x14ac:dyDescent="0.3"/>
    <row r="22" spans="1:7" x14ac:dyDescent="0.3">
      <c r="E22" s="230" t="s">
        <v>115</v>
      </c>
      <c r="F22" s="223"/>
      <c r="G22" s="231">
        <f>SUM(G3:G20,Martial!M3:M28)</f>
        <v>17619.37</v>
      </c>
    </row>
  </sheetData>
  <sortState xmlns:xlrd2="http://schemas.microsoft.com/office/spreadsheetml/2017/richdata2" ref="A3:E9">
    <sortCondition ref="A3:A9"/>
  </sortState>
  <phoneticPr fontId="0" type="noConversion"/>
  <conditionalFormatting sqref="G22">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2025-01-12T19:00:53Z</dcterms:modified>
</cp:coreProperties>
</file>