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oL\Used\Characters\Part II\"/>
    </mc:Choice>
  </mc:AlternateContent>
  <xr:revisionPtr revIDLastSave="0" documentId="13_ncr:1_{31391103-E378-4E12-9974-CF0C400E2DE4}"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File'!$A$1:$H$25</definedName>
    <definedName name="_xlnm.Print_Area" localSheetId="1">Skills!$A$1:$K$28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19" l="1"/>
  <c r="B8" i="4" l="1"/>
  <c r="H3" i="6" s="1"/>
  <c r="H4" i="6" s="1"/>
  <c r="D12" i="6"/>
  <c r="D13" i="6"/>
  <c r="D14" i="6"/>
  <c r="M22" i="6"/>
  <c r="E13" i="4"/>
  <c r="I3" i="6"/>
  <c r="I4" i="6"/>
  <c r="H9" i="20"/>
  <c r="H8" i="20"/>
  <c r="H7" i="20"/>
  <c r="H6" i="20"/>
  <c r="H5" i="20"/>
  <c r="H4" i="20"/>
  <c r="H3" i="20"/>
  <c r="B11" i="4"/>
  <c r="B10" i="4"/>
  <c r="J3" i="6" l="1"/>
  <c r="J4" i="6"/>
  <c r="B15" i="4"/>
  <c r="B14" i="4"/>
  <c r="B13" i="4"/>
  <c r="B12" i="4"/>
  <c r="A9" i="20" l="1"/>
  <c r="C18" i="19" l="1"/>
  <c r="M26" i="6" l="1"/>
  <c r="C19" i="19" l="1"/>
  <c r="F28" i="15"/>
  <c r="G22" i="6" l="1"/>
  <c r="E11" i="4" s="1"/>
  <c r="I9" i="6" l="1"/>
  <c r="I8" i="6"/>
  <c r="B5" i="15" l="1"/>
  <c r="B4" i="15"/>
  <c r="B3" i="15"/>
  <c r="H23" i="15"/>
  <c r="H20" i="15"/>
  <c r="H27" i="15"/>
  <c r="H26" i="15"/>
  <c r="B43" i="15"/>
  <c r="E12" i="4"/>
  <c r="I14" i="6" l="1"/>
  <c r="I13" i="6"/>
  <c r="I12" i="6"/>
  <c r="H3" i="15" l="1"/>
  <c r="H4" i="15"/>
  <c r="H5" i="15"/>
  <c r="H6" i="15"/>
  <c r="H7" i="15"/>
  <c r="H8" i="15"/>
  <c r="H9" i="15"/>
  <c r="H10" i="15"/>
  <c r="H11" i="15"/>
  <c r="H12" i="15"/>
  <c r="H13" i="15"/>
  <c r="H14" i="15"/>
  <c r="F15" i="15"/>
  <c r="H15" i="15"/>
  <c r="H16" i="15"/>
  <c r="H17" i="15"/>
  <c r="H18" i="15"/>
  <c r="H19" i="15"/>
  <c r="H21" i="15"/>
  <c r="H22" i="15"/>
  <c r="H24" i="15"/>
  <c r="H25" i="15"/>
  <c r="H28" i="15"/>
  <c r="H29" i="15"/>
  <c r="H30" i="15"/>
  <c r="H31" i="15"/>
  <c r="H32" i="15"/>
  <c r="H33" i="15"/>
  <c r="F34" i="15"/>
  <c r="H34" i="15"/>
  <c r="M25" i="6" l="1"/>
  <c r="I15" i="6" l="1"/>
  <c r="I5" i="6"/>
  <c r="I6" i="6"/>
  <c r="I7" i="6"/>
  <c r="H41" i="15" l="1"/>
  <c r="H40" i="15"/>
  <c r="H37" i="15" l="1"/>
  <c r="G17" i="19" l="1"/>
  <c r="G16" i="19"/>
  <c r="G22" i="19" s="1"/>
  <c r="C16" i="19" l="1"/>
  <c r="C17" i="19"/>
  <c r="H36" i="15" l="1"/>
  <c r="H42" i="15" l="1"/>
  <c r="H39" i="15"/>
  <c r="H38" i="15"/>
  <c r="H35" i="15"/>
  <c r="C12" i="4" l="1"/>
  <c r="D10" i="15" l="1"/>
  <c r="D3" i="15"/>
  <c r="C10" i="4"/>
  <c r="C11" i="4"/>
  <c r="C13" i="4"/>
  <c r="C14" i="4"/>
  <c r="C15" i="4"/>
  <c r="E44" i="15" l="1"/>
  <c r="H8" i="6"/>
  <c r="J8" i="6" s="1"/>
  <c r="H9" i="6"/>
  <c r="J9" i="6" s="1"/>
  <c r="E15" i="4"/>
  <c r="E14" i="4" s="1"/>
  <c r="H14" i="6"/>
  <c r="J14" i="6" s="1"/>
  <c r="H12" i="6"/>
  <c r="D5" i="15"/>
  <c r="D20" i="15"/>
  <c r="G20" i="15" s="1"/>
  <c r="D26" i="15"/>
  <c r="D30" i="15"/>
  <c r="D33" i="15"/>
  <c r="D17" i="15"/>
  <c r="D11" i="15"/>
  <c r="D12" i="15"/>
  <c r="D32" i="15"/>
  <c r="D6" i="15"/>
  <c r="D24" i="15"/>
  <c r="D14" i="15"/>
  <c r="D25" i="15"/>
  <c r="D7" i="15"/>
  <c r="D31" i="15"/>
  <c r="D21" i="15"/>
  <c r="D4" i="15"/>
  <c r="D27" i="15"/>
  <c r="D34" i="15"/>
  <c r="D16" i="15"/>
  <c r="D28" i="15"/>
  <c r="D23" i="15"/>
  <c r="D9" i="15"/>
  <c r="E3" i="15"/>
  <c r="G3" i="15"/>
  <c r="I3" i="15" s="1"/>
  <c r="D15" i="15"/>
  <c r="D8" i="15"/>
  <c r="D18" i="15"/>
  <c r="D29" i="15"/>
  <c r="D13" i="15"/>
  <c r="D19" i="15"/>
  <c r="D22" i="15"/>
  <c r="G10" i="15"/>
  <c r="I10" i="15" s="1"/>
  <c r="E10" i="15"/>
  <c r="E48" i="15"/>
  <c r="E49" i="15"/>
  <c r="D35" i="15"/>
  <c r="E35" i="15" s="1"/>
  <c r="D36" i="15"/>
  <c r="E36" i="15" s="1"/>
  <c r="D42" i="15"/>
  <c r="E42" i="15" s="1"/>
  <c r="D40" i="15"/>
  <c r="E40" i="15" s="1"/>
  <c r="D39" i="15"/>
  <c r="E39" i="15" s="1"/>
  <c r="D41" i="15"/>
  <c r="E41" i="15" s="1"/>
  <c r="D37" i="15"/>
  <c r="E37" i="15" s="1"/>
  <c r="D38" i="15"/>
  <c r="E38" i="15" s="1"/>
  <c r="H5" i="6"/>
  <c r="J5" i="6" s="1"/>
  <c r="H6" i="6"/>
  <c r="H15" i="6"/>
  <c r="J15" i="6" s="1"/>
  <c r="E46" i="15"/>
  <c r="E47" i="15"/>
  <c r="E45" i="15"/>
  <c r="H13" i="6" l="1"/>
  <c r="J13" i="6" s="1"/>
  <c r="J12" i="6"/>
  <c r="G29" i="15"/>
  <c r="I29" i="15" s="1"/>
  <c r="E29" i="15"/>
  <c r="E28" i="15"/>
  <c r="G28" i="15"/>
  <c r="I28" i="15" s="1"/>
  <c r="E11" i="15"/>
  <c r="G11" i="15"/>
  <c r="I11" i="15" s="1"/>
  <c r="G18" i="15"/>
  <c r="I18" i="15" s="1"/>
  <c r="E18" i="15"/>
  <c r="E16" i="15"/>
  <c r="G16" i="15"/>
  <c r="I16" i="15" s="1"/>
  <c r="E25" i="15"/>
  <c r="G25" i="15"/>
  <c r="I25" i="15" s="1"/>
  <c r="E17" i="15"/>
  <c r="G17" i="15"/>
  <c r="I17" i="15" s="1"/>
  <c r="E15" i="15"/>
  <c r="G15" i="15"/>
  <c r="I15" i="15" s="1"/>
  <c r="G27" i="15"/>
  <c r="I27" i="15" s="1"/>
  <c r="E27" i="15"/>
  <c r="E14" i="15"/>
  <c r="G14" i="15"/>
  <c r="I14" i="15" s="1"/>
  <c r="E33" i="15"/>
  <c r="G33" i="15"/>
  <c r="I33" i="15" s="1"/>
  <c r="E4" i="15"/>
  <c r="G4" i="15"/>
  <c r="I4" i="15" s="1"/>
  <c r="E24" i="15"/>
  <c r="G24" i="15"/>
  <c r="I24" i="15" s="1"/>
  <c r="G30" i="15"/>
  <c r="I30" i="15" s="1"/>
  <c r="E30" i="15"/>
  <c r="G8" i="15"/>
  <c r="I8" i="15" s="1"/>
  <c r="E8" i="15"/>
  <c r="E22" i="15"/>
  <c r="G22" i="15"/>
  <c r="I22" i="15" s="1"/>
  <c r="E21" i="15"/>
  <c r="G21" i="15"/>
  <c r="I21" i="15" s="1"/>
  <c r="E6" i="15"/>
  <c r="G6" i="15"/>
  <c r="I6" i="15" s="1"/>
  <c r="G26" i="15"/>
  <c r="I26" i="15" s="1"/>
  <c r="E26" i="15"/>
  <c r="E34" i="15"/>
  <c r="G34" i="15"/>
  <c r="I34" i="15" s="1"/>
  <c r="G19" i="15"/>
  <c r="I19" i="15" s="1"/>
  <c r="E19" i="15"/>
  <c r="G9" i="15"/>
  <c r="I9" i="15" s="1"/>
  <c r="E9" i="15"/>
  <c r="G31" i="15"/>
  <c r="I31" i="15" s="1"/>
  <c r="E31" i="15"/>
  <c r="E32" i="15"/>
  <c r="G32" i="15"/>
  <c r="I32" i="15" s="1"/>
  <c r="I20" i="15"/>
  <c r="E20" i="15"/>
  <c r="E13" i="15"/>
  <c r="G13" i="15"/>
  <c r="I13" i="15" s="1"/>
  <c r="E23" i="15"/>
  <c r="G23" i="15"/>
  <c r="I23" i="15" s="1"/>
  <c r="E7" i="15"/>
  <c r="G7" i="15"/>
  <c r="I7" i="15" s="1"/>
  <c r="E12" i="15"/>
  <c r="G12" i="15"/>
  <c r="I12" i="15" s="1"/>
  <c r="E5" i="15"/>
  <c r="G5" i="15"/>
  <c r="I5" i="15" s="1"/>
  <c r="E43" i="15"/>
  <c r="J6" i="6"/>
  <c r="H7" i="6"/>
  <c r="J7" i="6" s="1"/>
  <c r="G41" i="15" l="1"/>
  <c r="G40" i="15"/>
  <c r="G36" i="15"/>
  <c r="G39" i="15"/>
  <c r="G35" i="15"/>
  <c r="G42" i="15"/>
  <c r="G37" i="15"/>
  <c r="G38" i="15"/>
  <c r="I39" i="15" l="1"/>
  <c r="I37" i="15"/>
  <c r="I42" i="15"/>
  <c r="I36" i="15"/>
  <c r="I38" i="15"/>
  <c r="I35" i="15"/>
  <c r="I40" i="15"/>
  <c r="I4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aid +1
haste +1    Shaken -2</t>
        </r>
      </text>
    </comment>
    <comment ref="B10" authorId="0" shapeId="0" xr:uid="{AC4D7C9D-4465-4543-97FE-56BC1FD9E18A}">
      <text>
        <r>
          <rPr>
            <i/>
            <sz val="12"/>
            <color indexed="81"/>
            <rFont val="Times New Roman"/>
            <family val="1"/>
          </rPr>
          <t>Fatigue -2</t>
        </r>
      </text>
    </comment>
    <comment ref="E10" authorId="0" shapeId="0" xr:uid="{6A7766DF-AACD-4F97-AE64-9B9635FF8893}">
      <text>
        <r>
          <rPr>
            <sz val="12"/>
            <color indexed="81"/>
            <rFont val="Times New Roman"/>
            <family val="1"/>
          </rPr>
          <t>See PHB 162</t>
        </r>
      </text>
    </comment>
    <comment ref="B11" authorId="0" shapeId="0" xr:uid="{60B9CB26-6530-4638-A269-CC35DC8C5101}">
      <text>
        <r>
          <rPr>
            <i/>
            <sz val="12"/>
            <color indexed="81"/>
            <rFont val="Times New Roman"/>
            <family val="1"/>
          </rPr>
          <t>Fatigue -2</t>
        </r>
      </text>
    </comment>
    <comment ref="E12" authorId="0" shapeId="0" xr:uid="{00000000-0006-0000-0000-000005000000}">
      <text>
        <r>
          <rPr>
            <sz val="12"/>
            <color indexed="81"/>
            <rFont val="Times New Roman"/>
            <family val="1"/>
          </rPr>
          <t>11 Musteval +
[(6 * 6 Rogue) * 75%] + 
(6 * 1 Con)</t>
        </r>
      </text>
    </comment>
    <comment ref="E13" authorId="0" shapeId="0" xr:uid="{00000000-0006-0000-0000-000006000000}">
      <text>
        <r>
          <rPr>
            <sz val="12"/>
            <color indexed="81"/>
            <rFont val="Times New Roman"/>
            <family val="1"/>
          </rPr>
          <t xml:space="preserve">+1 vs. Traps
+2 </t>
        </r>
        <r>
          <rPr>
            <i/>
            <sz val="12"/>
            <color indexed="81"/>
            <rFont val="Times New Roman"/>
            <family val="1"/>
          </rPr>
          <t>shield of faith
+1 haste</t>
        </r>
      </text>
    </comment>
    <comment ref="E14" authorId="0" shapeId="0" xr:uid="{00000000-0006-0000-0000-000007000000}">
      <text>
        <r>
          <rPr>
            <sz val="12"/>
            <color indexed="81"/>
            <rFont val="Times New Roman"/>
            <family val="1"/>
          </rPr>
          <t>Uncanny Dodge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E8CD7D04-9843-4A5F-BE7F-43172295686C}">
      <text>
        <r>
          <rPr>
            <sz val="12"/>
            <color indexed="81"/>
            <rFont val="Times New Roman"/>
            <family val="1"/>
          </rPr>
          <t>Shaken -2</t>
        </r>
      </text>
    </comment>
    <comment ref="F4" authorId="0" shapeId="0" xr:uid="{2A82937F-9EA0-4A04-9CA5-4B748CEEFABA}">
      <text>
        <r>
          <rPr>
            <sz val="12"/>
            <color indexed="81"/>
            <rFont val="Times New Roman"/>
            <family val="1"/>
          </rPr>
          <t>Shaken -2</t>
        </r>
      </text>
    </comment>
    <comment ref="F5" authorId="0" shapeId="0" xr:uid="{B37C5351-C2F0-4D2A-8A6C-CEC74FCD8E5D}">
      <text>
        <r>
          <rPr>
            <sz val="12"/>
            <color indexed="81"/>
            <rFont val="Times New Roman"/>
            <family val="1"/>
          </rPr>
          <t>Shaken -2</t>
        </r>
      </text>
    </comment>
    <comment ref="F7" authorId="0" shapeId="0" xr:uid="{00000000-0006-0000-0100-000004000000}">
      <text>
        <r>
          <rPr>
            <sz val="12"/>
            <color indexed="81"/>
            <rFont val="Times New Roman"/>
            <family val="1"/>
          </rPr>
          <t>Tumble Synergy</t>
        </r>
      </text>
    </comment>
    <comment ref="F9" authorId="0" shapeId="0" xr:uid="{00000000-0006-0000-0100-000005000000}">
      <text>
        <r>
          <rPr>
            <sz val="12"/>
            <color indexed="81"/>
            <rFont val="Times New Roman"/>
            <family val="1"/>
          </rPr>
          <t>Climbing Kit +2</t>
        </r>
      </text>
    </comment>
    <comment ref="F13" authorId="0" shapeId="0" xr:uid="{00000000-0006-0000-0100-000007000000}">
      <text>
        <r>
          <rPr>
            <sz val="12"/>
            <color indexed="81"/>
            <rFont val="Times New Roman"/>
            <family val="1"/>
          </rPr>
          <t>Synergy +2</t>
        </r>
      </text>
    </comment>
    <comment ref="F14" authorId="0" shapeId="0" xr:uid="{00000000-0006-0000-0100-000008000000}">
      <text>
        <r>
          <rPr>
            <sz val="12"/>
            <color indexed="81"/>
            <rFont val="Times New Roman"/>
            <family val="1"/>
          </rPr>
          <t>MW lockpick</t>
        </r>
      </text>
    </comment>
    <comment ref="F15" authorId="0" shapeId="0" xr:uid="{00000000-0006-0000-0100-000009000000}">
      <text>
        <r>
          <rPr>
            <sz val="12"/>
            <color indexed="81"/>
            <rFont val="Times New Roman"/>
            <family val="1"/>
          </rPr>
          <t xml:space="preserve">+10 when </t>
        </r>
        <r>
          <rPr>
            <i/>
            <sz val="12"/>
            <color indexed="81"/>
            <rFont val="Times New Roman"/>
            <family val="1"/>
          </rPr>
          <t>shapechanged</t>
        </r>
        <r>
          <rPr>
            <sz val="12"/>
            <color indexed="81"/>
            <rFont val="Times New Roman"/>
            <family val="1"/>
          </rPr>
          <t xml:space="preserve">
Bluff Synergy +2</t>
        </r>
      </text>
    </comment>
    <comment ref="F18" authorId="0" shapeId="0" xr:uid="{00000000-0006-0000-0100-00000A000000}">
      <text>
        <r>
          <rPr>
            <sz val="12"/>
            <color indexed="81"/>
            <rFont val="Times New Roman"/>
            <family val="1"/>
          </rPr>
          <t>Synergy +2</t>
        </r>
      </text>
    </comment>
    <comment ref="F21" authorId="0" shapeId="0" xr:uid="{F45478C5-33C1-4E2B-B5F1-1748E13C9F4B}">
      <text>
        <r>
          <rPr>
            <sz val="12"/>
            <color indexed="81"/>
            <rFont val="Times New Roman"/>
            <family val="1"/>
          </rPr>
          <t>Tiny</t>
        </r>
      </text>
    </comment>
    <comment ref="F22" authorId="0" shapeId="0" xr:uid="{00000000-0006-0000-0100-00000B000000}">
      <text>
        <r>
          <rPr>
            <sz val="12"/>
            <color indexed="81"/>
            <rFont val="Times New Roman"/>
            <family val="1"/>
          </rPr>
          <t>Synergy +2</t>
        </r>
      </text>
    </comment>
    <comment ref="F23" authorId="0" shapeId="0" xr:uid="{00000000-0006-0000-0100-00000C000000}">
      <text>
        <r>
          <rPr>
            <sz val="12"/>
            <color indexed="81"/>
            <rFont val="Times New Roman"/>
            <family val="1"/>
          </rPr>
          <t>Tumble Synergy</t>
        </r>
      </text>
    </comment>
    <comment ref="F27" authorId="0" shapeId="0" xr:uid="{69E3D63F-EAF9-4E7F-AD0B-E7CBEB97C44A}">
      <text>
        <r>
          <rPr>
            <sz val="12"/>
            <color indexed="81"/>
            <rFont val="Times New Roman"/>
            <family val="1"/>
          </rPr>
          <t>Tiny</t>
        </r>
      </text>
    </comment>
    <comment ref="F28" authorId="0" shapeId="0" xr:uid="{00000000-0006-0000-0100-00000D000000}">
      <text>
        <r>
          <rPr>
            <sz val="12"/>
            <color indexed="81"/>
            <rFont val="Times New Roman"/>
            <family val="1"/>
          </rPr>
          <t>MW lockpick</t>
        </r>
      </text>
    </comment>
    <comment ref="F34" authorId="0" shapeId="0" xr:uid="{00000000-0006-0000-0100-00000E000000}">
      <text>
        <r>
          <rPr>
            <sz val="12"/>
            <color indexed="81"/>
            <rFont val="Times New Roman"/>
            <family val="1"/>
          </rPr>
          <t>Synergy +2
Deft Hands +2</t>
        </r>
      </text>
    </comment>
    <comment ref="F37" authorId="0" shapeId="0" xr:uid="{00000000-0006-0000-0100-00000F000000}">
      <text>
        <r>
          <rPr>
            <sz val="12"/>
            <color indexed="81"/>
            <rFont val="Times New Roman"/>
            <family val="1"/>
          </rPr>
          <t>Scout’s Headband +2</t>
        </r>
      </text>
    </comment>
    <comment ref="F40" authorId="0" shapeId="0" xr:uid="{00000000-0006-0000-0100-000010000000}">
      <text>
        <r>
          <rPr>
            <sz val="12"/>
            <color indexed="81"/>
            <rFont val="Times New Roman"/>
            <family val="1"/>
          </rPr>
          <t>Acrobat Boots</t>
        </r>
      </text>
    </comment>
    <comment ref="F42" authorId="0" shapeId="0" xr:uid="{00000000-0006-0000-0100-000011000000}">
      <text>
        <r>
          <rPr>
            <sz val="12"/>
            <color indexed="81"/>
            <rFont val="Times New Roman"/>
            <family val="1"/>
          </rPr>
          <t>Deft Hands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C71F97BD-3AF1-4FCC-92CF-6BEEC1339A63}">
      <text>
        <r>
          <rPr>
            <sz val="12"/>
            <color indexed="81"/>
            <rFont val="Times New Roman"/>
            <family val="1"/>
          </rPr>
          <t xml:space="preserve">The powers of fortune truly smile on you more than most mortals.
</t>
        </r>
        <r>
          <rPr>
            <b/>
            <sz val="12"/>
            <color indexed="81"/>
            <rFont val="Times New Roman"/>
            <family val="1"/>
          </rPr>
          <t xml:space="preserve">Prerequisite:  </t>
        </r>
        <r>
          <rPr>
            <sz val="12"/>
            <color indexed="81"/>
            <rFont val="Times New Roman"/>
            <family val="1"/>
          </rPr>
          <t xml:space="preserve">Any luck feat.
</t>
        </r>
        <r>
          <rPr>
            <b/>
            <sz val="12"/>
            <color indexed="81"/>
            <rFont val="Times New Roman"/>
            <family val="1"/>
          </rPr>
          <t xml:space="preserve">Benefit:  </t>
        </r>
        <r>
          <rPr>
            <sz val="12"/>
            <color indexed="81"/>
            <rFont val="Times New Roman"/>
            <family val="1"/>
          </rPr>
          <t>As long as you have at least one luck reroll remaining for the day, you gain a +2 luck bonus on whichever of your saves has the lowest base bonus.  If two or more of your saves tie for the lowest base bonus, choose when you select this feat which save it applies to.
If your base save bonuses later change so that the chosen save no longer has the lowest base bonus, the luck bonus from this feat immediately applies to the save that now has the lowest base bonus.
You gain two luck rerolls per day.
Complete Scoundrel 82</t>
        </r>
      </text>
    </comment>
    <comment ref="A3" authorId="0" shapeId="0" xr:uid="{6F4F7F5C-C188-4767-84FF-0CFE3650B0DB}">
      <text>
        <r>
          <rPr>
            <sz val="12"/>
            <color indexed="81"/>
            <rFont val="Times New Roman"/>
            <family val="1"/>
          </rPr>
          <t xml:space="preserve">You are adept at striking to deal nonlethal damage even with normal weapons.
</t>
        </r>
        <r>
          <rPr>
            <b/>
            <sz val="12"/>
            <color indexed="81"/>
            <rFont val="Times New Roman"/>
            <family val="1"/>
          </rPr>
          <t xml:space="preserve">Benefit: </t>
        </r>
        <r>
          <rPr>
            <sz val="12"/>
            <color indexed="81"/>
            <rFont val="Times New Roman"/>
            <family val="1"/>
          </rPr>
          <t xml:space="preserve">You can use any melee weapon to deal nonlethal damage with no penalty on your attack roll. If you are a rogue,
you can deal nonlethal damage with your sneak attack even if you are using a normal melee weapon. This feat does not allow you to deal nonlethal damage with ranged weapons.
</t>
        </r>
        <r>
          <rPr>
            <b/>
            <sz val="12"/>
            <color indexed="81"/>
            <rFont val="Times New Roman"/>
            <family val="1"/>
          </rPr>
          <t xml:space="preserve">Normal: </t>
        </r>
        <r>
          <rPr>
            <sz val="12"/>
            <color indexed="81"/>
            <rFont val="Times New Roman"/>
            <family val="1"/>
          </rPr>
          <t xml:space="preserve">If you use a melee weapon designed to deal lethal damage to deal nonlethal damage instead, you take a –4 penalty on your attack roll. Rogues normally can only use saps or unarmed strikes to deal nonlethal damage with their sneak attacks.
</t>
        </r>
        <r>
          <rPr>
            <b/>
            <sz val="12"/>
            <color indexed="81"/>
            <rFont val="Times New Roman"/>
            <family val="1"/>
          </rPr>
          <t xml:space="preserve">Special: </t>
        </r>
        <r>
          <rPr>
            <sz val="12"/>
            <color indexed="81"/>
            <rFont val="Times New Roman"/>
            <family val="1"/>
          </rPr>
          <t>A fighter may select Subduing Strike as one of his fighter bonus feats.
Book of Exalted Feats 46</t>
        </r>
      </text>
    </comment>
    <comment ref="C3" authorId="0" shapeId="0" xr:uid="{F7EFB371-9A2F-4B7E-A0D3-F8FFC08C2743}">
      <text>
        <r>
          <rPr>
            <sz val="12"/>
            <color indexed="81"/>
            <rFont val="Times New Roman"/>
            <family val="1"/>
          </rPr>
          <t>Hand crossbow, rapier, sap, shortbow, and short sword.
PHB 50</t>
        </r>
      </text>
    </comment>
    <comment ref="A4" authorId="0" shapeId="0" xr:uid="{E09B924F-E2EE-4B65-9336-0D496836086B}">
      <text>
        <r>
          <rPr>
            <sz val="12"/>
            <color indexed="81"/>
            <rFont val="Times New Roman"/>
            <family val="1"/>
          </rPr>
          <t xml:space="preserve">The winds of fortune guide your hands when you most need luck.
</t>
        </r>
        <r>
          <rPr>
            <b/>
            <sz val="12"/>
            <color indexed="81"/>
            <rFont val="Times New Roman"/>
            <family val="1"/>
          </rPr>
          <t xml:space="preserve">Benefit:  </t>
        </r>
        <r>
          <rPr>
            <sz val="12"/>
            <color indexed="81"/>
            <rFont val="Times New Roman"/>
            <family val="1"/>
          </rPr>
          <t>You can expend one luck reroll as an immediate action to reroll a Disable Device, Open Lock, or Sleight of Hand check.
You gain one luck reroll per day.
Complete Scoundrel 79</t>
        </r>
      </text>
    </comment>
    <comment ref="A5" authorId="0" shapeId="0" xr:uid="{00000000-0006-0000-0300-000005000000}">
      <text>
        <r>
          <rPr>
            <sz val="12"/>
            <color indexed="81"/>
            <rFont val="Times New Roman"/>
            <family val="1"/>
          </rPr>
          <t xml:space="preserve">You have exceptional manual dexterity.
</t>
        </r>
        <r>
          <rPr>
            <b/>
            <sz val="12"/>
            <color indexed="81"/>
            <rFont val="Times New Roman"/>
            <family val="1"/>
          </rPr>
          <t xml:space="preserve">Benefit:  </t>
        </r>
        <r>
          <rPr>
            <sz val="12"/>
            <color indexed="81"/>
            <rFont val="Times New Roman"/>
            <family val="1"/>
          </rPr>
          <t>You get a +2 bonus on all Sleight of Hand checks and
Use Rope checks.
PHB 93</t>
        </r>
      </text>
    </comment>
    <comment ref="A8" authorId="0" shapeId="0" xr:uid="{00000000-0006-0000-0300-000009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9" authorId="0" shapeId="0" xr:uid="{00000000-0006-0000-0300-00000A00000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10" authorId="0" shapeId="0" xr:uid="{00000000-0006-0000-0300-00000B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11" authorId="0" shapeId="0" xr:uid="{00000000-0006-0000-0300-00000C000000}">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A12" authorId="0" shapeId="0" xr:uid="{73EDF355-8958-4AE5-B538-D2284F741EFE}">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3" authorId="0" shapeId="0" xr:uid="{ECBE49D5-744C-4BAC-B9DD-E2A486AD5C11}">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400-000001000000}">
      <text>
        <r>
          <rPr>
            <sz val="12"/>
            <color indexed="81"/>
            <rFont val="Times New Roman"/>
            <family val="1"/>
          </rPr>
          <t>This ability doubles the threat range of a weapon.  For instance, if it is placed on a longsword (which has a normal threat range of 19–20), the keen longsword scores a threat on a 17–20.  Only piercing or slashing weapons can be keen.  (If you roll this property randomly for an inappropriate weapon, reroll.) This benefit doesn’t stack with any other effect that expands the threat range of a weapon (such as the keen edge spell or the Improved Critical feat).
DMG 225</t>
        </r>
      </text>
    </comment>
    <comment ref="D3" authorId="0" shapeId="0" xr:uid="{22F50D41-DC79-4CFC-A0EC-BA460E257A3F}">
      <text>
        <r>
          <rPr>
            <sz val="12"/>
            <color indexed="81"/>
            <rFont val="Times New Roman"/>
            <family val="1"/>
          </rPr>
          <t>Inspire Courage +2</t>
        </r>
      </text>
    </comment>
    <comment ref="D4" authorId="0" shapeId="0" xr:uid="{11C0E786-5728-4FEB-99A0-87E57170A66C}">
      <text>
        <r>
          <rPr>
            <sz val="12"/>
            <color indexed="81"/>
            <rFont val="Times New Roman"/>
            <family val="1"/>
          </rPr>
          <t>Inspire Courage +2</t>
        </r>
      </text>
    </comment>
    <comment ref="D5" authorId="0" shapeId="0" xr:uid="{4E6A793A-5466-414C-840D-15C00B2E2585}">
      <text>
        <r>
          <rPr>
            <sz val="12"/>
            <color indexed="81"/>
            <rFont val="Times New Roman"/>
            <family val="1"/>
          </rPr>
          <t>Inspire Courage +2</t>
        </r>
      </text>
    </comment>
    <comment ref="D6" authorId="0" shapeId="0" xr:uid="{79D89CE6-A51A-4DD7-921C-9668A7E62691}">
      <text>
        <r>
          <rPr>
            <sz val="12"/>
            <color indexed="81"/>
            <rFont val="Times New Roman"/>
            <family val="1"/>
          </rPr>
          <t>Inspire Courage +2</t>
        </r>
      </text>
    </comment>
    <comment ref="K6" authorId="0" shapeId="0" xr:uid="{D375EEF5-768B-4ABB-8711-CF47BA9DBA47}">
      <text>
        <r>
          <rPr>
            <sz val="12"/>
            <color indexed="81"/>
            <rFont val="Times New Roman"/>
            <family val="1"/>
          </rPr>
          <t xml:space="preserve">You are adept at striking to deal nonlethal damage even with normal weapons.
</t>
        </r>
        <r>
          <rPr>
            <b/>
            <sz val="12"/>
            <color indexed="81"/>
            <rFont val="Times New Roman"/>
            <family val="1"/>
          </rPr>
          <t xml:space="preserve">Benefit: </t>
        </r>
        <r>
          <rPr>
            <sz val="12"/>
            <color indexed="81"/>
            <rFont val="Times New Roman"/>
            <family val="1"/>
          </rPr>
          <t xml:space="preserve">You can use any melee weapon to deal nonlethal damage with no penalty on your attack roll. If you are a rogue,
you can deal nonlethal damage with your sneak attack even if you are using a normal melee weapon. This feat does not allow you to deal nonlethal damage with ranged weapons.
</t>
        </r>
        <r>
          <rPr>
            <b/>
            <sz val="12"/>
            <color indexed="81"/>
            <rFont val="Times New Roman"/>
            <family val="1"/>
          </rPr>
          <t xml:space="preserve">Normal: </t>
        </r>
        <r>
          <rPr>
            <sz val="12"/>
            <color indexed="81"/>
            <rFont val="Times New Roman"/>
            <family val="1"/>
          </rPr>
          <t xml:space="preserve">If you use a melee weapon designed to deal lethal damage to deal nonlethal damage instead, you take a –4 penalty on your attack roll. Rogues normally can only use saps or unarmed strikes to deal nonlethal damage with their sneak attacks.
</t>
        </r>
        <r>
          <rPr>
            <b/>
            <sz val="12"/>
            <color indexed="81"/>
            <rFont val="Times New Roman"/>
            <family val="1"/>
          </rPr>
          <t xml:space="preserve">Special: </t>
        </r>
        <r>
          <rPr>
            <sz val="12"/>
            <color indexed="81"/>
            <rFont val="Times New Roman"/>
            <family val="1"/>
          </rPr>
          <t>A fighter may select Subduing Strike as one of his fighter bonus feats.
Book of Exalted Feats 46</t>
        </r>
      </text>
    </comment>
    <comment ref="D7" authorId="0" shapeId="0" xr:uid="{E3AA1F6D-7F9F-4A96-AAED-93B4A0477D93}">
      <text>
        <r>
          <rPr>
            <sz val="12"/>
            <color indexed="81"/>
            <rFont val="Times New Roman"/>
            <family val="1"/>
          </rPr>
          <t>Inspire Courage +2</t>
        </r>
      </text>
    </comment>
    <comment ref="K7" authorId="0" shapeId="0" xr:uid="{A194D84C-8D2C-449C-BE9A-69E9E7D1AAC8}">
      <text>
        <r>
          <rPr>
            <sz val="12"/>
            <color indexed="81"/>
            <rFont val="Times New Roman"/>
            <family val="1"/>
          </rPr>
          <t xml:space="preserve">You are adept at striking to deal nonlethal damage even with normal weapons.
</t>
        </r>
        <r>
          <rPr>
            <b/>
            <sz val="12"/>
            <color indexed="81"/>
            <rFont val="Times New Roman"/>
            <family val="1"/>
          </rPr>
          <t xml:space="preserve">Benefit: </t>
        </r>
        <r>
          <rPr>
            <sz val="12"/>
            <color indexed="81"/>
            <rFont val="Times New Roman"/>
            <family val="1"/>
          </rPr>
          <t xml:space="preserve">You can use any melee weapon to deal nonlethal damage with no penalty on your attack roll. If you are a rogue,
you can deal nonlethal damage with your sneak attack even if you are using a normal melee weapon. This feat does not allow you to deal nonlethal damage with ranged weapons.
</t>
        </r>
        <r>
          <rPr>
            <b/>
            <sz val="12"/>
            <color indexed="81"/>
            <rFont val="Times New Roman"/>
            <family val="1"/>
          </rPr>
          <t xml:space="preserve">Normal: </t>
        </r>
        <r>
          <rPr>
            <sz val="12"/>
            <color indexed="81"/>
            <rFont val="Times New Roman"/>
            <family val="1"/>
          </rPr>
          <t xml:space="preserve">If you use a melee weapon designed to deal lethal damage to deal nonlethal damage instead, you take a –4 penalty on your attack roll. Rogues normally can only use saps or unarmed strikes to deal nonlethal damage with their sneak attacks.
</t>
        </r>
        <r>
          <rPr>
            <b/>
            <sz val="12"/>
            <color indexed="81"/>
            <rFont val="Times New Roman"/>
            <family val="1"/>
          </rPr>
          <t xml:space="preserve">Special: </t>
        </r>
        <r>
          <rPr>
            <sz val="12"/>
            <color indexed="81"/>
            <rFont val="Times New Roman"/>
            <family val="1"/>
          </rPr>
          <t>A fighter may select Subduing Strike as one of his fighter bonus feats.
Book of Exalted Feats 46</t>
        </r>
      </text>
    </comment>
    <comment ref="D8" authorId="0" shapeId="0" xr:uid="{F55A5F43-A3DD-4E0B-8C26-D34E29F96AE7}">
      <text>
        <r>
          <rPr>
            <sz val="12"/>
            <color indexed="81"/>
            <rFont val="Times New Roman"/>
            <family val="1"/>
          </rPr>
          <t>Inspire Courage +2</t>
        </r>
      </text>
    </comment>
    <comment ref="K8" authorId="0" shapeId="0" xr:uid="{8D90866A-6A39-4467-84A0-1CA31FF51678}">
      <text>
        <r>
          <rPr>
            <sz val="12"/>
            <color indexed="81"/>
            <rFont val="Times New Roman"/>
            <family val="1"/>
          </rPr>
          <t xml:space="preserve">You are adept at striking to deal nonlethal damage even with normal weapons.
</t>
        </r>
        <r>
          <rPr>
            <b/>
            <sz val="12"/>
            <color indexed="81"/>
            <rFont val="Times New Roman"/>
            <family val="1"/>
          </rPr>
          <t xml:space="preserve">Benefit: </t>
        </r>
        <r>
          <rPr>
            <sz val="12"/>
            <color indexed="81"/>
            <rFont val="Times New Roman"/>
            <family val="1"/>
          </rPr>
          <t xml:space="preserve">You can use any melee weapon to deal nonlethal damage with no penalty on your attack roll. If you are a rogue,
you can deal nonlethal damage with your sneak attack even if you are using a normal melee weapon. This feat does not allow you to deal nonlethal damage with ranged weapons.
</t>
        </r>
        <r>
          <rPr>
            <b/>
            <sz val="12"/>
            <color indexed="81"/>
            <rFont val="Times New Roman"/>
            <family val="1"/>
          </rPr>
          <t xml:space="preserve">Normal: </t>
        </r>
        <r>
          <rPr>
            <sz val="12"/>
            <color indexed="81"/>
            <rFont val="Times New Roman"/>
            <family val="1"/>
          </rPr>
          <t xml:space="preserve">If you use a melee weapon designed to deal lethal damage to deal nonlethal damage instead, you take a –4 penalty on your attack roll. Rogues normally can only use saps or unarmed strikes to deal nonlethal damage with their sneak attacks.
</t>
        </r>
        <r>
          <rPr>
            <b/>
            <sz val="12"/>
            <color indexed="81"/>
            <rFont val="Times New Roman"/>
            <family val="1"/>
          </rPr>
          <t xml:space="preserve">Special: </t>
        </r>
        <r>
          <rPr>
            <sz val="12"/>
            <color indexed="81"/>
            <rFont val="Times New Roman"/>
            <family val="1"/>
          </rPr>
          <t>A fighter may select Subduing Strike as one of his fighter bonus feats.
Book of Exalted Feats 46</t>
        </r>
      </text>
    </comment>
    <comment ref="D9" authorId="0" shapeId="0" xr:uid="{D46DB6AC-211F-4FC2-BCAC-5311838D17C3}">
      <text>
        <r>
          <rPr>
            <sz val="12"/>
            <color indexed="81"/>
            <rFont val="Times New Roman"/>
            <family val="1"/>
          </rPr>
          <t>Inspire Courage +2</t>
        </r>
      </text>
    </comment>
    <comment ref="D12" authorId="0" shapeId="0" xr:uid="{A84AF8A5-F26A-4B93-8D38-4055A09F81FE}">
      <text>
        <r>
          <rPr>
            <sz val="9"/>
            <color indexed="81"/>
            <rFont val="Tahoma"/>
            <family val="2"/>
          </rPr>
          <t>MW Flechettes (in-house) add +1 to hit)</t>
        </r>
      </text>
    </comment>
    <comment ref="D13" authorId="0" shapeId="0" xr:uid="{857854E7-F762-46AB-817C-5E956B77C349}">
      <text>
        <r>
          <rPr>
            <sz val="9"/>
            <color indexed="81"/>
            <rFont val="Tahoma"/>
            <family val="2"/>
          </rPr>
          <t>MW Flechettes (in-house) add +1 to hit)</t>
        </r>
      </text>
    </comment>
    <comment ref="D14" authorId="0" shapeId="0" xr:uid="{27874D50-D725-4544-B96B-527C99F6C6AE}">
      <text>
        <r>
          <rPr>
            <sz val="9"/>
            <color indexed="81"/>
            <rFont val="Tahoma"/>
            <family val="2"/>
          </rPr>
          <t>MW Flechettes (in-house) add +1 to hit)</t>
        </r>
      </text>
    </comment>
    <comment ref="D17" authorId="0" shapeId="0" xr:uid="{00000000-0006-0000-0400-000005000000}">
      <text>
        <r>
          <rPr>
            <sz val="12"/>
            <color indexed="81"/>
            <rFont val="Times New Roman"/>
            <family val="1"/>
          </rPr>
          <t>Balance, Climb, Escape Artist, Hide, Jump, Move Silently, Sleight of Hand, Tumble.</t>
        </r>
      </text>
    </comment>
    <comment ref="A19" authorId="0" shapeId="0" xr:uid="{B1FD957D-E7A6-4E91-BED5-EC3BC2ED8CA1}">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Armor or shield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Several images of stylized anchors cover this strangely dense-looking armor.
When wearing armor or a shield that has this property, you are diffi cult to move from your position during a fi ght. You gain a +5 enhancement bonus on any ability check to resist a bull rush, overrun, or trip attack.
MIC 6</t>
        </r>
      </text>
    </comment>
    <comment ref="G27" authorId="0" shapeId="0" xr:uid="{00000000-0006-0000-0400-000009000000}">
      <text>
        <r>
          <rPr>
            <b/>
            <sz val="12"/>
            <color indexed="81"/>
            <rFont val="Times New Roman"/>
            <family val="1"/>
          </rPr>
          <t xml:space="preserve">Price (Item Level):  </t>
        </r>
        <r>
          <rPr>
            <sz val="12"/>
            <color indexed="81"/>
            <rFont val="Times New Roman"/>
            <family val="1"/>
          </rPr>
          <t xml:space="preserve">See table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See table
</t>
        </r>
        <r>
          <rPr>
            <b/>
            <sz val="12"/>
            <color indexed="81"/>
            <rFont val="Times New Roman"/>
            <family val="1"/>
          </rPr>
          <t xml:space="preserve">Aura:  </t>
        </r>
        <r>
          <rPr>
            <sz val="12"/>
            <color indexed="81"/>
            <rFont val="Times New Roman"/>
            <family val="1"/>
          </rPr>
          <t xml:space="preserve">Faint; (see table) school of spell contained in eternal wand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long, tapered wand ends with a pink crystal containing red swirls.
An eternal wand holds a single arcane spell of 3rd level or lower, determined during creation.  Any character who can cast arcane spells can activate the wand to use the spell contained in it, regardless of whether the spell appears on his class spell list.
An eternal wand functions two times per day.
</t>
        </r>
        <r>
          <rPr>
            <b/>
            <sz val="12"/>
            <color indexed="81"/>
            <rFont val="Times New Roman"/>
            <family val="1"/>
          </rPr>
          <t xml:space="preserve">Lore:  </t>
        </r>
        <r>
          <rPr>
            <sz val="12"/>
            <color indexed="81"/>
            <rFont val="Times New Roman"/>
            <family val="1"/>
          </rPr>
          <t>During the final years of the last great war, the artificers and wizards of a powerful noble family perfected a new form of wand built around a crystal shard (Knowledge [history] DC 10).
The development of the eternal wand allowed lesser arcanists to take the place of war wizards during the final days of the last great war, supplementing their passive spells with more aggressive magic (Knowledge [history] DC 15).
While the artificers have been searching for ways to streamline the process of creation, the technique is still in its infancy.  Currently, the wands are rarely seen except in military units, but a few soldiers who served in the war brought their eternal wands of magic missile home from the front lines (Knowledge [history] DC 20).
MIC 159</t>
        </r>
      </text>
    </comment>
    <comment ref="G28" authorId="0" shapeId="0" xr:uid="{00000000-0006-0000-0400-00000A000000}">
      <text>
        <r>
          <rPr>
            <b/>
            <sz val="12"/>
            <color indexed="81"/>
            <rFont val="Times New Roman"/>
            <family val="1"/>
          </rPr>
          <t xml:space="preserve">Price (Item Level):  </t>
        </r>
        <r>
          <rPr>
            <sz val="12"/>
            <color indexed="81"/>
            <rFont val="Times New Roman"/>
            <family val="1"/>
          </rPr>
          <t xml:space="preserve">See table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See table
</t>
        </r>
        <r>
          <rPr>
            <b/>
            <sz val="12"/>
            <color indexed="81"/>
            <rFont val="Times New Roman"/>
            <family val="1"/>
          </rPr>
          <t xml:space="preserve">Aura:  </t>
        </r>
        <r>
          <rPr>
            <sz val="12"/>
            <color indexed="81"/>
            <rFont val="Times New Roman"/>
            <family val="1"/>
          </rPr>
          <t xml:space="preserve">Faint; (see table) school of spell contained in eternal wand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long, tapered wand ends with a pink crystal containing red swirls.
An eternal wand holds a single arcane spell of 3rd level or lower, determined during creation.  Any character who can cast arcane spells can activate the wand to use the spell contained in it, regardless of whether the spell appears on his class spell list.
An eternal wand functions two times per day.
</t>
        </r>
        <r>
          <rPr>
            <b/>
            <sz val="12"/>
            <color indexed="81"/>
            <rFont val="Times New Roman"/>
            <family val="1"/>
          </rPr>
          <t xml:space="preserve">Lore:  </t>
        </r>
        <r>
          <rPr>
            <sz val="12"/>
            <color indexed="81"/>
            <rFont val="Times New Roman"/>
            <family val="1"/>
          </rPr>
          <t>During the final years of the last great war, the artificers and wizards of a powerful noble family perfected a new form of wand built around a crystal shard (Knowledge [history] DC 10).
The development of the eternal wand allowed lesser arcanists to take the place of war wizards during the final days of the last great war, supplementing their passive spells with more aggressive magic (Knowledge [history] DC 15).
While the artificers have been searching for ways to streamline the process of creation, the technique is still in its infancy.  Currently, the wands are rarely seen except in military units, but a few soldiers who served in the war brought their eternal wands of magic missile home from the front lines (Knowledge [history] DC 20).
MIC 159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500-000004000000}">
      <text>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Caster Level:</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abjuration
</t>
        </r>
        <r>
          <rPr>
            <b/>
            <sz val="12"/>
            <color indexed="81"/>
            <rFont val="Times New Roman"/>
            <family val="1"/>
          </rPr>
          <t xml:space="preserve">Activation:  </t>
        </r>
        <r>
          <rPr>
            <sz val="12"/>
            <color indexed="81"/>
            <rFont val="Times New Roman"/>
            <family val="1"/>
          </rPr>
          <t xml:space="preserve">— and immediate (command)
This circular, coin-shaped talisman is half flame red and half ice blue.
An enduring amulet protects you from extremes of temperature, as if by the endure elements spell.  This is a continuous effect and requires no activation.
In addition, the amulet has 3 charges, which are renewed each day at dawn.
Spending 1 or more charges grants you resistance to cold and fire for 1 round.
</t>
        </r>
        <r>
          <rPr>
            <b/>
            <sz val="12"/>
            <color indexed="81"/>
            <rFont val="Times New Roman"/>
            <family val="1"/>
          </rPr>
          <t xml:space="preserve">1 charge:  </t>
        </r>
        <r>
          <rPr>
            <sz val="12"/>
            <color indexed="81"/>
            <rFont val="Times New Roman"/>
            <family val="1"/>
          </rPr>
          <t xml:space="preserve">Resistance to cold 10 and fire 10.
</t>
        </r>
        <r>
          <rPr>
            <b/>
            <sz val="12"/>
            <color indexed="81"/>
            <rFont val="Times New Roman"/>
            <family val="1"/>
          </rPr>
          <t xml:space="preserve">2 charges:  </t>
        </r>
        <r>
          <rPr>
            <sz val="12"/>
            <color indexed="81"/>
            <rFont val="Times New Roman"/>
            <family val="1"/>
          </rPr>
          <t xml:space="preserve">Resistance to cold 15 and fire 15.
</t>
        </r>
        <r>
          <rPr>
            <b/>
            <sz val="12"/>
            <color indexed="81"/>
            <rFont val="Times New Roman"/>
            <family val="1"/>
          </rPr>
          <t xml:space="preserve">3 charges:  </t>
        </r>
        <r>
          <rPr>
            <sz val="12"/>
            <color indexed="81"/>
            <rFont val="Times New Roman"/>
            <family val="1"/>
          </rPr>
          <t>Resistance to cold 20 and fire 20.
MIC 97</t>
        </r>
      </text>
    </comment>
    <comment ref="A5" authorId="0" shapeId="0" xr:uid="{00000000-0006-0000-0500-000008000000}">
      <text>
        <r>
          <rPr>
            <b/>
            <sz val="12"/>
            <color indexed="81"/>
            <rFont val="Times New Roman"/>
            <family val="1"/>
          </rPr>
          <t xml:space="preserve">Price (Item Level): </t>
        </r>
        <r>
          <rPr>
            <sz val="12"/>
            <color indexed="81"/>
            <rFont val="Times New Roman"/>
            <family val="1"/>
          </rPr>
          <t xml:space="preserve">900 gp (4th)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1 lb.
Multiple brass buckles run from the ankle to the top of the calf on these fi nely crafted, black leather boots.
A pair of acrobat boots grants you a +2 competence bonus on Tumble checks.
This is a continuous effect and requires no activation.
In addition, these boots have 3 charges, which are renewed each day at dawn.
Spending 1 or more charges grants you an enhancement bonus to your speed for 1 round.
</t>
        </r>
        <r>
          <rPr>
            <b/>
            <sz val="12"/>
            <color indexed="81"/>
            <rFont val="Times New Roman"/>
            <family val="1"/>
          </rPr>
          <t xml:space="preserve">1 charge: </t>
        </r>
        <r>
          <rPr>
            <sz val="12"/>
            <color indexed="81"/>
            <rFont val="Times New Roman"/>
            <family val="1"/>
          </rPr>
          <t xml:space="preserve">+10-foot enhancement bonus.
</t>
        </r>
        <r>
          <rPr>
            <b/>
            <sz val="12"/>
            <color indexed="81"/>
            <rFont val="Times New Roman"/>
            <family val="1"/>
          </rPr>
          <t xml:space="preserve">2 charges: </t>
        </r>
        <r>
          <rPr>
            <sz val="12"/>
            <color indexed="81"/>
            <rFont val="Times New Roman"/>
            <family val="1"/>
          </rPr>
          <t xml:space="preserve">+15-foot enhancement bonus.
</t>
        </r>
        <r>
          <rPr>
            <b/>
            <sz val="12"/>
            <color indexed="81"/>
            <rFont val="Times New Roman"/>
            <family val="1"/>
          </rPr>
          <t xml:space="preserve">3 charges: </t>
        </r>
        <r>
          <rPr>
            <sz val="12"/>
            <color indexed="81"/>
            <rFont val="Times New Roman"/>
            <family val="1"/>
          </rPr>
          <t>+20-foot enhancement bonus.
MIC 67</t>
        </r>
      </text>
    </comment>
  </commentList>
</comments>
</file>

<file path=xl/sharedStrings.xml><?xml version="1.0" encoding="utf-8"?>
<sst xmlns="http://schemas.openxmlformats.org/spreadsheetml/2006/main" count="394" uniqueCount="222">
  <si>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</si>
  <si>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</si>
  <si>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</si>
  <si>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</si>
  <si>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</si>
  <si>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</si>
  <si>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</si>
  <si>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</si>
  <si>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</si>
  <si>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</si>
  <si>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</si>
  <si>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</si>
  <si>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</si>
  <si>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</si>
  <si>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</si>
  <si>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</si>
  <si>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</si>
  <si>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</si>
  <si>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</si>
  <si>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</si>
  <si>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</si>
  <si>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</si>
  <si>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</si>
  <si>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</si>
  <si>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</si>
  <si>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</si>
  <si>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</si>
  <si>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</si>
  <si>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</si>
  <si>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</si>
  <si>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</si>
  <si>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</si>
  <si>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</si>
  <si>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</si>
  <si>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</si>
  <si>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</si>
  <si>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</si>
  <si>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</si>
  <si>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</si>
  <si>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</si>
  <si>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</si>
  <si>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</si>
  <si>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</si>
  <si>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</si>
  <si>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</si>
  <si>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</si>
  <si>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</si>
  <si>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</si>
  <si>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</si>
  <si>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</si>
  <si>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</si>
  <si>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</si>
  <si>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</si>
  <si>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</si>
  <si>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</si>
  <si>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</si>
  <si>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</si>
  <si>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</si>
  <si>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</si>
  <si>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</si>
  <si>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</si>
  <si>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</si>
  <si>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Check</t>
  </si>
  <si>
    <t>Arcane</t>
  </si>
  <si>
    <t>Speed</t>
  </si>
  <si>
    <t>Speak Language</t>
  </si>
  <si>
    <t>Sleight of Hand</t>
  </si>
  <si>
    <t>Survival</t>
  </si>
  <si>
    <t>Weapon Proficiencies</t>
  </si>
  <si>
    <t>Atk</t>
  </si>
  <si>
    <t>1</t>
  </si>
  <si>
    <t>Feats</t>
  </si>
  <si>
    <t>Rogue</t>
  </si>
  <si>
    <t>4</t>
  </si>
  <si>
    <t>Evasion</t>
  </si>
  <si>
    <t>Trapfinding</t>
  </si>
  <si>
    <t>2</t>
  </si>
  <si>
    <t>+2 to Climb</t>
  </si>
  <si>
    <t>+2 to Disable Device &amp; Open Locks</t>
  </si>
  <si>
    <t>Roll</t>
  </si>
  <si>
    <t>Simple Weapons</t>
  </si>
  <si>
    <t>Perform:  (type)</t>
  </si>
  <si>
    <t>Profession:  (type)</t>
  </si>
  <si>
    <t>Rogue 1</t>
  </si>
  <si>
    <t>Rogue 2</t>
  </si>
  <si>
    <t>Light Armor</t>
  </si>
  <si>
    <t>Rogue 3</t>
  </si>
  <si>
    <t>Craft:  Alchemy</t>
  </si>
  <si>
    <t>19-20, x2</t>
  </si>
  <si>
    <t>Prcg/Slash</t>
  </si>
  <si>
    <t>Smokesticks</t>
  </si>
  <si>
    <t>Skill/Save</t>
  </si>
  <si>
    <t>Silk Rope</t>
  </si>
  <si>
    <t>Whetstone</t>
  </si>
  <si>
    <t>Piercing</t>
  </si>
  <si>
    <t>x2</t>
  </si>
  <si>
    <t>Belt with 6 Pouches</t>
  </si>
  <si>
    <t>Oil Flask</t>
  </si>
  <si>
    <t>Map Case</t>
  </si>
  <si>
    <t>waterproof</t>
  </si>
  <si>
    <t>100’</t>
  </si>
  <si>
    <t>Climber’s Kit</t>
  </si>
  <si>
    <t>Rogue Weapons</t>
  </si>
  <si>
    <t>Thrown Weapon</t>
  </si>
  <si>
    <t>Rogue 4</t>
  </si>
  <si>
    <t>Thieves’ Tools, Masterwork</t>
  </si>
  <si>
    <t>Equipment Carried</t>
  </si>
  <si>
    <t>Soap Bar</t>
  </si>
  <si>
    <t>-</t>
  </si>
  <si>
    <t>Knowledge:  Archit. &amp; Engin.</t>
  </si>
  <si>
    <t>Value</t>
  </si>
  <si>
    <t>Backpack</t>
  </si>
  <si>
    <t>Scrolls and Potions</t>
  </si>
  <si>
    <t>Level</t>
  </si>
  <si>
    <t>CLev</t>
  </si>
  <si>
    <t>Total Equity:</t>
  </si>
  <si>
    <t>6th:  Deft Hands</t>
  </si>
  <si>
    <t>Rogue 5</t>
  </si>
  <si>
    <t>Lucky Fingers</t>
  </si>
  <si>
    <t>Weapon Finesse</t>
  </si>
  <si>
    <t>Enduring Amulet</t>
  </si>
  <si>
    <t>+2 synergy bonus to find secret doors, etc.</t>
  </si>
  <si>
    <t>Acrobat Boots</t>
  </si>
  <si>
    <t>Rogue 6</t>
  </si>
  <si>
    <t>Uncanny Dodge</t>
  </si>
  <si>
    <r>
      <t xml:space="preserve">Eternal Wand of </t>
    </r>
    <r>
      <rPr>
        <i/>
        <sz val="12"/>
        <rFont val="Times New Roman"/>
        <family val="1"/>
      </rPr>
      <t>Mage Hand</t>
    </r>
  </si>
  <si>
    <r>
      <t xml:space="preserve">Eternal Wand of </t>
    </r>
    <r>
      <rPr>
        <i/>
        <sz val="12"/>
        <rFont val="Times New Roman"/>
        <family val="1"/>
      </rPr>
      <t>Obscuring Mist</t>
    </r>
  </si>
  <si>
    <r>
      <t xml:space="preserve">Wand of </t>
    </r>
    <r>
      <rPr>
        <i/>
        <sz val="12"/>
        <rFont val="Times New Roman"/>
        <family val="1"/>
      </rPr>
      <t>Greater Invisibility</t>
    </r>
  </si>
  <si>
    <t>Properties</t>
  </si>
  <si>
    <t>2x/day; Spellcraft DC 15</t>
  </si>
  <si>
    <r>
      <t xml:space="preserve">Short Sword, </t>
    </r>
    <r>
      <rPr>
        <i/>
        <sz val="12"/>
        <rFont val="Times New Roman"/>
        <family val="1"/>
      </rPr>
      <t>haste</t>
    </r>
  </si>
  <si>
    <t>Short Sword, 2nd Attack</t>
  </si>
  <si>
    <t>17-20, x2</t>
  </si>
  <si>
    <r>
      <t xml:space="preserve">+4 vs. Traps, +1 </t>
    </r>
    <r>
      <rPr>
        <i/>
        <sz val="13"/>
        <rFont val="Times New Roman"/>
        <family val="1"/>
      </rPr>
      <t>haste</t>
    </r>
  </si>
  <si>
    <t>Blowgun, 2nd Attack</t>
  </si>
  <si>
    <t>10’</t>
  </si>
  <si>
    <t>Constitution</t>
  </si>
  <si>
    <t>Dexterity</t>
  </si>
  <si>
    <t>Wisdom</t>
  </si>
  <si>
    <t>Intelligence</t>
  </si>
  <si>
    <t>Charisma</t>
  </si>
  <si>
    <t>Strength</t>
  </si>
  <si>
    <t>Race</t>
  </si>
  <si>
    <t>Class</t>
  </si>
  <si>
    <t>Region</t>
  </si>
  <si>
    <t>Deity</t>
  </si>
  <si>
    <t>Alignment</t>
  </si>
  <si>
    <t>Attack Bonus</t>
  </si>
  <si>
    <t>Initiative</t>
  </si>
  <si>
    <t>Sex</t>
  </si>
  <si>
    <t>Age</t>
  </si>
  <si>
    <t>Height</t>
  </si>
  <si>
    <t>Weight</t>
  </si>
  <si>
    <t>Base Speed</t>
  </si>
  <si>
    <t>Actual Speed</t>
  </si>
  <si>
    <t>Lb. Capacity</t>
  </si>
  <si>
    <t>Lb. Carried</t>
  </si>
  <si>
    <t>Hit Points</t>
  </si>
  <si>
    <t>Touch AC</t>
  </si>
  <si>
    <t>FF AC</t>
  </si>
  <si>
    <t>AC</t>
  </si>
  <si>
    <t>NPC</t>
  </si>
  <si>
    <t>Class Features</t>
  </si>
  <si>
    <t>Racial Abilities</t>
  </si>
  <si>
    <t>1’ 7”</t>
  </si>
  <si>
    <t>10 lbs</t>
  </si>
  <si>
    <t>+4</t>
  </si>
  <si>
    <t>Eager Sap, 2nd Attack</t>
  </si>
  <si>
    <t>Resistance Acid (10) &amp; Cold (10)</t>
  </si>
  <si>
    <t>Immunity to Petrification &amp; Electricity</t>
  </si>
  <si>
    <t>Common, Elven, Dwarven</t>
  </si>
  <si>
    <t>Focused Movement</t>
  </si>
  <si>
    <t>Tongues</t>
  </si>
  <si>
    <t>8</t>
  </si>
  <si>
    <t>Bite</t>
  </si>
  <si>
    <t>1d3-2</t>
  </si>
  <si>
    <t>Musteval</t>
  </si>
  <si>
    <t>Male</t>
  </si>
  <si>
    <t>Knowledge:  The Planes</t>
  </si>
  <si>
    <t>Racial Skills</t>
  </si>
  <si>
    <t>SF</t>
  </si>
  <si>
    <t>DC</t>
  </si>
  <si>
    <t>Cast?</t>
  </si>
  <si>
    <t>Musteval Spells (CL 3)</t>
  </si>
  <si>
    <t>Detect Evil</t>
  </si>
  <si>
    <t>Detect Magic</t>
  </si>
  <si>
    <t>Disguise Self</t>
  </si>
  <si>
    <t>Magic Missile</t>
  </si>
  <si>
    <t>Protection from Evil (self only)</t>
  </si>
  <si>
    <t>Invisibility (1/day, DC13)</t>
  </si>
  <si>
    <t>See Invisibility</t>
  </si>
  <si>
    <t>+3d6 Sneak</t>
  </si>
  <si>
    <t>Solstice</t>
  </si>
  <si>
    <t>Equinox</t>
  </si>
  <si>
    <t>Elysium</t>
  </si>
  <si>
    <t>Mayaheine</t>
  </si>
  <si>
    <t>Chaotic Good</t>
  </si>
  <si>
    <r>
      <t>12</t>
    </r>
    <r>
      <rPr>
        <sz val="13"/>
        <rFont val="Times New Roman"/>
        <family val="1"/>
      </rPr>
      <t>/</t>
    </r>
    <r>
      <rPr>
        <sz val="13"/>
        <color indexed="51"/>
        <rFont val="Times New Roman"/>
        <family val="1"/>
      </rPr>
      <t>23</t>
    </r>
    <r>
      <rPr>
        <sz val="13"/>
        <rFont val="Times New Roman"/>
        <family val="1"/>
      </rPr>
      <t>/</t>
    </r>
    <r>
      <rPr>
        <sz val="13"/>
        <color indexed="10"/>
        <rFont val="Times New Roman"/>
        <family val="1"/>
      </rPr>
      <t>35</t>
    </r>
  </si>
  <si>
    <t>30’/10’ b</t>
  </si>
  <si>
    <t>Keen Short Sword</t>
  </si>
  <si>
    <t>1 nl</t>
  </si>
  <si>
    <t>MW Sap</t>
  </si>
  <si>
    <t>Leather Armor</t>
  </si>
  <si>
    <t>30’</t>
  </si>
  <si>
    <t>Sneak Attack 3d6</t>
  </si>
  <si>
    <t>MW Blowgun</t>
  </si>
  <si>
    <t>+2 vs. Sleep/Charm, +2 if Lucky</t>
  </si>
  <si>
    <r>
      <t xml:space="preserve">Blowgun, </t>
    </r>
    <r>
      <rPr>
        <i/>
        <sz val="12"/>
        <rFont val="Times New Roman"/>
        <family val="1"/>
      </rPr>
      <t>haste</t>
    </r>
  </si>
  <si>
    <t>Anchoring Buckler</t>
  </si>
  <si>
    <r>
      <t xml:space="preserve">Wand of </t>
    </r>
    <r>
      <rPr>
        <i/>
        <sz val="12"/>
        <rFont val="Times New Roman"/>
        <family val="1"/>
      </rPr>
      <t>Cure Moderate Wounds</t>
    </r>
  </si>
  <si>
    <t>Gold Coins</t>
  </si>
  <si>
    <t>Copper Coins</t>
  </si>
  <si>
    <t>Silver Coins</t>
  </si>
  <si>
    <t>Spell</t>
  </si>
  <si>
    <t>@ Will</t>
  </si>
  <si>
    <r>
      <t xml:space="preserve">Eager Sap, </t>
    </r>
    <r>
      <rPr>
        <i/>
        <sz val="12"/>
        <rFont val="Times New Roman"/>
        <family val="1"/>
      </rPr>
      <t>haste</t>
    </r>
  </si>
  <si>
    <t>q</t>
  </si>
  <si>
    <t>1st:  Unbelievable Luck</t>
  </si>
  <si>
    <t>3rd:  Lucky Fingers</t>
  </si>
  <si>
    <t>MW Flechettes</t>
  </si>
  <si>
    <t>Regional:  Subduing Strike</t>
  </si>
  <si>
    <t>+3d6 Sneak, Nonlethal no penalty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</si>
</sst>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0\ [$₲-474]"/>
  </numFmts>
  <fonts count="62"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b/>
      <sz val="12"/>
      <color indexed="81"/>
      <name val="Times New Roman"/>
      <family val="1"/>
    </font>
    <font>
      <b/>
      <sz val="13"/>
      <color rgb="FFFF00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i/>
      <sz val="22"/>
      <color theme="7" tint="0.39997558519241921"/>
      <name val="Times New Roman"/>
      <family val="1"/>
    </font>
    <font>
      <b/>
      <sz val="12"/>
      <color rgb="FFFFC000"/>
      <name val="Times New Roman"/>
      <family val="1"/>
    </font>
    <font>
      <sz val="12"/>
      <color rgb="FFFFC000"/>
      <name val="Times New Roman"/>
      <family val="1"/>
    </font>
    <font>
      <i/>
      <sz val="12"/>
      <color indexed="81"/>
      <name val="Times New Roman"/>
      <family val="1"/>
    </font>
    <font>
      <i/>
      <sz val="16"/>
      <color indexed="53"/>
      <name val="Times New Roman"/>
      <family val="1"/>
    </font>
    <font>
      <i/>
      <sz val="16"/>
      <color indexed="57"/>
      <name val="Times New Roman"/>
      <family val="1"/>
    </font>
    <font>
      <sz val="12"/>
      <name val="Times New Roman"/>
      <family val="1"/>
    </font>
    <font>
      <i/>
      <sz val="22"/>
      <color theme="6" tint="-0.249977111117893"/>
      <name val="Times New Roman"/>
      <family val="1"/>
    </font>
    <font>
      <sz val="13"/>
      <color theme="1" tint="0.34998626667073579"/>
      <name val="Times New Roman"/>
      <family val="1"/>
    </font>
    <font>
      <i/>
      <sz val="12"/>
      <name val="Times New Roman"/>
      <family val="1"/>
    </font>
    <font>
      <i/>
      <sz val="16"/>
      <color indexed="10"/>
      <name val="Times New Roman"/>
      <family val="1"/>
    </font>
    <font>
      <i/>
      <sz val="13"/>
      <name val="Times New Roman"/>
      <family val="1"/>
    </font>
    <font>
      <sz val="12"/>
      <color rgb="FFFF0000"/>
      <name val="Times New Roman"/>
      <family val="1"/>
    </font>
    <font>
      <i/>
      <sz val="16"/>
      <name val="Times New Roman"/>
      <family val="1"/>
    </font>
    <font>
      <b/>
      <sz val="13"/>
      <color theme="0"/>
      <name val="Times New Roman"/>
      <family val="1"/>
    </font>
    <font>
      <sz val="13"/>
      <name val="Wingdings"/>
      <charset val="2"/>
    </font>
    <font>
      <sz val="9"/>
      <color indexed="81"/>
      <name val="Tahoma"/>
      <family val="2"/>
    </font>
    <font>
      <b/>
      <sz val="13"/>
      <color rgb="FF00B0F0"/>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66FFFF"/>
        <bgColor indexed="64"/>
      </patternFill>
    </fill>
    <fill>
      <patternFill patternType="solid">
        <fgColor theme="1"/>
        <bgColor indexed="64"/>
      </patternFill>
    </fill>
    <fill>
      <patternFill patternType="solid">
        <fgColor rgb="FFFFFF00"/>
        <bgColor indexed="64"/>
      </patternFill>
    </fill>
    <fill>
      <patternFill patternType="solid">
        <fgColor rgb="FF33CC33"/>
        <bgColor indexed="64"/>
      </patternFill>
    </fill>
    <fill>
      <patternFill patternType="solid">
        <fgColor rgb="FFCC66FF"/>
        <bgColor indexed="64"/>
      </patternFill>
    </fill>
  </fills>
  <borders count="11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indexed="64"/>
      </right>
      <top/>
      <bottom style="thin">
        <color indexed="64"/>
      </bottom>
      <diagonal/>
    </border>
    <border>
      <left/>
      <right style="thin">
        <color indexed="64"/>
      </right>
      <top/>
      <bottom style="double">
        <color indexed="64"/>
      </bottom>
      <diagonal/>
    </border>
    <border>
      <left style="double">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medium">
        <color auto="1"/>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s>
  <cellStyleXfs count="10">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9" fontId="1" fillId="0" borderId="0" applyFont="0" applyFill="0" applyBorder="0" applyAlignment="0" applyProtection="0"/>
    <xf numFmtId="0" fontId="1" fillId="0" borderId="0"/>
    <xf numFmtId="43" fontId="50" fillId="0" borderId="0" applyFont="0" applyFill="0" applyBorder="0" applyAlignment="0" applyProtection="0"/>
  </cellStyleXfs>
  <cellXfs count="400">
    <xf numFmtId="0" fontId="0" fillId="0" borderId="0" xfId="0"/>
    <xf numFmtId="0" fontId="4" fillId="0" borderId="0" xfId="0" applyFont="1"/>
    <xf numFmtId="0" fontId="5" fillId="0" borderId="1" xfId="0" applyFont="1" applyBorder="1" applyAlignment="1">
      <alignment horizontal="right"/>
    </xf>
    <xf numFmtId="0" fontId="6" fillId="0" borderId="0" xfId="0" applyFont="1" applyAlignment="1">
      <alignment horizontal="left"/>
    </xf>
    <xf numFmtId="0" fontId="5" fillId="0" borderId="0" xfId="0" applyFont="1" applyAlignment="1">
      <alignment horizontal="right"/>
    </xf>
    <xf numFmtId="0" fontId="6" fillId="0" borderId="2" xfId="0" applyFont="1" applyBorder="1" applyAlignment="1">
      <alignment horizontal="left"/>
    </xf>
    <xf numFmtId="0" fontId="12" fillId="2" borderId="4" xfId="0" applyFont="1" applyFill="1" applyBorder="1" applyAlignment="1">
      <alignment horizontal="right"/>
    </xf>
    <xf numFmtId="0" fontId="2" fillId="0" borderId="1" xfId="0" applyFont="1" applyBorder="1"/>
    <xf numFmtId="0" fontId="14" fillId="0" borderId="0" xfId="0" applyFont="1"/>
    <xf numFmtId="0" fontId="15" fillId="0" borderId="0" xfId="0" applyFont="1"/>
    <xf numFmtId="0" fontId="15" fillId="0" borderId="2" xfId="0" applyFont="1" applyBorder="1"/>
    <xf numFmtId="0" fontId="6" fillId="0" borderId="5" xfId="0" applyFont="1" applyBorder="1"/>
    <xf numFmtId="0" fontId="6" fillId="0" borderId="6" xfId="0" applyFont="1" applyBorder="1"/>
    <xf numFmtId="0" fontId="6" fillId="0" borderId="7" xfId="0" applyFont="1" applyBorder="1"/>
    <xf numFmtId="0" fontId="3" fillId="0" borderId="0" xfId="0" applyFont="1"/>
    <xf numFmtId="0" fontId="6" fillId="0" borderId="0" xfId="0" applyFont="1"/>
    <xf numFmtId="0" fontId="6" fillId="0" borderId="8" xfId="0" applyFont="1" applyBorder="1"/>
    <xf numFmtId="0" fontId="6" fillId="0" borderId="9" xfId="0" applyFont="1" applyBorder="1"/>
    <xf numFmtId="0" fontId="6" fillId="0" borderId="10" xfId="0" applyFont="1" applyBorder="1"/>
    <xf numFmtId="0" fontId="3" fillId="0" borderId="0" xfId="0" applyFont="1" applyAlignment="1">
      <alignment horizontal="right"/>
    </xf>
    <xf numFmtId="0" fontId="4" fillId="0" borderId="0" xfId="0" applyFont="1" applyAlignment="1">
      <alignment horizontal="left"/>
    </xf>
    <xf numFmtId="0" fontId="15" fillId="0" borderId="0" xfId="0" applyFont="1" applyAlignment="1">
      <alignment horizontal="centerContinuous"/>
    </xf>
    <xf numFmtId="0" fontId="2" fillId="0" borderId="0" xfId="0" applyFont="1" applyAlignment="1">
      <alignment horizontal="centerContinuous"/>
    </xf>
    <xf numFmtId="0" fontId="4" fillId="0" borderId="0" xfId="0" applyFont="1" applyAlignment="1">
      <alignment horizontal="center"/>
    </xf>
    <xf numFmtId="164" fontId="4" fillId="0" borderId="0" xfId="0" applyNumberFormat="1" applyFont="1" applyAlignment="1">
      <alignment horizontal="center"/>
    </xf>
    <xf numFmtId="0" fontId="21" fillId="2" borderId="4" xfId="0" applyFont="1" applyFill="1" applyBorder="1" applyAlignment="1">
      <alignment horizontal="right"/>
    </xf>
    <xf numFmtId="0" fontId="7" fillId="2" borderId="13" xfId="0" applyFont="1" applyFill="1" applyBorder="1" applyAlignment="1">
      <alignment horizontal="right"/>
    </xf>
    <xf numFmtId="0" fontId="13" fillId="2" borderId="15" xfId="0" applyFont="1" applyFill="1" applyBorder="1" applyAlignment="1">
      <alignment horizontal="right"/>
    </xf>
    <xf numFmtId="0" fontId="24" fillId="0" borderId="22" xfId="0" applyFont="1" applyBorder="1" applyAlignment="1">
      <alignment horizontal="centerContinuous"/>
    </xf>
    <xf numFmtId="0" fontId="6" fillId="0" borderId="0" xfId="0" applyFont="1" applyAlignment="1">
      <alignment horizontal="centerContinuous"/>
    </xf>
    <xf numFmtId="49" fontId="25" fillId="0" borderId="3" xfId="0" applyNumberFormat="1" applyFont="1" applyBorder="1" applyAlignment="1">
      <alignment horizontal="center"/>
    </xf>
    <xf numFmtId="49" fontId="25" fillId="0" borderId="23" xfId="0" applyNumberFormat="1" applyFont="1" applyBorder="1" applyAlignment="1">
      <alignment horizontal="center"/>
    </xf>
    <xf numFmtId="0" fontId="19" fillId="0" borderId="0" xfId="0" applyFont="1"/>
    <xf numFmtId="0" fontId="28" fillId="0" borderId="0" xfId="0" applyFont="1"/>
    <xf numFmtId="0" fontId="29" fillId="0" borderId="0" xfId="0" applyFont="1"/>
    <xf numFmtId="0" fontId="30" fillId="0" borderId="0" xfId="0" applyFont="1"/>
    <xf numFmtId="0" fontId="31" fillId="0" borderId="0" xfId="0" applyFont="1"/>
    <xf numFmtId="49" fontId="25" fillId="0" borderId="14" xfId="0" applyNumberFormat="1" applyFont="1" applyBorder="1" applyAlignment="1">
      <alignment horizontal="center"/>
    </xf>
    <xf numFmtId="0" fontId="6" fillId="0" borderId="0" xfId="0" applyFont="1" applyAlignment="1">
      <alignment horizontal="center"/>
    </xf>
    <xf numFmtId="49" fontId="6" fillId="0" borderId="12" xfId="0" applyNumberFormat="1" applyFont="1" applyBorder="1" applyAlignment="1">
      <alignment horizontal="center"/>
    </xf>
    <xf numFmtId="164" fontId="5" fillId="5" borderId="28" xfId="0" applyNumberFormat="1" applyFont="1" applyFill="1" applyBorder="1" applyAlignment="1">
      <alignment horizontal="center"/>
    </xf>
    <xf numFmtId="0" fontId="3" fillId="0" borderId="0" xfId="0" applyFont="1" applyAlignment="1">
      <alignment horizontal="center"/>
    </xf>
    <xf numFmtId="0" fontId="6" fillId="0" borderId="24" xfId="0" applyFont="1" applyBorder="1" applyAlignment="1">
      <alignment horizontal="center"/>
    </xf>
    <xf numFmtId="49" fontId="6" fillId="0" borderId="25" xfId="0" applyNumberFormat="1" applyFont="1" applyBorder="1" applyAlignment="1">
      <alignment horizontal="center"/>
    </xf>
    <xf numFmtId="0" fontId="6" fillId="0" borderId="26" xfId="0" applyFont="1" applyBorder="1" applyAlignment="1">
      <alignment horizontal="center"/>
    </xf>
    <xf numFmtId="0" fontId="6" fillId="0" borderId="1" xfId="0" applyFont="1" applyBorder="1"/>
    <xf numFmtId="0" fontId="6" fillId="0" borderId="2" xfId="0" applyFont="1" applyBorder="1"/>
    <xf numFmtId="164" fontId="2" fillId="0" borderId="0" xfId="0" applyNumberFormat="1" applyFont="1" applyAlignment="1">
      <alignment horizontal="centerContinuous"/>
    </xf>
    <xf numFmtId="0" fontId="20" fillId="3" borderId="33" xfId="0" applyFont="1" applyFill="1" applyBorder="1" applyAlignment="1">
      <alignment horizontal="center"/>
    </xf>
    <xf numFmtId="164" fontId="20" fillId="3" borderId="34" xfId="0" applyNumberFormat="1" applyFont="1" applyFill="1" applyBorder="1" applyAlignment="1">
      <alignment horizontal="center"/>
    </xf>
    <xf numFmtId="0" fontId="20" fillId="3" borderId="33" xfId="0" applyFont="1" applyFill="1" applyBorder="1" applyAlignment="1">
      <alignment horizontal="right"/>
    </xf>
    <xf numFmtId="0" fontId="20" fillId="3" borderId="35" xfId="0" applyFont="1" applyFill="1" applyBorder="1"/>
    <xf numFmtId="164" fontId="4" fillId="0" borderId="36" xfId="0" applyNumberFormat="1" applyFont="1" applyBorder="1" applyAlignment="1">
      <alignment horizontal="center" shrinkToFit="1"/>
    </xf>
    <xf numFmtId="0" fontId="4" fillId="0" borderId="37" xfId="0" applyFont="1" applyBorder="1" applyAlignment="1">
      <alignment horizontal="left" shrinkToFit="1"/>
    </xf>
    <xf numFmtId="164" fontId="2" fillId="0" borderId="0" xfId="0" applyNumberFormat="1" applyFont="1" applyAlignment="1">
      <alignment horizontal="centerContinuous" shrinkToFit="1"/>
    </xf>
    <xf numFmtId="0" fontId="2" fillId="0" borderId="0" xfId="0" applyFont="1" applyAlignment="1">
      <alignment horizontal="centerContinuous" shrinkToFit="1"/>
    </xf>
    <xf numFmtId="0" fontId="4" fillId="0" borderId="40" xfId="0" applyFont="1" applyBorder="1" applyAlignment="1">
      <alignment horizontal="left" shrinkToFit="1"/>
    </xf>
    <xf numFmtId="164" fontId="4" fillId="0" borderId="41" xfId="0" applyNumberFormat="1" applyFont="1" applyBorder="1" applyAlignment="1">
      <alignment horizontal="center" shrinkToFit="1"/>
    </xf>
    <xf numFmtId="0" fontId="7" fillId="4" borderId="47" xfId="0" applyFont="1" applyFill="1" applyBorder="1" applyAlignment="1">
      <alignment horizontal="right"/>
    </xf>
    <xf numFmtId="0" fontId="7" fillId="4" borderId="46" xfId="0" applyFont="1" applyFill="1" applyBorder="1" applyAlignment="1">
      <alignment horizontal="right"/>
    </xf>
    <xf numFmtId="0" fontId="13" fillId="6" borderId="1" xfId="0" applyFont="1" applyFill="1" applyBorder="1"/>
    <xf numFmtId="0" fontId="6" fillId="6" borderId="24" xfId="0" applyFont="1" applyFill="1" applyBorder="1" applyAlignment="1">
      <alignment horizontal="center"/>
    </xf>
    <xf numFmtId="49" fontId="22" fillId="6" borderId="24" xfId="0" applyNumberFormat="1" applyFont="1" applyFill="1" applyBorder="1" applyAlignment="1">
      <alignment horizontal="center"/>
    </xf>
    <xf numFmtId="0" fontId="22" fillId="6" borderId="25" xfId="0" applyFont="1" applyFill="1" applyBorder="1" applyAlignment="1">
      <alignment horizontal="center"/>
    </xf>
    <xf numFmtId="49" fontId="6" fillId="6" borderId="25" xfId="0" applyNumberFormat="1" applyFont="1" applyFill="1" applyBorder="1" applyAlignment="1">
      <alignment horizontal="center"/>
    </xf>
    <xf numFmtId="0" fontId="6" fillId="6" borderId="26" xfId="0" applyFont="1" applyFill="1" applyBorder="1" applyAlignment="1">
      <alignment horizontal="center"/>
    </xf>
    <xf numFmtId="0" fontId="37" fillId="2" borderId="4" xfId="0" applyFont="1" applyFill="1" applyBorder="1" applyAlignment="1">
      <alignment horizontal="right"/>
    </xf>
    <xf numFmtId="0" fontId="13" fillId="6" borderId="25" xfId="0" applyFont="1" applyFill="1" applyBorder="1" applyAlignment="1">
      <alignment horizontal="center"/>
    </xf>
    <xf numFmtId="0" fontId="1" fillId="0" borderId="0" xfId="0" applyFont="1" applyAlignment="1">
      <alignment horizontal="center"/>
    </xf>
    <xf numFmtId="0" fontId="10" fillId="6" borderId="1" xfId="0" applyFont="1" applyFill="1" applyBorder="1"/>
    <xf numFmtId="49" fontId="16" fillId="6" borderId="24" xfId="0" applyNumberFormat="1" applyFont="1" applyFill="1" applyBorder="1" applyAlignment="1">
      <alignment horizontal="center"/>
    </xf>
    <xf numFmtId="0" fontId="16" fillId="6" borderId="25" xfId="0" applyFont="1" applyFill="1" applyBorder="1" applyAlignment="1">
      <alignment horizontal="center"/>
    </xf>
    <xf numFmtId="0" fontId="10" fillId="6" borderId="25" xfId="0" applyFont="1" applyFill="1" applyBorder="1" applyAlignment="1">
      <alignment horizontal="center"/>
    </xf>
    <xf numFmtId="0" fontId="12" fillId="6" borderId="1" xfId="0" applyFont="1" applyFill="1" applyBorder="1"/>
    <xf numFmtId="49" fontId="23" fillId="6" borderId="24" xfId="0" applyNumberFormat="1" applyFont="1" applyFill="1" applyBorder="1" applyAlignment="1">
      <alignment horizontal="center"/>
    </xf>
    <xf numFmtId="0" fontId="23" fillId="6" borderId="25" xfId="0" applyFont="1" applyFill="1" applyBorder="1" applyAlignment="1">
      <alignment horizontal="center"/>
    </xf>
    <xf numFmtId="0" fontId="12" fillId="6" borderId="25" xfId="0" applyFont="1" applyFill="1" applyBorder="1" applyAlignment="1">
      <alignment horizontal="center"/>
    </xf>
    <xf numFmtId="0" fontId="21" fillId="6" borderId="1" xfId="0" applyFont="1" applyFill="1" applyBorder="1"/>
    <xf numFmtId="49" fontId="27" fillId="6" borderId="24" xfId="0" applyNumberFormat="1" applyFont="1" applyFill="1" applyBorder="1" applyAlignment="1">
      <alignment horizontal="center"/>
    </xf>
    <xf numFmtId="0" fontId="27" fillId="6" borderId="25" xfId="0" applyFont="1" applyFill="1" applyBorder="1" applyAlignment="1">
      <alignment horizontal="center"/>
    </xf>
    <xf numFmtId="0" fontId="21" fillId="6" borderId="25" xfId="0" applyFont="1" applyFill="1" applyBorder="1" applyAlignment="1">
      <alignment horizontal="center"/>
    </xf>
    <xf numFmtId="0" fontId="9" fillId="0" borderId="1" xfId="0" applyFont="1" applyBorder="1"/>
    <xf numFmtId="49" fontId="26" fillId="0" borderId="24" xfId="0" applyNumberFormat="1" applyFont="1" applyBorder="1" applyAlignment="1">
      <alignment horizontal="center"/>
    </xf>
    <xf numFmtId="0" fontId="26" fillId="0" borderId="25" xfId="0" applyFont="1" applyBorder="1" applyAlignment="1">
      <alignment horizontal="center"/>
    </xf>
    <xf numFmtId="0" fontId="9" fillId="0" borderId="25" xfId="0" applyFont="1" applyBorder="1" applyAlignment="1">
      <alignment horizontal="center"/>
    </xf>
    <xf numFmtId="0" fontId="6" fillId="0" borderId="0" xfId="0" applyFont="1" applyAlignment="1">
      <alignment wrapText="1"/>
    </xf>
    <xf numFmtId="0" fontId="6" fillId="0" borderId="0" xfId="0" applyFont="1" applyAlignment="1">
      <alignment horizontal="left" wrapText="1"/>
    </xf>
    <xf numFmtId="0" fontId="5" fillId="0" borderId="0" xfId="0" applyFont="1" applyAlignment="1">
      <alignment horizontal="right" wrapText="1"/>
    </xf>
    <xf numFmtId="0" fontId="25" fillId="0" borderId="14" xfId="0" applyFont="1" applyBorder="1" applyAlignment="1">
      <alignment horizontal="center"/>
    </xf>
    <xf numFmtId="0" fontId="13" fillId="0" borderId="1" xfId="0" applyFont="1" applyBorder="1"/>
    <xf numFmtId="49" fontId="22" fillId="0" borderId="24" xfId="0" applyNumberFormat="1" applyFont="1" applyBorder="1" applyAlignment="1">
      <alignment horizontal="center"/>
    </xf>
    <xf numFmtId="0" fontId="22" fillId="0" borderId="25" xfId="0" applyFont="1" applyBorder="1" applyAlignment="1">
      <alignment horizontal="center"/>
    </xf>
    <xf numFmtId="0" fontId="13" fillId="0" borderId="25" xfId="0" applyFont="1" applyBorder="1" applyAlignment="1">
      <alignment horizontal="center"/>
    </xf>
    <xf numFmtId="0" fontId="12" fillId="0" borderId="1" xfId="0" applyFont="1" applyBorder="1"/>
    <xf numFmtId="49" fontId="23" fillId="0" borderId="24" xfId="0" applyNumberFormat="1" applyFont="1" applyBorder="1" applyAlignment="1">
      <alignment horizontal="center"/>
    </xf>
    <xf numFmtId="0" fontId="23" fillId="0" borderId="25" xfId="0" applyFont="1" applyBorder="1" applyAlignment="1">
      <alignment horizontal="center"/>
    </xf>
    <xf numFmtId="0" fontId="12" fillId="0" borderId="25" xfId="0" applyFont="1" applyBorder="1" applyAlignment="1">
      <alignment horizontal="center"/>
    </xf>
    <xf numFmtId="0" fontId="21" fillId="0" borderId="1" xfId="0" applyFont="1" applyBorder="1"/>
    <xf numFmtId="49" fontId="27" fillId="0" borderId="24" xfId="0" applyNumberFormat="1" applyFont="1" applyBorder="1" applyAlignment="1">
      <alignment horizontal="center"/>
    </xf>
    <xf numFmtId="0" fontId="27" fillId="0" borderId="25" xfId="0" applyFont="1" applyBorder="1" applyAlignment="1">
      <alignment horizontal="center"/>
    </xf>
    <xf numFmtId="0" fontId="21" fillId="0" borderId="25" xfId="0" applyFont="1" applyBorder="1" applyAlignment="1">
      <alignment horizontal="center"/>
    </xf>
    <xf numFmtId="0" fontId="7" fillId="0" borderId="1" xfId="0" applyFont="1" applyBorder="1"/>
    <xf numFmtId="49" fontId="17" fillId="0" borderId="24" xfId="0" applyNumberFormat="1" applyFont="1" applyBorder="1" applyAlignment="1">
      <alignment horizontal="center"/>
    </xf>
    <xf numFmtId="0" fontId="17" fillId="0" borderId="25" xfId="0" applyFont="1" applyBorder="1" applyAlignment="1">
      <alignment horizontal="center"/>
    </xf>
    <xf numFmtId="0" fontId="7" fillId="0" borderId="25" xfId="0" applyFont="1" applyBorder="1" applyAlignment="1">
      <alignment horizontal="center"/>
    </xf>
    <xf numFmtId="0" fontId="3" fillId="0" borderId="0" xfId="0" applyFont="1" applyAlignment="1">
      <alignment horizontal="left"/>
    </xf>
    <xf numFmtId="0" fontId="1" fillId="0" borderId="51" xfId="0" applyFont="1" applyBorder="1" applyAlignment="1">
      <alignment horizontal="center" shrinkToFit="1"/>
    </xf>
    <xf numFmtId="0" fontId="3" fillId="2" borderId="53" xfId="0" applyFont="1" applyFill="1" applyBorder="1" applyAlignment="1">
      <alignment horizontal="centerContinuous"/>
    </xf>
    <xf numFmtId="0" fontId="39" fillId="0" borderId="1" xfId="0" applyFont="1" applyBorder="1"/>
    <xf numFmtId="0" fontId="5" fillId="0" borderId="24" xfId="0" applyFont="1" applyBorder="1" applyAlignment="1">
      <alignment horizontal="center"/>
    </xf>
    <xf numFmtId="1" fontId="6" fillId="0" borderId="24" xfId="0" applyNumberFormat="1" applyFont="1" applyBorder="1" applyAlignment="1">
      <alignment horizontal="center" wrapText="1"/>
    </xf>
    <xf numFmtId="0" fontId="40" fillId="8" borderId="25" xfId="0" applyFont="1" applyFill="1" applyBorder="1" applyAlignment="1">
      <alignment horizontal="center"/>
    </xf>
    <xf numFmtId="49" fontId="6" fillId="0" borderId="24" xfId="0" applyNumberFormat="1" applyFont="1" applyBorder="1" applyAlignment="1">
      <alignment horizontal="center" wrapText="1"/>
    </xf>
    <xf numFmtId="0" fontId="41" fillId="0" borderId="1" xfId="0" applyFont="1" applyBorder="1"/>
    <xf numFmtId="0" fontId="42" fillId="0" borderId="57" xfId="0" applyFont="1" applyBorder="1"/>
    <xf numFmtId="0" fontId="5" fillId="0" borderId="58" xfId="0" applyFont="1" applyBorder="1" applyAlignment="1">
      <alignment horizontal="center"/>
    </xf>
    <xf numFmtId="0" fontId="6" fillId="0" borderId="58" xfId="0" applyFont="1" applyBorder="1" applyAlignment="1">
      <alignment horizontal="center"/>
    </xf>
    <xf numFmtId="1" fontId="6" fillId="0" borderId="58" xfId="0" applyNumberFormat="1" applyFont="1" applyBorder="1" applyAlignment="1">
      <alignment horizontal="center" wrapText="1"/>
    </xf>
    <xf numFmtId="0" fontId="40" fillId="8" borderId="58" xfId="0" applyFont="1" applyFill="1" applyBorder="1" applyAlignment="1">
      <alignment horizontal="center"/>
    </xf>
    <xf numFmtId="49" fontId="6" fillId="0" borderId="58" xfId="0" applyNumberFormat="1" applyFont="1" applyBorder="1" applyAlignment="1">
      <alignment horizontal="center" wrapText="1"/>
    </xf>
    <xf numFmtId="0" fontId="42" fillId="0" borderId="24" xfId="0" applyFont="1" applyBorder="1" applyAlignment="1">
      <alignment horizontal="center" wrapText="1"/>
    </xf>
    <xf numFmtId="0" fontId="43" fillId="0" borderId="58" xfId="0" applyFont="1" applyBorder="1" applyAlignment="1">
      <alignment horizontal="center" wrapText="1"/>
    </xf>
    <xf numFmtId="0" fontId="5" fillId="4" borderId="59" xfId="0" applyFont="1" applyFill="1" applyBorder="1" applyAlignment="1">
      <alignment horizontal="right"/>
    </xf>
    <xf numFmtId="0" fontId="5" fillId="4" borderId="60" xfId="0" applyFont="1" applyFill="1" applyBorder="1" applyAlignment="1">
      <alignment horizontal="right"/>
    </xf>
    <xf numFmtId="0" fontId="44" fillId="2" borderId="53" xfId="0" applyFont="1" applyFill="1" applyBorder="1" applyAlignment="1">
      <alignment horizontal="left"/>
    </xf>
    <xf numFmtId="0" fontId="6" fillId="0" borderId="62" xfId="0" quotePrefix="1" applyFont="1" applyBorder="1" applyAlignment="1">
      <alignment horizontal="center"/>
    </xf>
    <xf numFmtId="0" fontId="10" fillId="0" borderId="1" xfId="0" applyFont="1" applyBorder="1"/>
    <xf numFmtId="49" fontId="16" fillId="0" borderId="24" xfId="0" applyNumberFormat="1" applyFont="1" applyBorder="1" applyAlignment="1">
      <alignment horizontal="center"/>
    </xf>
    <xf numFmtId="0" fontId="16" fillId="0" borderId="25" xfId="0" applyFont="1" applyBorder="1" applyAlignment="1">
      <alignment horizontal="center"/>
    </xf>
    <xf numFmtId="0" fontId="10" fillId="0" borderId="25" xfId="0" applyFont="1" applyBorder="1" applyAlignment="1">
      <alignment horizontal="center"/>
    </xf>
    <xf numFmtId="0" fontId="40" fillId="8" borderId="42" xfId="0" applyFont="1" applyFill="1" applyBorder="1" applyAlignment="1">
      <alignment horizontal="center"/>
    </xf>
    <xf numFmtId="0" fontId="1" fillId="0" borderId="68" xfId="0" applyFont="1" applyBorder="1" applyAlignment="1">
      <alignment horizontal="center" shrinkToFit="1"/>
    </xf>
    <xf numFmtId="0" fontId="4" fillId="0" borderId="41" xfId="0" applyFont="1" applyBorder="1" applyAlignment="1">
      <alignment horizontal="left"/>
    </xf>
    <xf numFmtId="0" fontId="4" fillId="0" borderId="36" xfId="0" applyFont="1" applyBorder="1" applyAlignment="1">
      <alignment horizontal="left"/>
    </xf>
    <xf numFmtId="0" fontId="1" fillId="0" borderId="69" xfId="0" applyFont="1" applyBorder="1" applyAlignment="1">
      <alignment horizontal="center" shrinkToFit="1"/>
    </xf>
    <xf numFmtId="0" fontId="1" fillId="0" borderId="38" xfId="0" applyFont="1" applyBorder="1" applyAlignment="1">
      <alignment horizontal="left"/>
    </xf>
    <xf numFmtId="0" fontId="1" fillId="0" borderId="66"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1" fillId="3" borderId="55" xfId="0" applyFont="1" applyFill="1" applyBorder="1" applyAlignment="1">
      <alignment horizontal="centerContinuous" vertical="center"/>
    </xf>
    <xf numFmtId="0" fontId="11" fillId="3" borderId="34" xfId="0" applyFont="1" applyFill="1" applyBorder="1" applyAlignment="1">
      <alignment horizontal="center" vertical="center"/>
    </xf>
    <xf numFmtId="0" fontId="11" fillId="3" borderId="34" xfId="0" applyFont="1" applyFill="1" applyBorder="1" applyAlignment="1">
      <alignment horizontal="center" vertical="center" wrapText="1"/>
    </xf>
    <xf numFmtId="0" fontId="43" fillId="8" borderId="33" xfId="0" applyFont="1" applyFill="1" applyBorder="1" applyAlignment="1">
      <alignment horizontal="center" vertical="center" wrapText="1"/>
    </xf>
    <xf numFmtId="0" fontId="11" fillId="3" borderId="56" xfId="0" applyFont="1" applyFill="1" applyBorder="1" applyAlignment="1">
      <alignment horizontal="center" vertical="center"/>
    </xf>
    <xf numFmtId="0" fontId="3" fillId="0" borderId="0" xfId="0" applyFont="1" applyAlignment="1">
      <alignment vertical="center"/>
    </xf>
    <xf numFmtId="0" fontId="10" fillId="9" borderId="1" xfId="0" applyFont="1" applyFill="1" applyBorder="1"/>
    <xf numFmtId="0" fontId="6" fillId="9" borderId="24" xfId="0" applyFont="1" applyFill="1" applyBorder="1" applyAlignment="1">
      <alignment horizontal="center"/>
    </xf>
    <xf numFmtId="49" fontId="16" fillId="9" borderId="24" xfId="0" applyNumberFormat="1" applyFont="1" applyFill="1" applyBorder="1" applyAlignment="1">
      <alignment horizontal="center"/>
    </xf>
    <xf numFmtId="0" fontId="16" fillId="9" borderId="25" xfId="0" applyFont="1" applyFill="1" applyBorder="1" applyAlignment="1">
      <alignment horizontal="center"/>
    </xf>
    <xf numFmtId="0" fontId="10" fillId="9" borderId="25" xfId="0" applyFont="1" applyFill="1" applyBorder="1" applyAlignment="1">
      <alignment horizontal="center"/>
    </xf>
    <xf numFmtId="49" fontId="6" fillId="9" borderId="25" xfId="0" applyNumberFormat="1" applyFont="1" applyFill="1" applyBorder="1" applyAlignment="1">
      <alignment horizontal="center"/>
    </xf>
    <xf numFmtId="0" fontId="6" fillId="9" borderId="26" xfId="0" quotePrefix="1" applyFont="1" applyFill="1" applyBorder="1" applyAlignment="1">
      <alignment horizontal="center"/>
    </xf>
    <xf numFmtId="0" fontId="6" fillId="9" borderId="26" xfId="0" applyFont="1" applyFill="1" applyBorder="1" applyAlignment="1">
      <alignment horizontal="center"/>
    </xf>
    <xf numFmtId="0" fontId="13" fillId="9" borderId="1" xfId="0" applyFont="1" applyFill="1" applyBorder="1"/>
    <xf numFmtId="49" fontId="27" fillId="9" borderId="24" xfId="0" applyNumberFormat="1" applyFont="1" applyFill="1" applyBorder="1" applyAlignment="1">
      <alignment horizontal="center"/>
    </xf>
    <xf numFmtId="0" fontId="27" fillId="9" borderId="25" xfId="0" applyFont="1" applyFill="1" applyBorder="1" applyAlignment="1">
      <alignment horizontal="center"/>
    </xf>
    <xf numFmtId="0" fontId="21" fillId="9" borderId="25" xfId="0" applyFont="1" applyFill="1" applyBorder="1" applyAlignment="1">
      <alignment horizontal="center"/>
    </xf>
    <xf numFmtId="0" fontId="1" fillId="0" borderId="82" xfId="0" applyFont="1" applyBorder="1" applyAlignment="1">
      <alignment horizontal="center" shrinkToFit="1"/>
    </xf>
    <xf numFmtId="0" fontId="1" fillId="0" borderId="83" xfId="0" applyFont="1" applyBorder="1" applyAlignment="1">
      <alignment horizontal="center" shrinkToFit="1"/>
    </xf>
    <xf numFmtId="0" fontId="20" fillId="3" borderId="34" xfId="0" applyFont="1" applyFill="1" applyBorder="1" applyAlignment="1">
      <alignment horizontal="center"/>
    </xf>
    <xf numFmtId="0" fontId="10" fillId="4" borderId="85" xfId="0" applyFont="1" applyFill="1" applyBorder="1" applyAlignment="1">
      <alignment horizontal="right"/>
    </xf>
    <xf numFmtId="0" fontId="10" fillId="4" borderId="86" xfId="0" applyFont="1" applyFill="1" applyBorder="1" applyAlignment="1">
      <alignment horizontal="right"/>
    </xf>
    <xf numFmtId="0" fontId="2" fillId="0" borderId="0" xfId="0" applyFont="1" applyAlignment="1">
      <alignment horizontal="centerContinuous" vertical="center"/>
    </xf>
    <xf numFmtId="0" fontId="4" fillId="0" borderId="0" xfId="0" applyFont="1" applyAlignment="1">
      <alignment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49" fontId="20" fillId="7" borderId="17"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45" fillId="8" borderId="21" xfId="0" applyFont="1" applyFill="1" applyBorder="1" applyAlignment="1">
      <alignment horizontal="center" vertical="center"/>
    </xf>
    <xf numFmtId="0" fontId="20" fillId="7" borderId="18" xfId="0" applyFont="1" applyFill="1" applyBorder="1" applyAlignment="1">
      <alignment horizontal="center" vertical="center"/>
    </xf>
    <xf numFmtId="0" fontId="4" fillId="0" borderId="0" xfId="0" applyFont="1" applyAlignment="1">
      <alignment horizontal="center" vertical="center"/>
    </xf>
    <xf numFmtId="0" fontId="1" fillId="10" borderId="15" xfId="0" applyFont="1" applyFill="1" applyBorder="1" applyAlignment="1">
      <alignment horizontal="center" vertical="center"/>
    </xf>
    <xf numFmtId="0" fontId="1" fillId="10" borderId="42" xfId="0" applyFont="1" applyFill="1" applyBorder="1" applyAlignment="1">
      <alignment horizontal="center" vertical="center"/>
    </xf>
    <xf numFmtId="49" fontId="1" fillId="10" borderId="42" xfId="0" applyNumberFormat="1" applyFont="1" applyFill="1" applyBorder="1" applyAlignment="1">
      <alignment horizontal="center" vertical="center"/>
    </xf>
    <xf numFmtId="164" fontId="1" fillId="10" borderId="42" xfId="0" applyNumberFormat="1" applyFont="1" applyFill="1" applyBorder="1" applyAlignment="1">
      <alignment horizontal="center" vertical="center"/>
    </xf>
    <xf numFmtId="164" fontId="1" fillId="10" borderId="43" xfId="0" applyNumberFormat="1" applyFont="1" applyFill="1" applyBorder="1" applyAlignment="1">
      <alignment horizontal="center" vertical="center"/>
    </xf>
    <xf numFmtId="1" fontId="46" fillId="8" borderId="43" xfId="0" applyNumberFormat="1" applyFont="1" applyFill="1" applyBorder="1" applyAlignment="1">
      <alignment horizontal="center" vertical="center"/>
    </xf>
    <xf numFmtId="1" fontId="1" fillId="10" borderId="43" xfId="0" applyNumberFormat="1" applyFont="1" applyFill="1" applyBorder="1" applyAlignment="1">
      <alignment horizontal="center" vertical="center"/>
    </xf>
    <xf numFmtId="0" fontId="1" fillId="10" borderId="31" xfId="0" quotePrefix="1"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0" fillId="7" borderId="21" xfId="0" applyFont="1" applyFill="1" applyBorder="1" applyAlignment="1">
      <alignment horizontal="centerContinuous" vertical="center"/>
    </xf>
    <xf numFmtId="0" fontId="20" fillId="7" borderId="67" xfId="0" applyFont="1" applyFill="1" applyBorder="1" applyAlignment="1">
      <alignment horizontal="centerContinuous" vertical="center"/>
    </xf>
    <xf numFmtId="0" fontId="20" fillId="7" borderId="45" xfId="0" applyFont="1" applyFill="1" applyBorder="1" applyAlignment="1">
      <alignment horizontal="centerContinuous" vertical="center"/>
    </xf>
    <xf numFmtId="9" fontId="1" fillId="0" borderId="66" xfId="0" applyNumberFormat="1" applyFont="1" applyBorder="1" applyAlignment="1">
      <alignment horizontal="center" vertical="center"/>
    </xf>
    <xf numFmtId="164" fontId="4" fillId="0" borderId="76" xfId="0" applyNumberFormat="1" applyFont="1" applyBorder="1" applyAlignment="1">
      <alignment horizontal="centerContinuous" vertical="center"/>
    </xf>
    <xf numFmtId="0" fontId="4" fillId="0" borderId="77" xfId="0" applyFont="1" applyBorder="1" applyAlignment="1">
      <alignment horizontal="centerContinuous" vertical="center"/>
    </xf>
    <xf numFmtId="0" fontId="18" fillId="0" borderId="0" xfId="0" applyFont="1" applyAlignment="1">
      <alignment horizontal="right" vertical="center"/>
    </xf>
    <xf numFmtId="0" fontId="20" fillId="7" borderId="19" xfId="0" applyFont="1" applyFill="1" applyBorder="1" applyAlignment="1">
      <alignment horizontal="centerContinuous" vertical="center"/>
    </xf>
    <xf numFmtId="0" fontId="20" fillId="7" borderId="20" xfId="0" applyFont="1" applyFill="1" applyBorder="1" applyAlignment="1">
      <alignment horizontal="centerContinuous" vertical="center"/>
    </xf>
    <xf numFmtId="0" fontId="1" fillId="0" borderId="8" xfId="0" applyFont="1" applyBorder="1" applyAlignment="1">
      <alignment horizontal="centerContinuous" vertical="center"/>
    </xf>
    <xf numFmtId="0" fontId="4" fillId="0" borderId="63" xfId="0" applyFont="1" applyBorder="1" applyAlignment="1">
      <alignment horizontal="centerContinuous" vertical="center"/>
    </xf>
    <xf numFmtId="0" fontId="4" fillId="0" borderId="43" xfId="0" applyFont="1" applyBorder="1" applyAlignment="1">
      <alignment horizontal="centerContinuous" vertical="center"/>
    </xf>
    <xf numFmtId="164" fontId="4" fillId="0" borderId="42"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Continuous" vertical="center"/>
    </xf>
    <xf numFmtId="49" fontId="1" fillId="0" borderId="9" xfId="0" applyNumberFormat="1" applyFont="1" applyBorder="1" applyAlignment="1">
      <alignment horizontal="centerContinuous" vertical="center"/>
    </xf>
    <xf numFmtId="0" fontId="1" fillId="0" borderId="10" xfId="0" applyFont="1" applyBorder="1" applyAlignment="1">
      <alignment horizontal="centerContinuous" vertical="center"/>
    </xf>
    <xf numFmtId="0" fontId="34" fillId="2" borderId="54" xfId="1" applyFont="1" applyFill="1" applyBorder="1" applyAlignment="1" applyProtection="1">
      <alignment horizontal="right" vertical="center"/>
    </xf>
    <xf numFmtId="0" fontId="6" fillId="6" borderId="26" xfId="0" quotePrefix="1" applyFont="1" applyFill="1" applyBorder="1" applyAlignment="1">
      <alignment horizontal="center"/>
    </xf>
    <xf numFmtId="1" fontId="3" fillId="0" borderId="0" xfId="0" applyNumberFormat="1" applyFont="1" applyAlignment="1">
      <alignment horizontal="center"/>
    </xf>
    <xf numFmtId="1" fontId="4" fillId="0" borderId="0" xfId="0" applyNumberFormat="1" applyFont="1" applyAlignment="1">
      <alignment horizontal="center"/>
    </xf>
    <xf numFmtId="0" fontId="20" fillId="7" borderId="29" xfId="0" applyFont="1" applyFill="1" applyBorder="1" applyAlignment="1">
      <alignment horizontal="center" vertical="center"/>
    </xf>
    <xf numFmtId="1" fontId="1" fillId="0" borderId="87" xfId="0" applyNumberFormat="1" applyFont="1" applyBorder="1" applyAlignment="1">
      <alignment horizontal="center" vertical="center"/>
    </xf>
    <xf numFmtId="1" fontId="1" fillId="0" borderId="32" xfId="0" applyNumberFormat="1" applyFont="1" applyBorder="1" applyAlignment="1">
      <alignment horizontal="center" vertical="center"/>
    </xf>
    <xf numFmtId="1" fontId="1" fillId="0" borderId="44" xfId="0" applyNumberFormat="1" applyFont="1" applyBorder="1" applyAlignment="1">
      <alignment horizontal="center" vertical="center"/>
    </xf>
    <xf numFmtId="0" fontId="1" fillId="0" borderId="72" xfId="0" quotePrefix="1" applyFont="1" applyBorder="1" applyAlignment="1">
      <alignment horizontal="center" vertical="center"/>
    </xf>
    <xf numFmtId="9" fontId="1" fillId="0" borderId="72" xfId="0" applyNumberFormat="1" applyFont="1" applyBorder="1" applyAlignment="1">
      <alignment horizontal="center" vertical="center"/>
    </xf>
    <xf numFmtId="0" fontId="1" fillId="0" borderId="36" xfId="0" quotePrefix="1" applyFont="1" applyBorder="1" applyAlignment="1">
      <alignment horizontal="left"/>
    </xf>
    <xf numFmtId="0" fontId="1" fillId="0" borderId="37" xfId="0" applyFont="1" applyBorder="1" applyAlignment="1">
      <alignment horizontal="center" shrinkToFit="1"/>
    </xf>
    <xf numFmtId="0" fontId="1" fillId="0" borderId="80" xfId="0" applyFont="1" applyBorder="1" applyAlignment="1">
      <alignment horizontal="center" shrinkToFit="1"/>
    </xf>
    <xf numFmtId="164" fontId="1" fillId="0" borderId="36" xfId="0" applyNumberFormat="1" applyFont="1" applyBorder="1" applyAlignment="1">
      <alignment horizontal="center" shrinkToFit="1"/>
    </xf>
    <xf numFmtId="0" fontId="1" fillId="0" borderId="78" xfId="0" applyFont="1" applyBorder="1" applyAlignment="1">
      <alignment horizontal="center" shrinkToFit="1"/>
    </xf>
    <xf numFmtId="0" fontId="1" fillId="0" borderId="84" xfId="0" applyFont="1" applyBorder="1" applyAlignment="1">
      <alignment horizontal="center" shrinkToFit="1"/>
    </xf>
    <xf numFmtId="0" fontId="4" fillId="0" borderId="79" xfId="0" applyFont="1" applyBorder="1" applyAlignment="1">
      <alignment horizontal="left"/>
    </xf>
    <xf numFmtId="164" fontId="4" fillId="0" borderId="38" xfId="0" applyNumberFormat="1" applyFont="1" applyBorder="1" applyAlignment="1">
      <alignment horizontal="center" shrinkToFit="1"/>
    </xf>
    <xf numFmtId="0" fontId="4" fillId="0" borderId="38" xfId="0" applyFont="1" applyBorder="1" applyAlignment="1">
      <alignment horizontal="left"/>
    </xf>
    <xf numFmtId="0" fontId="1" fillId="0" borderId="39" xfId="0" applyFont="1" applyBorder="1" applyAlignment="1">
      <alignment horizontal="center" shrinkToFit="1"/>
    </xf>
    <xf numFmtId="1" fontId="20" fillId="3" borderId="29" xfId="0" applyNumberFormat="1" applyFont="1" applyFill="1" applyBorder="1" applyAlignment="1">
      <alignment horizontal="center" vertical="center"/>
    </xf>
    <xf numFmtId="1" fontId="1" fillId="0" borderId="48" xfId="0" applyNumberFormat="1" applyFont="1" applyBorder="1" applyAlignment="1">
      <alignment horizontal="center" vertical="center" shrinkToFit="1"/>
    </xf>
    <xf numFmtId="1" fontId="1" fillId="0" borderId="32" xfId="0" applyNumberFormat="1" applyFont="1" applyBorder="1" applyAlignment="1">
      <alignment horizontal="center" vertical="center" shrinkToFit="1"/>
    </xf>
    <xf numFmtId="1" fontId="1" fillId="0" borderId="44" xfId="0" applyNumberFormat="1" applyFont="1" applyBorder="1" applyAlignment="1">
      <alignment horizontal="center" vertical="center" shrinkToFit="1"/>
    </xf>
    <xf numFmtId="0" fontId="20" fillId="7" borderId="88" xfId="0" applyFont="1" applyFill="1" applyBorder="1" applyAlignment="1">
      <alignment horizontal="center" vertical="center"/>
    </xf>
    <xf numFmtId="0" fontId="1" fillId="0" borderId="0" xfId="0" applyFont="1" applyAlignment="1">
      <alignment vertical="center"/>
    </xf>
    <xf numFmtId="0" fontId="1" fillId="0" borderId="64" xfId="0" applyFont="1" applyBorder="1" applyAlignment="1">
      <alignment horizontal="centerContinuous" vertical="center" shrinkToFit="1"/>
    </xf>
    <xf numFmtId="0" fontId="20" fillId="0" borderId="74" xfId="0" applyFont="1" applyBorder="1" applyAlignment="1">
      <alignment horizontal="centerContinuous" vertical="center"/>
    </xf>
    <xf numFmtId="0" fontId="1" fillId="0" borderId="75" xfId="0" applyFont="1" applyBorder="1" applyAlignment="1">
      <alignment horizontal="centerContinuous" vertical="center"/>
    </xf>
    <xf numFmtId="0" fontId="1" fillId="0" borderId="89" xfId="0" applyFont="1" applyBorder="1" applyAlignment="1">
      <alignment horizontal="centerContinuous" vertical="center" shrinkToFit="1"/>
    </xf>
    <xf numFmtId="0" fontId="20" fillId="0" borderId="76" xfId="0" applyFont="1" applyBorder="1" applyAlignment="1">
      <alignment horizontal="centerContinuous" vertical="center"/>
    </xf>
    <xf numFmtId="164" fontId="1" fillId="0" borderId="73" xfId="0" quotePrefix="1" applyNumberFormat="1" applyFont="1" applyBorder="1" applyAlignment="1">
      <alignment horizontal="centerContinuous" vertical="center"/>
    </xf>
    <xf numFmtId="0" fontId="3" fillId="0" borderId="0" xfId="0" applyFont="1" applyAlignment="1">
      <alignment horizontal="right" vertical="center"/>
    </xf>
    <xf numFmtId="165" fontId="1" fillId="0" borderId="0" xfId="0" applyNumberFormat="1" applyFont="1" applyAlignment="1">
      <alignment horizontal="center" vertical="center"/>
    </xf>
    <xf numFmtId="0" fontId="1" fillId="0" borderId="24" xfId="0" applyFont="1" applyBorder="1" applyAlignment="1">
      <alignment horizontal="center" vertical="center"/>
    </xf>
    <xf numFmtId="1" fontId="1" fillId="0" borderId="90" xfId="0" applyNumberFormat="1" applyFont="1" applyBorder="1" applyAlignment="1">
      <alignment horizontal="center" vertical="center"/>
    </xf>
    <xf numFmtId="0" fontId="48" fillId="0" borderId="29" xfId="0" applyFont="1" applyBorder="1" applyAlignment="1">
      <alignment horizontal="centerContinuous"/>
    </xf>
    <xf numFmtId="164" fontId="4" fillId="0" borderId="79" xfId="0" applyNumberFormat="1" applyFont="1" applyBorder="1" applyAlignment="1">
      <alignment horizontal="center" shrinkToFit="1"/>
    </xf>
    <xf numFmtId="0" fontId="4" fillId="0" borderId="80" xfId="0" applyFont="1" applyBorder="1" applyAlignment="1">
      <alignment horizontal="left" shrinkToFit="1"/>
    </xf>
    <xf numFmtId="1" fontId="1" fillId="0" borderId="91" xfId="0" applyNumberFormat="1" applyFont="1" applyBorder="1" applyAlignment="1">
      <alignment horizontal="center" vertical="center" shrinkToFit="1"/>
    </xf>
    <xf numFmtId="0" fontId="1" fillId="0" borderId="79" xfId="0" quotePrefix="1" applyFont="1" applyBorder="1" applyAlignment="1">
      <alignment horizontal="left"/>
    </xf>
    <xf numFmtId="0" fontId="1" fillId="0" borderId="26" xfId="0" quotePrefix="1" applyFont="1" applyBorder="1" applyAlignment="1">
      <alignment horizontal="center" vertical="center"/>
    </xf>
    <xf numFmtId="1" fontId="1" fillId="0" borderId="91" xfId="0" applyNumberFormat="1"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94" xfId="0" quotePrefix="1" applyFont="1" applyBorder="1" applyAlignment="1">
      <alignment horizontal="center" vertical="center" wrapText="1"/>
    </xf>
    <xf numFmtId="49" fontId="1" fillId="0" borderId="94" xfId="2" applyNumberFormat="1" applyFont="1" applyFill="1" applyBorder="1" applyAlignment="1">
      <alignment horizontal="center" vertical="center"/>
    </xf>
    <xf numFmtId="0" fontId="1" fillId="0" borderId="94" xfId="0" applyFont="1" applyBorder="1" applyAlignment="1">
      <alignment horizontal="center" vertical="center" shrinkToFit="1"/>
    </xf>
    <xf numFmtId="164" fontId="4" fillId="0" borderId="95" xfId="0" applyNumberFormat="1" applyFont="1" applyBorder="1" applyAlignment="1">
      <alignment horizontal="center" vertical="center"/>
    </xf>
    <xf numFmtId="1" fontId="46" fillId="8" borderId="95" xfId="0" applyNumberFormat="1" applyFont="1" applyFill="1" applyBorder="1" applyAlignment="1">
      <alignment horizontal="center" vertical="center"/>
    </xf>
    <xf numFmtId="1" fontId="1" fillId="0" borderId="95" xfId="0" applyNumberFormat="1" applyFont="1" applyBorder="1" applyAlignment="1">
      <alignment horizontal="center" vertical="center"/>
    </xf>
    <xf numFmtId="0" fontId="1" fillId="0" borderId="96" xfId="0" quotePrefix="1" applyFont="1" applyBorder="1" applyAlignment="1">
      <alignment horizontal="center" vertical="center"/>
    </xf>
    <xf numFmtId="0" fontId="1" fillId="0" borderId="13" xfId="0" applyFont="1" applyBorder="1" applyAlignment="1">
      <alignment horizontal="center" vertical="center"/>
    </xf>
    <xf numFmtId="0" fontId="1" fillId="0" borderId="24" xfId="0" quotePrefix="1" applyFont="1" applyBorder="1" applyAlignment="1">
      <alignment horizontal="center" vertical="center" wrapText="1"/>
    </xf>
    <xf numFmtId="49" fontId="1" fillId="0" borderId="24" xfId="2" applyNumberFormat="1" applyFont="1" applyFill="1" applyBorder="1" applyAlignment="1">
      <alignment horizontal="center" vertical="center"/>
    </xf>
    <xf numFmtId="0" fontId="1" fillId="0" borderId="24" xfId="0" applyFont="1" applyBorder="1" applyAlignment="1">
      <alignment horizontal="center" vertical="center" shrinkToFit="1"/>
    </xf>
    <xf numFmtId="164" fontId="4" fillId="0" borderId="25" xfId="0" applyNumberFormat="1" applyFont="1" applyBorder="1" applyAlignment="1">
      <alignment horizontal="center" vertical="center"/>
    </xf>
    <xf numFmtId="1" fontId="46" fillId="8" borderId="25" xfId="0" applyNumberFormat="1" applyFont="1" applyFill="1" applyBorder="1" applyAlignment="1">
      <alignment horizontal="center" vertical="center"/>
    </xf>
    <xf numFmtId="1" fontId="1" fillId="0" borderId="25" xfId="0" applyNumberFormat="1" applyFont="1" applyBorder="1" applyAlignment="1">
      <alignment horizontal="center" vertical="center"/>
    </xf>
    <xf numFmtId="0" fontId="1" fillId="0" borderId="42" xfId="0" applyFont="1" applyBorder="1" applyAlignment="1">
      <alignment horizontal="center" vertical="center"/>
    </xf>
    <xf numFmtId="0" fontId="4" fillId="0" borderId="42" xfId="0" quotePrefix="1" applyFont="1" applyBorder="1" applyAlignment="1">
      <alignment horizontal="center" vertical="center" wrapText="1"/>
    </xf>
    <xf numFmtId="49" fontId="1" fillId="0" borderId="42" xfId="2" applyNumberFormat="1" applyFont="1" applyBorder="1" applyAlignment="1">
      <alignment horizontal="center" vertical="center"/>
    </xf>
    <xf numFmtId="0" fontId="1" fillId="0" borderId="42" xfId="0" applyFont="1" applyBorder="1" applyAlignment="1">
      <alignment horizontal="center" vertical="center" shrinkToFit="1"/>
    </xf>
    <xf numFmtId="164" fontId="4" fillId="0" borderId="43" xfId="0" applyNumberFormat="1" applyFont="1" applyBorder="1" applyAlignment="1">
      <alignment horizontal="center" vertical="center"/>
    </xf>
    <xf numFmtId="1" fontId="1" fillId="0" borderId="43" xfId="0" applyNumberFormat="1" applyFont="1" applyBorder="1" applyAlignment="1">
      <alignment horizontal="center" vertical="center"/>
    </xf>
    <xf numFmtId="164" fontId="1" fillId="9" borderId="42" xfId="0" applyNumberFormat="1" applyFont="1" applyFill="1" applyBorder="1" applyAlignment="1">
      <alignment horizontal="center" vertical="center"/>
    </xf>
    <xf numFmtId="0" fontId="51" fillId="2" borderId="52" xfId="0" applyFont="1" applyFill="1" applyBorder="1" applyAlignment="1">
      <alignment horizontal="right"/>
    </xf>
    <xf numFmtId="0" fontId="51" fillId="2" borderId="53" xfId="0" applyFont="1" applyFill="1" applyBorder="1" applyAlignment="1">
      <alignment horizontal="left"/>
    </xf>
    <xf numFmtId="49" fontId="15" fillId="0" borderId="0" xfId="0" applyNumberFormat="1" applyFont="1"/>
    <xf numFmtId="49" fontId="16" fillId="0" borderId="30" xfId="0" applyNumberFormat="1" applyFont="1" applyBorder="1" applyAlignment="1">
      <alignment horizontal="center" shrinkToFit="1"/>
    </xf>
    <xf numFmtId="1" fontId="6" fillId="0" borderId="61" xfId="0" applyNumberFormat="1" applyFont="1" applyBorder="1" applyAlignment="1">
      <alignment horizontal="center"/>
    </xf>
    <xf numFmtId="0" fontId="1" fillId="0" borderId="15" xfId="0" applyFont="1" applyBorder="1" applyAlignment="1">
      <alignment horizontal="center" vertical="center"/>
    </xf>
    <xf numFmtId="49" fontId="52" fillId="11" borderId="27" xfId="0" applyNumberFormat="1" applyFont="1" applyFill="1" applyBorder="1" applyAlignment="1">
      <alignment horizontal="center"/>
    </xf>
    <xf numFmtId="164" fontId="1" fillId="9" borderId="24" xfId="0" applyNumberFormat="1" applyFont="1" applyFill="1" applyBorder="1" applyAlignment="1">
      <alignment horizontal="center" vertical="center"/>
    </xf>
    <xf numFmtId="1" fontId="1" fillId="9" borderId="90" xfId="0" applyNumberFormat="1" applyFont="1" applyFill="1" applyBorder="1" applyAlignment="1">
      <alignment horizontal="center" vertical="center"/>
    </xf>
    <xf numFmtId="1" fontId="1" fillId="9" borderId="50" xfId="0" applyNumberFormat="1" applyFont="1" applyFill="1" applyBorder="1" applyAlignment="1">
      <alignment horizontal="center" vertical="center"/>
    </xf>
    <xf numFmtId="1" fontId="1" fillId="9" borderId="49" xfId="0" applyNumberFormat="1" applyFont="1" applyFill="1" applyBorder="1" applyAlignment="1">
      <alignment horizontal="center" vertical="center"/>
    </xf>
    <xf numFmtId="49" fontId="1" fillId="0" borderId="24"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25" xfId="0" applyNumberFormat="1" applyFont="1" applyBorder="1" applyAlignment="1">
      <alignment horizontal="center" wrapText="1"/>
    </xf>
    <xf numFmtId="49" fontId="6" fillId="6" borderId="25" xfId="0" applyNumberFormat="1" applyFont="1" applyFill="1" applyBorder="1" applyAlignment="1">
      <alignment horizontal="center" wrapText="1"/>
    </xf>
    <xf numFmtId="49" fontId="6" fillId="9" borderId="25" xfId="0" applyNumberFormat="1" applyFont="1" applyFill="1" applyBorder="1" applyAlignment="1">
      <alignment horizontal="center" wrapText="1"/>
    </xf>
    <xf numFmtId="0" fontId="6" fillId="6" borderId="25" xfId="0" applyFont="1" applyFill="1" applyBorder="1" applyAlignment="1">
      <alignment horizontal="center" wrapText="1"/>
    </xf>
    <xf numFmtId="1" fontId="6" fillId="6" borderId="25" xfId="0" applyNumberFormat="1" applyFont="1" applyFill="1" applyBorder="1" applyAlignment="1">
      <alignment horizontal="center" wrapText="1"/>
    </xf>
    <xf numFmtId="0" fontId="1" fillId="0" borderId="99" xfId="0" applyFont="1" applyBorder="1" applyAlignment="1">
      <alignment horizontal="centerContinuous" vertical="center" shrinkToFit="1"/>
    </xf>
    <xf numFmtId="0" fontId="20" fillId="0" borderId="100" xfId="0" applyFont="1" applyBorder="1" applyAlignment="1">
      <alignment horizontal="centerContinuous" vertical="center"/>
    </xf>
    <xf numFmtId="0" fontId="1" fillId="0" borderId="92" xfId="0" applyFont="1" applyBorder="1" applyAlignment="1">
      <alignment horizontal="center" vertical="center"/>
    </xf>
    <xf numFmtId="0" fontId="1" fillId="0" borderId="101" xfId="0" applyFont="1" applyBorder="1" applyAlignment="1">
      <alignment horizontal="centerContinuous" vertical="center" shrinkToFit="1"/>
    </xf>
    <xf numFmtId="0" fontId="1" fillId="0" borderId="77" xfId="0" applyFont="1" applyBorder="1" applyAlignment="1">
      <alignment horizontal="centerContinuous" vertical="center" shrinkToFit="1"/>
    </xf>
    <xf numFmtId="0" fontId="8" fillId="0" borderId="3" xfId="0" quotePrefix="1" applyFont="1" applyBorder="1" applyAlignment="1">
      <alignment horizontal="center"/>
    </xf>
    <xf numFmtId="0" fontId="8" fillId="0" borderId="3" xfId="0" applyFont="1" applyBorder="1" applyAlignment="1">
      <alignment horizontal="center"/>
    </xf>
    <xf numFmtId="0" fontId="6" fillId="0" borderId="23" xfId="0" quotePrefix="1" applyFont="1" applyBorder="1" applyAlignment="1">
      <alignment horizontal="center"/>
    </xf>
    <xf numFmtId="0" fontId="1" fillId="0" borderId="102" xfId="0" applyFont="1" applyBorder="1" applyAlignment="1">
      <alignment horizontal="center" vertical="center"/>
    </xf>
    <xf numFmtId="164" fontId="1" fillId="9" borderId="58" xfId="0" applyNumberFormat="1" applyFont="1" applyFill="1" applyBorder="1" applyAlignment="1">
      <alignment horizontal="center" vertical="center"/>
    </xf>
    <xf numFmtId="1" fontId="1" fillId="0" borderId="49" xfId="0" applyNumberFormat="1" applyFont="1" applyBorder="1" applyAlignment="1">
      <alignment horizontal="center" vertical="center"/>
    </xf>
    <xf numFmtId="164" fontId="1" fillId="0" borderId="24" xfId="0" applyNumberFormat="1" applyFont="1" applyBorder="1" applyAlignment="1">
      <alignment horizontal="center" vertical="center"/>
    </xf>
    <xf numFmtId="164" fontId="1" fillId="0" borderId="25" xfId="0" applyNumberFormat="1" applyFont="1" applyBorder="1" applyAlignment="1">
      <alignment horizontal="center" vertical="center"/>
    </xf>
    <xf numFmtId="0" fontId="56" fillId="0" borderId="0" xfId="0" applyFont="1" applyAlignment="1">
      <alignment horizontal="center" vertical="center"/>
    </xf>
    <xf numFmtId="0" fontId="1" fillId="0" borderId="0" xfId="0" applyFont="1" applyAlignment="1">
      <alignment horizontal="right" vertical="center"/>
    </xf>
    <xf numFmtId="0" fontId="56" fillId="2" borderId="53" xfId="0" applyFont="1" applyFill="1" applyBorder="1" applyAlignment="1">
      <alignment horizontal="center"/>
    </xf>
    <xf numFmtId="2" fontId="4" fillId="0" borderId="79" xfId="0" applyNumberFormat="1" applyFont="1" applyBorder="1" applyAlignment="1">
      <alignment horizontal="center" shrinkToFit="1"/>
    </xf>
    <xf numFmtId="164" fontId="1" fillId="0" borderId="72" xfId="0" applyNumberFormat="1" applyFont="1" applyBorder="1" applyAlignment="1">
      <alignment horizontal="center" vertical="center"/>
    </xf>
    <xf numFmtId="164" fontId="1" fillId="0" borderId="94" xfId="0" applyNumberFormat="1" applyFont="1" applyBorder="1" applyAlignment="1">
      <alignment horizontal="center" vertical="center"/>
    </xf>
    <xf numFmtId="0" fontId="54" fillId="0" borderId="29" xfId="0" applyFont="1" applyBorder="1" applyAlignment="1">
      <alignment horizontal="centerContinuous" vertical="center" wrapText="1"/>
    </xf>
    <xf numFmtId="0" fontId="6" fillId="0" borderId="50" xfId="0" applyFont="1" applyBorder="1" applyAlignment="1">
      <alignment horizontal="centerContinuous"/>
    </xf>
    <xf numFmtId="0" fontId="6" fillId="0" borderId="32" xfId="0" applyFont="1" applyBorder="1" applyAlignment="1">
      <alignment horizontal="centerContinuous"/>
    </xf>
    <xf numFmtId="0" fontId="6" fillId="0" borderId="44" xfId="0" applyFont="1" applyBorder="1" applyAlignment="1">
      <alignment horizontal="centerContinuous"/>
    </xf>
    <xf numFmtId="0" fontId="49" fillId="0" borderId="29" xfId="0" applyFont="1" applyBorder="1" applyAlignment="1">
      <alignment horizontal="centerContinuous" vertical="center" wrapText="1"/>
    </xf>
    <xf numFmtId="0" fontId="6" fillId="0" borderId="49" xfId="0" applyFont="1" applyBorder="1" applyAlignment="1">
      <alignment horizontal="centerContinuous"/>
    </xf>
    <xf numFmtId="37" fontId="6" fillId="0" borderId="23" xfId="9" applyNumberFormat="1" applyFont="1" applyFill="1" applyBorder="1" applyAlignment="1">
      <alignment horizontal="centerContinuous" vertical="center"/>
    </xf>
    <xf numFmtId="0" fontId="6" fillId="0" borderId="104" xfId="0" applyFont="1" applyBorder="1" applyAlignment="1">
      <alignment horizontal="centerContinuous" vertical="center"/>
    </xf>
    <xf numFmtId="0" fontId="5" fillId="4" borderId="81" xfId="0" applyFont="1" applyFill="1" applyBorder="1" applyAlignment="1">
      <alignment horizontal="right" vertical="center"/>
    </xf>
    <xf numFmtId="0" fontId="5" fillId="4" borderId="11" xfId="0" applyFont="1" applyFill="1" applyBorder="1" applyAlignment="1">
      <alignment horizontal="right" vertical="center"/>
    </xf>
    <xf numFmtId="0" fontId="1" fillId="0" borderId="70" xfId="0" applyFont="1" applyBorder="1" applyAlignment="1">
      <alignment horizontal="center" vertical="center"/>
    </xf>
    <xf numFmtId="164" fontId="1" fillId="0" borderId="66" xfId="0" applyNumberFormat="1" applyFont="1" applyBorder="1" applyAlignment="1">
      <alignment horizontal="center" vertical="center"/>
    </xf>
    <xf numFmtId="164" fontId="1" fillId="0" borderId="65" xfId="0" applyNumberFormat="1" applyFont="1" applyBorder="1" applyAlignment="1">
      <alignment horizontal="centerContinuous" vertical="center"/>
    </xf>
    <xf numFmtId="164" fontId="1" fillId="0" borderId="74" xfId="0" applyNumberFormat="1" applyFont="1" applyBorder="1" applyAlignment="1">
      <alignment horizontal="centerContinuous" vertical="center"/>
    </xf>
    <xf numFmtId="0" fontId="1" fillId="0" borderId="75" xfId="0" quotePrefix="1" applyFont="1" applyBorder="1" applyAlignment="1">
      <alignment horizontal="centerContinuous" vertical="center"/>
    </xf>
    <xf numFmtId="0" fontId="12" fillId="10" borderId="1" xfId="0" applyFont="1" applyFill="1" applyBorder="1"/>
    <xf numFmtId="0" fontId="6" fillId="10" borderId="24" xfId="0" applyFont="1" applyFill="1" applyBorder="1" applyAlignment="1">
      <alignment horizontal="center"/>
    </xf>
    <xf numFmtId="49" fontId="23" fillId="10" borderId="24" xfId="0" applyNumberFormat="1" applyFont="1" applyFill="1" applyBorder="1" applyAlignment="1">
      <alignment horizontal="center"/>
    </xf>
    <xf numFmtId="0" fontId="23" fillId="10" borderId="25" xfId="0" applyFont="1" applyFill="1" applyBorder="1" applyAlignment="1">
      <alignment horizontal="center"/>
    </xf>
    <xf numFmtId="0" fontId="12" fillId="10" borderId="25" xfId="0" applyFont="1" applyFill="1" applyBorder="1" applyAlignment="1">
      <alignment horizontal="center"/>
    </xf>
    <xf numFmtId="49" fontId="6" fillId="10" borderId="25" xfId="0" applyNumberFormat="1" applyFont="1" applyFill="1" applyBorder="1" applyAlignment="1">
      <alignment horizontal="center" wrapText="1"/>
    </xf>
    <xf numFmtId="49" fontId="6" fillId="10" borderId="25" xfId="0" applyNumberFormat="1" applyFont="1" applyFill="1" applyBorder="1" applyAlignment="1">
      <alignment horizontal="center"/>
    </xf>
    <xf numFmtId="0" fontId="6" fillId="10" borderId="26" xfId="0" applyFont="1" applyFill="1" applyBorder="1" applyAlignment="1">
      <alignment horizontal="center"/>
    </xf>
    <xf numFmtId="0" fontId="21" fillId="10" borderId="1" xfId="0" applyFont="1" applyFill="1" applyBorder="1"/>
    <xf numFmtId="49" fontId="27" fillId="10" borderId="24" xfId="0" applyNumberFormat="1" applyFont="1" applyFill="1" applyBorder="1" applyAlignment="1">
      <alignment horizontal="center"/>
    </xf>
    <xf numFmtId="0" fontId="27" fillId="10" borderId="25" xfId="0" applyFont="1" applyFill="1" applyBorder="1" applyAlignment="1">
      <alignment horizontal="center"/>
    </xf>
    <xf numFmtId="0" fontId="21" fillId="10" borderId="25" xfId="0" applyFont="1" applyFill="1" applyBorder="1" applyAlignment="1">
      <alignment horizontal="center"/>
    </xf>
    <xf numFmtId="0" fontId="6" fillId="10" borderId="25" xfId="0" applyFont="1" applyFill="1" applyBorder="1" applyAlignment="1">
      <alignment horizontal="center" wrapText="1"/>
    </xf>
    <xf numFmtId="0" fontId="7" fillId="10" borderId="1" xfId="0" applyFont="1" applyFill="1" applyBorder="1"/>
    <xf numFmtId="49" fontId="17" fillId="10" borderId="24" xfId="0" applyNumberFormat="1" applyFont="1" applyFill="1" applyBorder="1" applyAlignment="1">
      <alignment horizontal="center"/>
    </xf>
    <xf numFmtId="0" fontId="17" fillId="10" borderId="25" xfId="0" applyFont="1" applyFill="1" applyBorder="1" applyAlignment="1">
      <alignment horizontal="center"/>
    </xf>
    <xf numFmtId="0" fontId="7" fillId="10" borderId="25" xfId="0" applyFont="1" applyFill="1" applyBorder="1" applyAlignment="1">
      <alignment horizontal="center"/>
    </xf>
    <xf numFmtId="0" fontId="6" fillId="10" borderId="26" xfId="0" quotePrefix="1" applyFont="1" applyFill="1" applyBorder="1" applyAlignment="1">
      <alignment horizontal="center"/>
    </xf>
    <xf numFmtId="0" fontId="12" fillId="10" borderId="8" xfId="0" applyFont="1" applyFill="1" applyBorder="1"/>
    <xf numFmtId="0" fontId="6" fillId="10" borderId="42" xfId="0" applyFont="1" applyFill="1" applyBorder="1" applyAlignment="1">
      <alignment horizontal="center"/>
    </xf>
    <xf numFmtId="49" fontId="23" fillId="10" borderId="42" xfId="0" applyNumberFormat="1" applyFont="1" applyFill="1" applyBorder="1" applyAlignment="1">
      <alignment horizontal="center"/>
    </xf>
    <xf numFmtId="0" fontId="23" fillId="10" borderId="43" xfId="0" applyFont="1" applyFill="1" applyBorder="1" applyAlignment="1">
      <alignment horizontal="center"/>
    </xf>
    <xf numFmtId="0" fontId="12" fillId="10" borderId="43" xfId="0" applyFont="1" applyFill="1" applyBorder="1" applyAlignment="1">
      <alignment horizontal="center"/>
    </xf>
    <xf numFmtId="49" fontId="6" fillId="10" borderId="43" xfId="0" applyNumberFormat="1" applyFont="1" applyFill="1" applyBorder="1" applyAlignment="1">
      <alignment horizontal="center" wrapText="1"/>
    </xf>
    <xf numFmtId="49" fontId="6" fillId="10" borderId="43" xfId="0" applyNumberFormat="1" applyFont="1" applyFill="1" applyBorder="1" applyAlignment="1">
      <alignment horizontal="center"/>
    </xf>
    <xf numFmtId="0" fontId="6" fillId="10" borderId="31" xfId="0" applyFont="1" applyFill="1" applyBorder="1" applyAlignment="1">
      <alignment horizontal="center"/>
    </xf>
    <xf numFmtId="0" fontId="7" fillId="6" borderId="1" xfId="0" applyFont="1" applyFill="1" applyBorder="1"/>
    <xf numFmtId="49" fontId="17" fillId="6" borderId="24" xfId="0" applyNumberFormat="1" applyFont="1" applyFill="1" applyBorder="1" applyAlignment="1">
      <alignment horizontal="center"/>
    </xf>
    <xf numFmtId="0" fontId="17" fillId="6" borderId="25" xfId="0" applyFont="1" applyFill="1" applyBorder="1" applyAlignment="1">
      <alignment horizontal="center"/>
    </xf>
    <xf numFmtId="0" fontId="7" fillId="6" borderId="25" xfId="0" applyFont="1" applyFill="1" applyBorder="1" applyAlignment="1">
      <alignment horizontal="center"/>
    </xf>
    <xf numFmtId="0" fontId="57" fillId="0" borderId="103" xfId="0" applyFont="1" applyBorder="1" applyAlignment="1">
      <alignment horizontal="centerContinuous" vertical="center"/>
    </xf>
    <xf numFmtId="0" fontId="5" fillId="0" borderId="105" xfId="0" applyFont="1" applyBorder="1" applyAlignment="1">
      <alignment horizontal="centerContinuous" vertical="center"/>
    </xf>
    <xf numFmtId="0" fontId="5" fillId="0" borderId="106" xfId="0" applyFont="1" applyBorder="1" applyAlignment="1">
      <alignment horizontal="centerContinuous" vertical="center"/>
    </xf>
    <xf numFmtId="0" fontId="58" fillId="8" borderId="57" xfId="0" applyFont="1" applyFill="1" applyBorder="1" applyAlignment="1">
      <alignment horizontal="centerContinuous" vertical="center"/>
    </xf>
    <xf numFmtId="0" fontId="58" fillId="8" borderId="107" xfId="0" applyFont="1" applyFill="1" applyBorder="1" applyAlignment="1">
      <alignment horizontal="centerContinuous" vertical="center"/>
    </xf>
    <xf numFmtId="0" fontId="58" fillId="8" borderId="108" xfId="0" applyFont="1" applyFill="1" applyBorder="1" applyAlignment="1">
      <alignment horizontal="center" vertical="center"/>
    </xf>
    <xf numFmtId="0" fontId="58" fillId="8" borderId="109" xfId="0" applyFont="1" applyFill="1" applyBorder="1" applyAlignment="1">
      <alignment horizontal="centerContinuous" vertical="center"/>
    </xf>
    <xf numFmtId="0" fontId="6" fillId="0" borderId="110" xfId="0" applyFont="1" applyBorder="1" applyAlignment="1">
      <alignment horizontal="center" vertical="center"/>
    </xf>
    <xf numFmtId="0" fontId="6" fillId="0" borderId="111" xfId="0" applyFont="1" applyBorder="1" applyAlignment="1">
      <alignment horizontal="centerContinuous" vertical="center"/>
    </xf>
    <xf numFmtId="49" fontId="6" fillId="0" borderId="112" xfId="0" applyNumberFormat="1"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Continuous" vertical="center"/>
    </xf>
    <xf numFmtId="49" fontId="6" fillId="0" borderId="24" xfId="0" applyNumberFormat="1" applyFont="1" applyBorder="1" applyAlignment="1">
      <alignment horizontal="center" vertical="center"/>
    </xf>
    <xf numFmtId="0" fontId="6" fillId="0" borderId="8" xfId="0" applyFont="1" applyBorder="1" applyAlignment="1">
      <alignment horizontal="center" vertical="center"/>
    </xf>
    <xf numFmtId="0" fontId="6" fillId="0" borderId="43" xfId="0" applyFont="1" applyBorder="1" applyAlignment="1">
      <alignment horizontal="centerContinuous" vertical="center"/>
    </xf>
    <xf numFmtId="49" fontId="6" fillId="0" borderId="42" xfId="0" applyNumberFormat="1" applyFont="1" applyBorder="1" applyAlignment="1">
      <alignment horizontal="center" vertical="center"/>
    </xf>
    <xf numFmtId="0" fontId="59" fillId="5" borderId="10" xfId="2" applyNumberFormat="1" applyFont="1" applyFill="1" applyBorder="1" applyAlignment="1">
      <alignment horizontal="centerContinuous" vertical="center" shrinkToFit="1"/>
    </xf>
    <xf numFmtId="0" fontId="1" fillId="0" borderId="31" xfId="0" quotePrefix="1" applyFont="1" applyBorder="1" applyAlignment="1">
      <alignment horizontal="center" vertical="center"/>
    </xf>
    <xf numFmtId="2" fontId="1" fillId="0" borderId="24" xfId="0" applyNumberFormat="1" applyFont="1" applyBorder="1" applyAlignment="1">
      <alignment horizontal="center" vertical="center"/>
    </xf>
    <xf numFmtId="0" fontId="1" fillId="0" borderId="58" xfId="0" applyFont="1" applyBorder="1" applyAlignment="1">
      <alignment horizontal="center" vertical="center"/>
    </xf>
    <xf numFmtId="0" fontId="1" fillId="0" borderId="58" xfId="0" quotePrefix="1" applyFont="1" applyBorder="1" applyAlignment="1">
      <alignment horizontal="center" vertical="center" wrapText="1"/>
    </xf>
    <xf numFmtId="49" fontId="1" fillId="0" borderId="58" xfId="2" applyNumberFormat="1" applyFont="1" applyFill="1" applyBorder="1" applyAlignment="1">
      <alignment horizontal="center" vertical="center"/>
    </xf>
    <xf numFmtId="0" fontId="1" fillId="0" borderId="58" xfId="0" applyFont="1" applyBorder="1" applyAlignment="1">
      <alignment horizontal="center" vertical="center" shrinkToFit="1"/>
    </xf>
    <xf numFmtId="164" fontId="4" fillId="0" borderId="14" xfId="0" applyNumberFormat="1" applyFont="1" applyBorder="1" applyAlignment="1">
      <alignment horizontal="center" vertical="center"/>
    </xf>
    <xf numFmtId="1" fontId="46" fillId="8" borderId="14" xfId="0" applyNumberFormat="1" applyFont="1" applyFill="1" applyBorder="1" applyAlignment="1">
      <alignment horizontal="center" vertical="center"/>
    </xf>
    <xf numFmtId="1" fontId="1" fillId="0" borderId="14" xfId="0" applyNumberFormat="1" applyFont="1" applyBorder="1" applyAlignment="1">
      <alignment horizontal="center" vertical="center"/>
    </xf>
    <xf numFmtId="0" fontId="1" fillId="0" borderId="30" xfId="0" quotePrefix="1" applyFont="1" applyBorder="1" applyAlignment="1">
      <alignment horizontal="center" vertical="center"/>
    </xf>
    <xf numFmtId="49" fontId="1" fillId="0" borderId="58" xfId="0" applyNumberFormat="1" applyFont="1" applyBorder="1" applyAlignment="1">
      <alignment horizontal="center" vertical="center"/>
    </xf>
    <xf numFmtId="0" fontId="1" fillId="0" borderId="1" xfId="0" applyFont="1" applyBorder="1" applyAlignment="1">
      <alignment horizontal="centerContinuous" vertical="center" shrinkToFit="1"/>
    </xf>
    <xf numFmtId="0" fontId="20" fillId="0" borderId="0" xfId="0" applyFont="1" applyAlignment="1">
      <alignment horizontal="centerContinuous" vertical="center"/>
    </xf>
    <xf numFmtId="0" fontId="1" fillId="0" borderId="2" xfId="0" applyFont="1" applyBorder="1" applyAlignment="1">
      <alignment horizontal="centerContinuous" vertical="center"/>
    </xf>
    <xf numFmtId="2" fontId="1" fillId="0" borderId="32" xfId="0" applyNumberFormat="1" applyFont="1" applyBorder="1" applyAlignment="1">
      <alignment horizontal="center" vertical="center" shrinkToFit="1"/>
    </xf>
    <xf numFmtId="2" fontId="1" fillId="0" borderId="36" xfId="0" applyNumberFormat="1" applyFont="1" applyBorder="1" applyAlignment="1">
      <alignment horizontal="center" shrinkToFit="1"/>
    </xf>
    <xf numFmtId="0" fontId="6" fillId="5" borderId="113" xfId="2" quotePrefix="1" applyNumberFormat="1" applyFont="1" applyFill="1" applyBorder="1" applyAlignment="1">
      <alignment horizontal="centerContinuous" vertical="center" shrinkToFit="1"/>
    </xf>
    <xf numFmtId="0" fontId="6" fillId="5" borderId="2" xfId="2" quotePrefix="1" applyNumberFormat="1" applyFont="1" applyFill="1" applyBorder="1" applyAlignment="1">
      <alignment horizontal="centerContinuous" vertical="center" shrinkToFit="1"/>
    </xf>
    <xf numFmtId="164" fontId="1" fillId="0" borderId="38" xfId="0" applyNumberFormat="1" applyFont="1" applyBorder="1" applyAlignment="1">
      <alignment horizontal="center" shrinkToFit="1"/>
    </xf>
    <xf numFmtId="0" fontId="1" fillId="0" borderId="39" xfId="0" applyFont="1" applyBorder="1" applyAlignment="1">
      <alignment horizontal="left" shrinkToFit="1"/>
    </xf>
    <xf numFmtId="0" fontId="6" fillId="0" borderId="14" xfId="0" applyFont="1" applyBorder="1" applyAlignment="1">
      <alignment horizontal="center" vertical="center"/>
    </xf>
    <xf numFmtId="0" fontId="6" fillId="0" borderId="3" xfId="0" quotePrefix="1" applyFont="1" applyBorder="1" applyAlignment="1">
      <alignment horizontal="center"/>
    </xf>
    <xf numFmtId="0" fontId="6" fillId="0" borderId="44" xfId="0" applyFont="1" applyBorder="1" applyAlignment="1">
      <alignment horizontal="center" shrinkToFit="1"/>
    </xf>
    <xf numFmtId="0" fontId="6" fillId="0" borderId="48" xfId="0" applyFont="1" applyBorder="1" applyAlignment="1">
      <alignment horizontal="center" shrinkToFit="1"/>
    </xf>
    <xf numFmtId="0" fontId="6" fillId="0" borderId="32" xfId="0" applyFont="1" applyBorder="1" applyAlignment="1">
      <alignment horizontal="center" shrinkToFit="1"/>
    </xf>
    <xf numFmtId="49" fontId="6" fillId="0" borderId="27" xfId="0" applyNumberFormat="1" applyFont="1" applyBorder="1" applyAlignment="1">
      <alignment horizontal="center"/>
    </xf>
    <xf numFmtId="0" fontId="6" fillId="0" borderId="26" xfId="0" quotePrefix="1" applyFont="1" applyBorder="1" applyAlignment="1">
      <alignment horizontal="center"/>
    </xf>
    <xf numFmtId="49" fontId="5" fillId="13" borderId="27" xfId="0" applyNumberFormat="1" applyFont="1" applyFill="1" applyBorder="1" applyAlignment="1">
      <alignment horizontal="center" vertical="center"/>
    </xf>
    <xf numFmtId="0" fontId="1" fillId="14" borderId="24" xfId="0" applyFont="1" applyFill="1" applyBorder="1" applyAlignment="1">
      <alignment horizontal="center" vertical="center"/>
    </xf>
    <xf numFmtId="0" fontId="1" fillId="14" borderId="58" xfId="0" applyFont="1" applyFill="1" applyBorder="1" applyAlignment="1">
      <alignment horizontal="center" vertical="center"/>
    </xf>
    <xf numFmtId="1" fontId="6" fillId="12" borderId="97" xfId="0" applyNumberFormat="1" applyFont="1" applyFill="1" applyBorder="1" applyAlignment="1">
      <alignment horizontal="centerContinuous"/>
    </xf>
    <xf numFmtId="1" fontId="1" fillId="12" borderId="98" xfId="0" applyNumberFormat="1" applyFont="1" applyFill="1" applyBorder="1" applyAlignment="1">
      <alignment horizontal="centerContinuous"/>
    </xf>
    <xf numFmtId="0" fontId="1" fillId="0" borderId="94" xfId="2" applyNumberFormat="1" applyFont="1" applyFill="1" applyBorder="1" applyAlignment="1">
      <alignment horizontal="center" vertical="center"/>
    </xf>
    <xf numFmtId="0" fontId="1" fillId="0" borderId="24" xfId="2" applyNumberFormat="1" applyFont="1" applyFill="1" applyBorder="1" applyAlignment="1">
      <alignment horizontal="center" vertical="center"/>
    </xf>
    <xf numFmtId="0" fontId="1" fillId="0" borderId="58" xfId="2" applyNumberFormat="1" applyFont="1" applyFill="1" applyBorder="1" applyAlignment="1">
      <alignment horizontal="center" vertical="center"/>
    </xf>
    <xf numFmtId="49" fontId="1" fillId="0" borderId="42" xfId="2" applyNumberFormat="1" applyFont="1" applyFill="1" applyBorder="1" applyAlignment="1">
      <alignment horizontal="center" vertical="center"/>
    </xf>
    <xf numFmtId="0" fontId="61" fillId="2" borderId="4" xfId="0" applyFont="1" applyFill="1" applyBorder="1" applyAlignment="1">
      <alignment horizontal="right"/>
    </xf>
  </cellXfs>
  <cellStyles count="10">
    <cellStyle name="Comma" xfId="9"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5">
    <dxf>
      <font>
        <color rgb="FFFF0000"/>
      </font>
    </dxf>
    <dxf>
      <fill>
        <patternFill>
          <bgColor rgb="FF00FF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ED488848-AF0A-4A85-BD3D-C941048F4213}"/>
  </tableStyles>
  <colors>
    <mruColors>
      <color rgb="FFCC66FF"/>
      <color rgb="FF339933"/>
      <color rgb="FF00CC00"/>
      <color rgb="FFCCFFCC"/>
      <color rgb="FF66FFFF"/>
      <color rgb="FF00FF00"/>
      <color rgb="FF009900"/>
      <color rgb="FF9933FF"/>
      <color rgb="FF008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57150</xdr:rowOff>
    </xdr:from>
    <xdr:to>
      <xdr:col>6</xdr:col>
      <xdr:colOff>1276350</xdr:colOff>
      <xdr:row>24</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60960</xdr:colOff>
      <xdr:row>15</xdr:row>
      <xdr:rowOff>22860</xdr:rowOff>
    </xdr:from>
    <xdr:to>
      <xdr:col>6</xdr:col>
      <xdr:colOff>1104899</xdr:colOff>
      <xdr:row>15</xdr:row>
      <xdr:rowOff>272414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20540" y="3215640"/>
          <a:ext cx="2217419" cy="24955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53341</xdr:colOff>
      <xdr:row>1</xdr:row>
      <xdr:rowOff>137161</xdr:rowOff>
    </xdr:from>
    <xdr:to>
      <xdr:col>6</xdr:col>
      <xdr:colOff>1131499</xdr:colOff>
      <xdr:row>14</xdr:row>
      <xdr:rowOff>99061</xdr:rowOff>
    </xdr:to>
    <xdr:pic>
      <xdr:nvPicPr>
        <xdr:cNvPr id="2" name="Picture 1">
          <a:extLst>
            <a:ext uri="{FF2B5EF4-FFF2-40B4-BE49-F238E27FC236}">
              <a16:creationId xmlns:a16="http://schemas.microsoft.com/office/drawing/2014/main" id="{EF000B6D-C7E7-42B8-ACDB-C948270484E2}"/>
            </a:ext>
          </a:extLst>
        </xdr:cNvPr>
        <xdr:cNvPicPr>
          <a:picLocks noChangeAspect="1"/>
        </xdr:cNvPicPr>
      </xdr:nvPicPr>
      <xdr:blipFill>
        <a:blip xmlns:r="http://schemas.openxmlformats.org/officeDocument/2006/relationships" r:embed="rId1"/>
        <a:stretch>
          <a:fillRect/>
        </a:stretch>
      </xdr:blipFill>
      <xdr:spPr>
        <a:xfrm>
          <a:off x="4312921" y="510541"/>
          <a:ext cx="2251638" cy="2773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253365</xdr:colOff>
      <xdr:row>1</xdr:row>
      <xdr:rowOff>123825</xdr:rowOff>
    </xdr:from>
    <xdr:to>
      <xdr:col>4</xdr:col>
      <xdr:colOff>140970</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showGridLines="0" tabSelected="1" zoomScaleNormal="100" workbookViewId="0"/>
  </sheetViews>
  <sheetFormatPr defaultColWidth="13" defaultRowHeight="15.6" x14ac:dyDescent="0.3"/>
  <cols>
    <col min="1" max="1" width="15" style="19" customWidth="1"/>
    <col min="2" max="2" width="11" style="20" customWidth="1"/>
    <col min="3" max="3" width="6.296875" style="20" customWidth="1"/>
    <col min="4" max="4" width="13.69921875" style="19" bestFit="1" customWidth="1"/>
    <col min="5" max="5" width="9.8984375" style="20" bestFit="1" customWidth="1"/>
    <col min="6" max="6" width="15.3984375" style="19" customWidth="1"/>
    <col min="7" max="7" width="15.3984375" style="20" customWidth="1"/>
    <col min="8" max="16384" width="13" style="1"/>
  </cols>
  <sheetData>
    <row r="1" spans="1:7" ht="29.4" thickTop="1" thickBot="1" x14ac:dyDescent="0.55000000000000004">
      <c r="A1" s="264" t="s">
        <v>192</v>
      </c>
      <c r="B1" s="265" t="s">
        <v>193</v>
      </c>
      <c r="C1" s="124"/>
      <c r="D1" s="107"/>
      <c r="E1" s="297"/>
      <c r="F1" s="107"/>
      <c r="G1" s="198" t="s">
        <v>161</v>
      </c>
    </row>
    <row r="2" spans="1:7" ht="17.399999999999999" thickTop="1" x14ac:dyDescent="0.3">
      <c r="A2" s="2" t="s">
        <v>142</v>
      </c>
      <c r="B2" s="29" t="s">
        <v>176</v>
      </c>
      <c r="C2" s="29"/>
      <c r="D2" s="4" t="s">
        <v>149</v>
      </c>
      <c r="E2" s="38" t="s">
        <v>177</v>
      </c>
      <c r="F2"/>
      <c r="G2" s="5"/>
    </row>
    <row r="3" spans="1:7" ht="16.8" x14ac:dyDescent="0.3">
      <c r="A3" s="2" t="s">
        <v>143</v>
      </c>
      <c r="B3" s="29" t="s">
        <v>176</v>
      </c>
      <c r="C3" s="29"/>
      <c r="D3" s="4" t="s">
        <v>113</v>
      </c>
      <c r="E3" s="38">
        <v>3</v>
      </c>
      <c r="F3" s="4"/>
      <c r="G3" s="5"/>
    </row>
    <row r="4" spans="1:7" ht="16.8" x14ac:dyDescent="0.3">
      <c r="A4" s="2" t="s">
        <v>143</v>
      </c>
      <c r="B4" s="29" t="s">
        <v>72</v>
      </c>
      <c r="C4" s="29"/>
      <c r="D4" s="4" t="s">
        <v>113</v>
      </c>
      <c r="E4" s="38">
        <v>6</v>
      </c>
      <c r="F4" s="4"/>
      <c r="G4" s="5"/>
    </row>
    <row r="5" spans="1:7" ht="16.8" x14ac:dyDescent="0.3">
      <c r="A5" s="2" t="s">
        <v>144</v>
      </c>
      <c r="B5" s="29" t="s">
        <v>194</v>
      </c>
      <c r="C5" s="29"/>
      <c r="D5" s="4" t="s">
        <v>150</v>
      </c>
      <c r="E5" s="38">
        <v>312</v>
      </c>
      <c r="F5" s="4"/>
      <c r="G5" s="5"/>
    </row>
    <row r="6" spans="1:7" ht="16.8" x14ac:dyDescent="0.3">
      <c r="A6" s="2" t="s">
        <v>145</v>
      </c>
      <c r="B6" s="29" t="s">
        <v>195</v>
      </c>
      <c r="C6" s="29"/>
      <c r="D6" s="4" t="s">
        <v>151</v>
      </c>
      <c r="E6" s="38" t="s">
        <v>164</v>
      </c>
      <c r="F6" s="4"/>
      <c r="G6" s="5"/>
    </row>
    <row r="7" spans="1:7" ht="17.399999999999999" thickBot="1" x14ac:dyDescent="0.35">
      <c r="A7" s="2" t="s">
        <v>146</v>
      </c>
      <c r="B7" s="29" t="s">
        <v>196</v>
      </c>
      <c r="C7" s="29"/>
      <c r="D7" s="4" t="s">
        <v>152</v>
      </c>
      <c r="E7" s="38" t="s">
        <v>165</v>
      </c>
      <c r="F7" s="4"/>
      <c r="G7" s="5"/>
    </row>
    <row r="8" spans="1:7" ht="17.399999999999999" thickTop="1" x14ac:dyDescent="0.3">
      <c r="A8" s="122" t="s">
        <v>147</v>
      </c>
      <c r="B8" s="393">
        <f>2+4+1</f>
        <v>7</v>
      </c>
      <c r="C8" s="394"/>
      <c r="D8" s="123" t="s">
        <v>153</v>
      </c>
      <c r="E8" s="268" t="s">
        <v>198</v>
      </c>
      <c r="F8" s="3"/>
      <c r="G8" s="5"/>
    </row>
    <row r="9" spans="1:7" ht="17.399999999999999" thickBot="1" x14ac:dyDescent="0.35">
      <c r="A9" s="310" t="s">
        <v>148</v>
      </c>
      <c r="B9" s="307" t="s">
        <v>166</v>
      </c>
      <c r="C9" s="308"/>
      <c r="D9" s="309" t="s">
        <v>154</v>
      </c>
      <c r="E9" s="276" t="s">
        <v>198</v>
      </c>
      <c r="F9" s="3"/>
      <c r="G9" s="5"/>
    </row>
    <row r="10" spans="1:7" ht="17.399999999999999" thickTop="1" x14ac:dyDescent="0.3">
      <c r="A10" s="26" t="s">
        <v>141</v>
      </c>
      <c r="B10" s="383">
        <f>7</f>
        <v>7</v>
      </c>
      <c r="C10" s="88">
        <f t="shared" ref="C10:C15" si="0">IF(B10&gt;9.9,CONCATENATE("+",ROUNDDOWN((B10-10)/2,0)),ROUNDUP((B10-10)/2,0))</f>
        <v>-2</v>
      </c>
      <c r="D10" s="58" t="s">
        <v>155</v>
      </c>
      <c r="E10" s="267" t="s">
        <v>197</v>
      </c>
      <c r="F10" s="3"/>
      <c r="G10" s="5"/>
    </row>
    <row r="11" spans="1:7" ht="16.8" x14ac:dyDescent="0.3">
      <c r="A11" s="6" t="s">
        <v>137</v>
      </c>
      <c r="B11" s="384">
        <f>17</f>
        <v>17</v>
      </c>
      <c r="C11" s="37" t="str">
        <f t="shared" si="0"/>
        <v>+3</v>
      </c>
      <c r="D11" s="59" t="s">
        <v>156</v>
      </c>
      <c r="E11" s="40">
        <f>SUM(Martial!G3:G22)+SUM(Equipment!C3:C20)</f>
        <v>20.123749999999998</v>
      </c>
      <c r="F11" s="3"/>
      <c r="G11" s="5"/>
    </row>
    <row r="12" spans="1:7" ht="16.8" x14ac:dyDescent="0.3">
      <c r="A12" s="399" t="s">
        <v>136</v>
      </c>
      <c r="B12" s="287">
        <f>12</f>
        <v>12</v>
      </c>
      <c r="C12" s="30" t="str">
        <f t="shared" si="0"/>
        <v>+1</v>
      </c>
      <c r="D12" s="59" t="s">
        <v>157</v>
      </c>
      <c r="E12" s="390">
        <f>11+ROUNDUP(((E4*6)*0.75)+(E4*C12),0)</f>
        <v>44</v>
      </c>
      <c r="F12" s="3"/>
      <c r="G12" s="5"/>
    </row>
    <row r="13" spans="1:7" ht="16.8" x14ac:dyDescent="0.3">
      <c r="A13" s="66" t="s">
        <v>139</v>
      </c>
      <c r="B13" s="287">
        <f>11</f>
        <v>11</v>
      </c>
      <c r="C13" s="37" t="str">
        <f t="shared" si="0"/>
        <v>+0</v>
      </c>
      <c r="D13" s="160" t="s">
        <v>158</v>
      </c>
      <c r="E13" s="388">
        <f>2+10+C11</f>
        <v>15</v>
      </c>
      <c r="F13" s="2"/>
      <c r="G13" s="5"/>
    </row>
    <row r="14" spans="1:7" ht="16.8" x14ac:dyDescent="0.3">
      <c r="A14" s="25" t="s">
        <v>138</v>
      </c>
      <c r="B14" s="288">
        <f>14</f>
        <v>14</v>
      </c>
      <c r="C14" s="37" t="str">
        <f t="shared" si="0"/>
        <v>+2</v>
      </c>
      <c r="D14" s="160" t="s">
        <v>159</v>
      </c>
      <c r="E14" s="270">
        <f>E15-C11</f>
        <v>15</v>
      </c>
      <c r="F14" s="3"/>
      <c r="G14" s="5"/>
    </row>
    <row r="15" spans="1:7" ht="17.399999999999999" thickBot="1" x14ac:dyDescent="0.35">
      <c r="A15" s="27" t="s">
        <v>140</v>
      </c>
      <c r="B15" s="289">
        <f>15</f>
        <v>15</v>
      </c>
      <c r="C15" s="31" t="str">
        <f t="shared" si="0"/>
        <v>+2</v>
      </c>
      <c r="D15" s="161" t="s">
        <v>160</v>
      </c>
      <c r="E15" s="39">
        <f>E13+SUM(Martial!B18:B19)</f>
        <v>18</v>
      </c>
      <c r="F15" s="3"/>
      <c r="G15" s="5"/>
    </row>
    <row r="16" spans="1:7" ht="24" thickTop="1" thickBot="1" x14ac:dyDescent="0.45">
      <c r="A16" s="7" t="s">
        <v>16</v>
      </c>
      <c r="B16" s="8"/>
      <c r="C16" s="8"/>
      <c r="D16" s="9"/>
      <c r="E16" s="266"/>
      <c r="F16" s="9"/>
      <c r="G16" s="10"/>
    </row>
    <row r="17" spans="1:7" s="14" customFormat="1" ht="17.399999999999999" thickTop="1" x14ac:dyDescent="0.3">
      <c r="A17" s="11"/>
      <c r="B17" s="12"/>
      <c r="C17" s="12"/>
      <c r="D17" s="12"/>
      <c r="E17" s="12"/>
      <c r="F17" s="12"/>
      <c r="G17" s="13"/>
    </row>
    <row r="18" spans="1:7" s="14" customFormat="1" ht="16.8" x14ac:dyDescent="0.3">
      <c r="A18" s="45"/>
      <c r="B18" s="15"/>
      <c r="C18" s="15"/>
      <c r="D18" s="15"/>
      <c r="E18" s="15"/>
      <c r="F18" s="15"/>
      <c r="G18" s="46"/>
    </row>
    <row r="19" spans="1:7" s="14" customFormat="1" ht="16.8" x14ac:dyDescent="0.3">
      <c r="A19" s="45"/>
      <c r="B19" s="15"/>
      <c r="C19" s="15"/>
      <c r="D19" s="15"/>
      <c r="E19" s="15"/>
      <c r="F19" s="15"/>
      <c r="G19" s="46"/>
    </row>
    <row r="20" spans="1:7" s="14" customFormat="1" ht="16.8" x14ac:dyDescent="0.3">
      <c r="A20" s="45"/>
      <c r="B20" s="15"/>
      <c r="C20" s="15"/>
      <c r="D20" s="15"/>
      <c r="E20" s="15"/>
      <c r="F20" s="15"/>
      <c r="G20" s="46"/>
    </row>
    <row r="21" spans="1:7" s="14" customFormat="1" ht="16.8" x14ac:dyDescent="0.3">
      <c r="A21" s="45"/>
      <c r="B21" s="15"/>
      <c r="C21" s="15"/>
      <c r="D21" s="15"/>
      <c r="E21" s="15"/>
      <c r="F21" s="15"/>
      <c r="G21" s="46"/>
    </row>
    <row r="22" spans="1:7" s="14" customFormat="1" ht="16.8" x14ac:dyDescent="0.3">
      <c r="A22" s="45"/>
      <c r="B22" s="15"/>
      <c r="C22" s="15"/>
      <c r="D22" s="15"/>
      <c r="E22" s="15"/>
      <c r="F22" s="15"/>
      <c r="G22" s="46"/>
    </row>
    <row r="23" spans="1:7" s="14" customFormat="1" ht="16.8" x14ac:dyDescent="0.3">
      <c r="A23" s="45"/>
      <c r="B23" s="15"/>
      <c r="C23" s="15"/>
      <c r="D23" s="15"/>
      <c r="E23" s="15"/>
      <c r="F23" s="15"/>
      <c r="G23" s="46"/>
    </row>
    <row r="24" spans="1:7" s="14" customFormat="1" ht="16.8" x14ac:dyDescent="0.3">
      <c r="A24" s="45"/>
      <c r="B24" s="15"/>
      <c r="C24" s="15"/>
      <c r="D24" s="15"/>
      <c r="E24" s="15"/>
      <c r="F24" s="15"/>
      <c r="G24" s="46"/>
    </row>
    <row r="25" spans="1:7" ht="17.399999999999999" thickBot="1" x14ac:dyDescent="0.35">
      <c r="A25" s="16"/>
      <c r="B25" s="17"/>
      <c r="C25" s="17"/>
      <c r="D25" s="17"/>
      <c r="E25" s="17"/>
      <c r="F25" s="17"/>
      <c r="G25" s="18"/>
    </row>
    <row r="26" spans="1:7" ht="16.2" thickTop="1" x14ac:dyDescent="0.3"/>
  </sheetData>
  <phoneticPr fontId="0" type="noConversion"/>
  <conditionalFormatting sqref="E11">
    <cfRule type="cellIs" dxfId="4" priority="4" stopIfTrue="1" operator="greaterThan">
      <formula>23</formula>
    </cfRule>
    <cfRule type="cellIs" dxfId="3" priority="5" stopIfTrue="1" operator="between">
      <formula>12</formula>
      <formula>23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workbookViewId="0">
      <pane ySplit="2" topLeftCell="A3" activePane="bottomLeft" state="frozen"/>
      <selection pane="bottomLeft" activeCell="A3" sqref="A3"/>
    </sheetView>
  </sheetViews>
  <sheetFormatPr defaultColWidth="13" defaultRowHeight="15.6" x14ac:dyDescent="0.3"/>
  <cols>
    <col min="1" max="1" width="29.59765625" style="19" bestFit="1" customWidth="1"/>
    <col min="2" max="2" width="5.8984375" style="19" bestFit="1" customWidth="1"/>
    <col min="3" max="3" width="11.59765625" style="20" hidden="1" customWidth="1"/>
    <col min="4" max="4" width="5.796875" style="20" hidden="1" customWidth="1"/>
    <col min="5" max="5" width="9.19921875" style="20" bestFit="1" customWidth="1"/>
    <col min="6" max="6" width="7.796875" style="20" bestFit="1" customWidth="1"/>
    <col min="7" max="7" width="5.8984375" style="20" bestFit="1" customWidth="1"/>
    <col min="8" max="8" width="4.69921875" style="20" bestFit="1" customWidth="1"/>
    <col min="9" max="9" width="6.8984375" style="20" bestFit="1" customWidth="1"/>
    <col min="10" max="10" width="39" style="19" bestFit="1" customWidth="1"/>
    <col min="11" max="16384" width="13" style="1"/>
  </cols>
  <sheetData>
    <row r="1" spans="1:10" ht="23.4" thickBot="1" x14ac:dyDescent="0.45">
      <c r="A1" s="28" t="s">
        <v>6</v>
      </c>
      <c r="B1" s="21"/>
      <c r="C1" s="21"/>
      <c r="D1" s="21"/>
      <c r="E1" s="21"/>
      <c r="F1" s="21"/>
      <c r="G1" s="21"/>
      <c r="H1" s="21"/>
      <c r="I1" s="21"/>
      <c r="J1" s="21"/>
    </row>
    <row r="2" spans="1:10" s="144" customFormat="1" ht="34.200000000000003" thickBot="1" x14ac:dyDescent="0.35">
      <c r="A2" s="139" t="s">
        <v>91</v>
      </c>
      <c r="B2" s="140" t="s">
        <v>21</v>
      </c>
      <c r="C2" s="140" t="s">
        <v>23</v>
      </c>
      <c r="D2" s="140" t="s">
        <v>20</v>
      </c>
      <c r="E2" s="141" t="s">
        <v>48</v>
      </c>
      <c r="F2" s="141" t="s">
        <v>24</v>
      </c>
      <c r="G2" s="141" t="s">
        <v>50</v>
      </c>
      <c r="H2" s="142" t="s">
        <v>79</v>
      </c>
      <c r="I2" s="140" t="s">
        <v>62</v>
      </c>
      <c r="J2" s="143" t="s">
        <v>61</v>
      </c>
    </row>
    <row r="3" spans="1:10" s="14" customFormat="1" ht="16.8" x14ac:dyDescent="0.3">
      <c r="A3" s="108" t="s">
        <v>52</v>
      </c>
      <c r="B3" s="109">
        <f>4+2</f>
        <v>6</v>
      </c>
      <c r="C3" s="42" t="s">
        <v>136</v>
      </c>
      <c r="D3" s="42" t="str">
        <f>VLOOKUP(C3,'Personal File'!$A$10:$C$15,3,FALSE)</f>
        <v>+1</v>
      </c>
      <c r="E3" s="120" t="str">
        <f t="shared" ref="E3:E42" si="0">CONCATENATE(LEFT(C3,3)," (",D3,")")</f>
        <v>Con (+1)</v>
      </c>
      <c r="F3" s="42">
        <v>0</v>
      </c>
      <c r="G3" s="110">
        <f t="shared" ref="G3:G5" si="1">B3+D3+F3</f>
        <v>7</v>
      </c>
      <c r="H3" s="111">
        <f t="shared" ref="H3:H42" ca="1" si="2">RANDBETWEEN(1,20)</f>
        <v>2</v>
      </c>
      <c r="I3" s="112">
        <f t="shared" ref="I3:I5" ca="1" si="3">SUM(G3:H3)</f>
        <v>9</v>
      </c>
      <c r="J3" s="44"/>
    </row>
    <row r="4" spans="1:10" s="14" customFormat="1" ht="16.8" x14ac:dyDescent="0.3">
      <c r="A4" s="113" t="s">
        <v>53</v>
      </c>
      <c r="B4" s="109">
        <f>7+5</f>
        <v>12</v>
      </c>
      <c r="C4" s="42" t="s">
        <v>137</v>
      </c>
      <c r="D4" s="42" t="str">
        <f>VLOOKUP(C4,'Personal File'!$A$10:$C$15,3,FALSE)</f>
        <v>+3</v>
      </c>
      <c r="E4" s="96" t="str">
        <f t="shared" si="0"/>
        <v>Dex (+3)</v>
      </c>
      <c r="F4" s="277">
        <v>0</v>
      </c>
      <c r="G4" s="110">
        <f t="shared" si="1"/>
        <v>15</v>
      </c>
      <c r="H4" s="111">
        <f t="shared" ca="1" si="2"/>
        <v>3</v>
      </c>
      <c r="I4" s="112">
        <f t="shared" ca="1" si="3"/>
        <v>18</v>
      </c>
      <c r="J4" s="389" t="s">
        <v>133</v>
      </c>
    </row>
    <row r="5" spans="1:10" s="14" customFormat="1" ht="16.8" x14ac:dyDescent="0.3">
      <c r="A5" s="114" t="s">
        <v>54</v>
      </c>
      <c r="B5" s="115">
        <f>5+2</f>
        <v>7</v>
      </c>
      <c r="C5" s="116" t="s">
        <v>138</v>
      </c>
      <c r="D5" s="116" t="str">
        <f>VLOOKUP(C5,'Personal File'!$A$10:$C$15,3,FALSE)</f>
        <v>+2</v>
      </c>
      <c r="E5" s="121" t="str">
        <f t="shared" si="0"/>
        <v>Wis (+2)</v>
      </c>
      <c r="F5" s="116">
        <v>0</v>
      </c>
      <c r="G5" s="117">
        <f t="shared" si="1"/>
        <v>9</v>
      </c>
      <c r="H5" s="118">
        <f t="shared" ca="1" si="2"/>
        <v>17</v>
      </c>
      <c r="I5" s="119">
        <f t="shared" ca="1" si="3"/>
        <v>26</v>
      </c>
      <c r="J5" s="125" t="s">
        <v>206</v>
      </c>
    </row>
    <row r="6" spans="1:10" s="32" customFormat="1" ht="16.8" x14ac:dyDescent="0.3">
      <c r="A6" s="126" t="s">
        <v>25</v>
      </c>
      <c r="B6" s="42">
        <v>0</v>
      </c>
      <c r="C6" s="127" t="s">
        <v>139</v>
      </c>
      <c r="D6" s="128" t="str">
        <f>VLOOKUP(C6,'Personal File'!$A$10:$C$15,3,FALSE)</f>
        <v>+0</v>
      </c>
      <c r="E6" s="129" t="str">
        <f t="shared" si="0"/>
        <v>Int (+0)</v>
      </c>
      <c r="F6" s="277" t="s">
        <v>49</v>
      </c>
      <c r="G6" s="43">
        <f t="shared" ref="G6:G42" si="4">B6+D6+F6</f>
        <v>0</v>
      </c>
      <c r="H6" s="111">
        <f t="shared" ca="1" si="2"/>
        <v>6</v>
      </c>
      <c r="I6" s="43">
        <f t="shared" ref="I6:I7" ca="1" si="5">SUM(G6:H6)</f>
        <v>6</v>
      </c>
      <c r="J6" s="44"/>
    </row>
    <row r="7" spans="1:10" s="36" customFormat="1" ht="16.8" x14ac:dyDescent="0.3">
      <c r="A7" s="316" t="s">
        <v>26</v>
      </c>
      <c r="B7" s="317">
        <v>3</v>
      </c>
      <c r="C7" s="318" t="s">
        <v>137</v>
      </c>
      <c r="D7" s="319" t="str">
        <f>VLOOKUP(C7,'Personal File'!$A$10:$C$15,3,FALSE)</f>
        <v>+3</v>
      </c>
      <c r="E7" s="320" t="str">
        <f t="shared" si="0"/>
        <v>Dex (+3)</v>
      </c>
      <c r="F7" s="321" t="s">
        <v>76</v>
      </c>
      <c r="G7" s="322">
        <f t="shared" si="4"/>
        <v>8</v>
      </c>
      <c r="H7" s="111">
        <f t="shared" ca="1" si="2"/>
        <v>9</v>
      </c>
      <c r="I7" s="322">
        <f t="shared" ca="1" si="5"/>
        <v>17</v>
      </c>
      <c r="J7" s="323"/>
    </row>
    <row r="8" spans="1:10" s="34" customFormat="1" ht="16.8" x14ac:dyDescent="0.3">
      <c r="A8" s="60" t="s">
        <v>27</v>
      </c>
      <c r="B8" s="61">
        <v>1</v>
      </c>
      <c r="C8" s="62" t="s">
        <v>140</v>
      </c>
      <c r="D8" s="63" t="str">
        <f>VLOOKUP(C8,'Personal File'!$A$10:$C$15,3,FALSE)</f>
        <v>+2</v>
      </c>
      <c r="E8" s="67" t="str">
        <f t="shared" si="0"/>
        <v>Cha (+2)</v>
      </c>
      <c r="F8" s="278" t="s">
        <v>49</v>
      </c>
      <c r="G8" s="64">
        <f t="shared" si="4"/>
        <v>3</v>
      </c>
      <c r="H8" s="111">
        <f t="shared" ca="1" si="2"/>
        <v>5</v>
      </c>
      <c r="I8" s="64">
        <f t="shared" ref="I8:I42" ca="1" si="6">SUM(G8:H8)</f>
        <v>8</v>
      </c>
      <c r="J8" s="65"/>
    </row>
    <row r="9" spans="1:10" s="33" customFormat="1" ht="16.8" x14ac:dyDescent="0.3">
      <c r="A9" s="329" t="s">
        <v>28</v>
      </c>
      <c r="B9" s="317">
        <v>9</v>
      </c>
      <c r="C9" s="330" t="s">
        <v>141</v>
      </c>
      <c r="D9" s="331">
        <f>VLOOKUP(C9,'Personal File'!$A$10:$C$15,3,FALSE)</f>
        <v>-2</v>
      </c>
      <c r="E9" s="332" t="str">
        <f t="shared" si="0"/>
        <v>Str (-2)</v>
      </c>
      <c r="F9" s="321" t="s">
        <v>76</v>
      </c>
      <c r="G9" s="322">
        <f t="shared" si="4"/>
        <v>9</v>
      </c>
      <c r="H9" s="111">
        <f t="shared" ca="1" si="2"/>
        <v>14</v>
      </c>
      <c r="I9" s="322">
        <f t="shared" ca="1" si="6"/>
        <v>23</v>
      </c>
      <c r="J9" s="323"/>
    </row>
    <row r="10" spans="1:10" s="33" customFormat="1" ht="16.8" x14ac:dyDescent="0.3">
      <c r="A10" s="81" t="s">
        <v>7</v>
      </c>
      <c r="B10" s="42">
        <v>0</v>
      </c>
      <c r="C10" s="82" t="s">
        <v>136</v>
      </c>
      <c r="D10" s="83" t="str">
        <f>VLOOKUP(C10,'Personal File'!$A$10:$C$15,3,FALSE)</f>
        <v>+1</v>
      </c>
      <c r="E10" s="84" t="str">
        <f t="shared" si="0"/>
        <v>Con (+1)</v>
      </c>
      <c r="F10" s="277" t="s">
        <v>49</v>
      </c>
      <c r="G10" s="43">
        <f t="shared" si="4"/>
        <v>1</v>
      </c>
      <c r="H10" s="111">
        <f t="shared" ca="1" si="2"/>
        <v>1</v>
      </c>
      <c r="I10" s="43">
        <f t="shared" ca="1" si="6"/>
        <v>2</v>
      </c>
      <c r="J10" s="44"/>
    </row>
    <row r="11" spans="1:10" s="32" customFormat="1" ht="16.8" x14ac:dyDescent="0.3">
      <c r="A11" s="69" t="s">
        <v>87</v>
      </c>
      <c r="B11" s="61">
        <v>1</v>
      </c>
      <c r="C11" s="70" t="s">
        <v>139</v>
      </c>
      <c r="D11" s="71" t="str">
        <f>VLOOKUP(C11,'Personal File'!$A$10:$C$15,3,FALSE)</f>
        <v>+0</v>
      </c>
      <c r="E11" s="72" t="str">
        <f t="shared" si="0"/>
        <v>Int (+0)</v>
      </c>
      <c r="F11" s="278" t="s">
        <v>49</v>
      </c>
      <c r="G11" s="64">
        <f t="shared" si="4"/>
        <v>1</v>
      </c>
      <c r="H11" s="111">
        <f t="shared" ca="1" si="2"/>
        <v>18</v>
      </c>
      <c r="I11" s="64">
        <f t="shared" ca="1" si="6"/>
        <v>19</v>
      </c>
      <c r="J11" s="65"/>
    </row>
    <row r="12" spans="1:10" s="35" customFormat="1" ht="16.8" x14ac:dyDescent="0.3">
      <c r="A12" s="145" t="s">
        <v>29</v>
      </c>
      <c r="B12" s="146">
        <v>0</v>
      </c>
      <c r="C12" s="147" t="s">
        <v>139</v>
      </c>
      <c r="D12" s="148" t="str">
        <f>VLOOKUP(C12,'Personal File'!$A$10:$C$15,3,FALSE)</f>
        <v>+0</v>
      </c>
      <c r="E12" s="149" t="str">
        <f t="shared" si="0"/>
        <v>Int (+0)</v>
      </c>
      <c r="F12" s="279" t="s">
        <v>49</v>
      </c>
      <c r="G12" s="150">
        <f t="shared" si="4"/>
        <v>0</v>
      </c>
      <c r="H12" s="111">
        <f t="shared" ca="1" si="2"/>
        <v>19</v>
      </c>
      <c r="I12" s="150">
        <f t="shared" ca="1" si="6"/>
        <v>19</v>
      </c>
      <c r="J12" s="152"/>
    </row>
    <row r="13" spans="1:10" s="36" customFormat="1" ht="16.8" x14ac:dyDescent="0.3">
      <c r="A13" s="89" t="s">
        <v>30</v>
      </c>
      <c r="B13" s="42">
        <v>0</v>
      </c>
      <c r="C13" s="90" t="s">
        <v>140</v>
      </c>
      <c r="D13" s="91" t="str">
        <f>VLOOKUP(C13,'Personal File'!$A$10:$C$15,3,FALSE)</f>
        <v>+2</v>
      </c>
      <c r="E13" s="92" t="str">
        <f t="shared" si="0"/>
        <v>Cha (+2)</v>
      </c>
      <c r="F13" s="277" t="s">
        <v>76</v>
      </c>
      <c r="G13" s="43">
        <f t="shared" si="4"/>
        <v>4</v>
      </c>
      <c r="H13" s="111">
        <f t="shared" ca="1" si="2"/>
        <v>11</v>
      </c>
      <c r="I13" s="43">
        <f t="shared" ca="1" si="6"/>
        <v>15</v>
      </c>
      <c r="J13" s="44"/>
    </row>
    <row r="14" spans="1:10" s="36" customFormat="1" ht="16.8" x14ac:dyDescent="0.3">
      <c r="A14" s="69" t="s">
        <v>31</v>
      </c>
      <c r="B14" s="61">
        <v>5</v>
      </c>
      <c r="C14" s="70" t="s">
        <v>139</v>
      </c>
      <c r="D14" s="71" t="str">
        <f>VLOOKUP(C14,'Personal File'!$A$10:$C$15,3,FALSE)</f>
        <v>+0</v>
      </c>
      <c r="E14" s="72" t="str">
        <f t="shared" si="0"/>
        <v>Int (+0)</v>
      </c>
      <c r="F14" s="278" t="s">
        <v>76</v>
      </c>
      <c r="G14" s="64">
        <f t="shared" si="4"/>
        <v>7</v>
      </c>
      <c r="H14" s="111">
        <f t="shared" ca="1" si="2"/>
        <v>6</v>
      </c>
      <c r="I14" s="64">
        <f t="shared" ca="1" si="6"/>
        <v>13</v>
      </c>
      <c r="J14" s="65" t="s">
        <v>118</v>
      </c>
    </row>
    <row r="15" spans="1:10" s="36" customFormat="1" ht="16.8" x14ac:dyDescent="0.3">
      <c r="A15" s="60" t="s">
        <v>32</v>
      </c>
      <c r="B15" s="61">
        <v>1</v>
      </c>
      <c r="C15" s="62" t="s">
        <v>140</v>
      </c>
      <c r="D15" s="63" t="str">
        <f>VLOOKUP(C15,'Personal File'!$A$10:$C$15,3,FALSE)</f>
        <v>+2</v>
      </c>
      <c r="E15" s="67" t="str">
        <f t="shared" si="0"/>
        <v>Cha (+2)</v>
      </c>
      <c r="F15" s="280">
        <f>10+2</f>
        <v>12</v>
      </c>
      <c r="G15" s="64">
        <f t="shared" si="4"/>
        <v>15</v>
      </c>
      <c r="H15" s="111">
        <f t="shared" ca="1" si="2"/>
        <v>14</v>
      </c>
      <c r="I15" s="64">
        <f t="shared" ca="1" si="6"/>
        <v>29</v>
      </c>
      <c r="J15" s="199"/>
    </row>
    <row r="16" spans="1:10" s="36" customFormat="1" ht="16.8" x14ac:dyDescent="0.3">
      <c r="A16" s="316" t="s">
        <v>33</v>
      </c>
      <c r="B16" s="317">
        <v>5</v>
      </c>
      <c r="C16" s="318" t="s">
        <v>137</v>
      </c>
      <c r="D16" s="319" t="str">
        <f>VLOOKUP(C16,'Personal File'!$A$10:$C$15,3,FALSE)</f>
        <v>+3</v>
      </c>
      <c r="E16" s="320" t="str">
        <f t="shared" si="0"/>
        <v>Dex (+3)</v>
      </c>
      <c r="F16" s="321" t="s">
        <v>49</v>
      </c>
      <c r="G16" s="322">
        <f t="shared" si="4"/>
        <v>8</v>
      </c>
      <c r="H16" s="111">
        <f t="shared" ca="1" si="2"/>
        <v>8</v>
      </c>
      <c r="I16" s="322">
        <f t="shared" ca="1" si="6"/>
        <v>16</v>
      </c>
      <c r="J16" s="323"/>
    </row>
    <row r="17" spans="1:10" s="36" customFormat="1" ht="16.8" x14ac:dyDescent="0.3">
      <c r="A17" s="126" t="s">
        <v>34</v>
      </c>
      <c r="B17" s="42">
        <v>0</v>
      </c>
      <c r="C17" s="127" t="s">
        <v>139</v>
      </c>
      <c r="D17" s="128" t="str">
        <f>VLOOKUP(C17,'Personal File'!$A$10:$C$15,3,FALSE)</f>
        <v>+0</v>
      </c>
      <c r="E17" s="129" t="str">
        <f t="shared" si="0"/>
        <v>Int (+0)</v>
      </c>
      <c r="F17" s="277" t="s">
        <v>49</v>
      </c>
      <c r="G17" s="43">
        <f t="shared" si="4"/>
        <v>0</v>
      </c>
      <c r="H17" s="111">
        <f t="shared" ca="1" si="2"/>
        <v>1</v>
      </c>
      <c r="I17" s="43">
        <f t="shared" ca="1" si="6"/>
        <v>1</v>
      </c>
      <c r="J17" s="44"/>
    </row>
    <row r="18" spans="1:10" s="36" customFormat="1" ht="16.8" x14ac:dyDescent="0.3">
      <c r="A18" s="60" t="s">
        <v>35</v>
      </c>
      <c r="B18" s="61">
        <v>1</v>
      </c>
      <c r="C18" s="62" t="s">
        <v>140</v>
      </c>
      <c r="D18" s="63" t="str">
        <f>VLOOKUP(C18,'Personal File'!$A$10:$C$15,3,FALSE)</f>
        <v>+2</v>
      </c>
      <c r="E18" s="67" t="str">
        <f t="shared" si="0"/>
        <v>Cha (+2)</v>
      </c>
      <c r="F18" s="278" t="s">
        <v>76</v>
      </c>
      <c r="G18" s="64">
        <f t="shared" si="4"/>
        <v>5</v>
      </c>
      <c r="H18" s="111">
        <f t="shared" ca="1" si="2"/>
        <v>14</v>
      </c>
      <c r="I18" s="64">
        <f t="shared" ca="1" si="6"/>
        <v>19</v>
      </c>
      <c r="J18" s="65"/>
    </row>
    <row r="19" spans="1:10" s="36" customFormat="1" ht="16.8" x14ac:dyDescent="0.3">
      <c r="A19" s="89" t="s">
        <v>9</v>
      </c>
      <c r="B19" s="42">
        <v>0</v>
      </c>
      <c r="C19" s="90" t="s">
        <v>140</v>
      </c>
      <c r="D19" s="91" t="str">
        <f>VLOOKUP(C19,'Personal File'!$A$10:$C$15,3,FALSE)</f>
        <v>+2</v>
      </c>
      <c r="E19" s="92" t="str">
        <f t="shared" si="0"/>
        <v>Cha (+2)</v>
      </c>
      <c r="F19" s="277" t="s">
        <v>49</v>
      </c>
      <c r="G19" s="43">
        <f t="shared" si="4"/>
        <v>2</v>
      </c>
      <c r="H19" s="111">
        <f t="shared" ca="1" si="2"/>
        <v>18</v>
      </c>
      <c r="I19" s="43">
        <f t="shared" ca="1" si="6"/>
        <v>20</v>
      </c>
      <c r="J19" s="44"/>
    </row>
    <row r="20" spans="1:10" s="36" customFormat="1" ht="16.8" x14ac:dyDescent="0.3">
      <c r="A20" s="77" t="s">
        <v>36</v>
      </c>
      <c r="B20" s="61">
        <v>5</v>
      </c>
      <c r="C20" s="78" t="s">
        <v>138</v>
      </c>
      <c r="D20" s="79" t="str">
        <f>VLOOKUP(C20,'Personal File'!$A$10:$C$15,3,FALSE)</f>
        <v>+2</v>
      </c>
      <c r="E20" s="80" t="str">
        <f t="shared" si="0"/>
        <v>Wis (+2)</v>
      </c>
      <c r="F20" s="278" t="s">
        <v>49</v>
      </c>
      <c r="G20" s="64">
        <f t="shared" si="4"/>
        <v>7</v>
      </c>
      <c r="H20" s="111">
        <f t="shared" ca="1" si="2"/>
        <v>11</v>
      </c>
      <c r="I20" s="64">
        <f t="shared" ca="1" si="6"/>
        <v>18</v>
      </c>
      <c r="J20" s="65"/>
    </row>
    <row r="21" spans="1:10" s="36" customFormat="1" ht="16.8" x14ac:dyDescent="0.3">
      <c r="A21" s="316" t="s">
        <v>37</v>
      </c>
      <c r="B21" s="317">
        <v>5</v>
      </c>
      <c r="C21" s="318" t="s">
        <v>137</v>
      </c>
      <c r="D21" s="319" t="str">
        <f>VLOOKUP(C21,'Personal File'!$A$10:$C$15,3,FALSE)</f>
        <v>+3</v>
      </c>
      <c r="E21" s="320" t="str">
        <f t="shared" si="0"/>
        <v>Dex (+3)</v>
      </c>
      <c r="F21" s="321" t="s">
        <v>173</v>
      </c>
      <c r="G21" s="322">
        <f t="shared" si="4"/>
        <v>16</v>
      </c>
      <c r="H21" s="111">
        <f t="shared" ca="1" si="2"/>
        <v>3</v>
      </c>
      <c r="I21" s="322">
        <f t="shared" ca="1" si="6"/>
        <v>19</v>
      </c>
      <c r="J21" s="333"/>
    </row>
    <row r="22" spans="1:10" s="36" customFormat="1" ht="16.8" x14ac:dyDescent="0.3">
      <c r="A22" s="89" t="s">
        <v>38</v>
      </c>
      <c r="B22" s="42">
        <v>0</v>
      </c>
      <c r="C22" s="90" t="s">
        <v>140</v>
      </c>
      <c r="D22" s="91" t="str">
        <f>VLOOKUP(C22,'Personal File'!$A$10:$C$15,3,FALSE)</f>
        <v>+2</v>
      </c>
      <c r="E22" s="92" t="str">
        <f t="shared" si="0"/>
        <v>Cha (+2)</v>
      </c>
      <c r="F22" s="277" t="s">
        <v>76</v>
      </c>
      <c r="G22" s="43">
        <f t="shared" si="4"/>
        <v>4</v>
      </c>
      <c r="H22" s="111">
        <f t="shared" ca="1" si="2"/>
        <v>10</v>
      </c>
      <c r="I22" s="43">
        <f t="shared" ca="1" si="6"/>
        <v>14</v>
      </c>
      <c r="J22" s="44"/>
    </row>
    <row r="23" spans="1:10" s="36" customFormat="1" ht="16.8" x14ac:dyDescent="0.3">
      <c r="A23" s="342" t="s">
        <v>39</v>
      </c>
      <c r="B23" s="61">
        <v>1</v>
      </c>
      <c r="C23" s="343" t="s">
        <v>141</v>
      </c>
      <c r="D23" s="344">
        <f>VLOOKUP(C23,'Personal File'!$A$10:$C$15,3,FALSE)</f>
        <v>-2</v>
      </c>
      <c r="E23" s="345" t="str">
        <f t="shared" si="0"/>
        <v>Str (-2)</v>
      </c>
      <c r="F23" s="278" t="s">
        <v>76</v>
      </c>
      <c r="G23" s="64">
        <f t="shared" si="4"/>
        <v>1</v>
      </c>
      <c r="H23" s="111">
        <f t="shared" ca="1" si="2"/>
        <v>16</v>
      </c>
      <c r="I23" s="64">
        <f t="shared" ca="1" si="6"/>
        <v>17</v>
      </c>
      <c r="J23" s="65"/>
    </row>
    <row r="24" spans="1:10" s="36" customFormat="1" ht="16.8" x14ac:dyDescent="0.3">
      <c r="A24" s="69" t="s">
        <v>109</v>
      </c>
      <c r="B24" s="61">
        <v>3</v>
      </c>
      <c r="C24" s="70" t="s">
        <v>139</v>
      </c>
      <c r="D24" s="71" t="str">
        <f>VLOOKUP(C24,'Personal File'!$A$10:$C$15,3,FALSE)</f>
        <v>+0</v>
      </c>
      <c r="E24" s="72" t="str">
        <f t="shared" si="0"/>
        <v>Int (+0)</v>
      </c>
      <c r="F24" s="278" t="s">
        <v>49</v>
      </c>
      <c r="G24" s="64">
        <f t="shared" si="4"/>
        <v>3</v>
      </c>
      <c r="H24" s="111">
        <f t="shared" ca="1" si="2"/>
        <v>5</v>
      </c>
      <c r="I24" s="64">
        <f t="shared" ca="1" si="6"/>
        <v>8</v>
      </c>
      <c r="J24" s="65"/>
    </row>
    <row r="25" spans="1:10" s="36" customFormat="1" ht="16.8" x14ac:dyDescent="0.3">
      <c r="A25" s="69" t="s">
        <v>178</v>
      </c>
      <c r="B25" s="61">
        <v>3</v>
      </c>
      <c r="C25" s="70" t="s">
        <v>139</v>
      </c>
      <c r="D25" s="71" t="str">
        <f>VLOOKUP(C25,'Personal File'!$A$10:$C$15,3,FALSE)</f>
        <v>+0</v>
      </c>
      <c r="E25" s="72" t="str">
        <f t="shared" si="0"/>
        <v>Int (+0)</v>
      </c>
      <c r="F25" s="278" t="s">
        <v>49</v>
      </c>
      <c r="G25" s="64">
        <f t="shared" ref="G25" si="7">B25+D25+F25</f>
        <v>3</v>
      </c>
      <c r="H25" s="111">
        <f t="shared" ca="1" si="2"/>
        <v>6</v>
      </c>
      <c r="I25" s="64">
        <f t="shared" ref="I25" ca="1" si="8">SUM(G25:H25)</f>
        <v>9</v>
      </c>
      <c r="J25" s="65"/>
    </row>
    <row r="26" spans="1:10" s="36" customFormat="1" ht="16.8" x14ac:dyDescent="0.3">
      <c r="A26" s="324" t="s">
        <v>40</v>
      </c>
      <c r="B26" s="317">
        <v>5</v>
      </c>
      <c r="C26" s="325" t="s">
        <v>138</v>
      </c>
      <c r="D26" s="326" t="str">
        <f>VLOOKUP(C26,'Personal File'!$A$10:$C$15,3,FALSE)</f>
        <v>+2</v>
      </c>
      <c r="E26" s="327" t="str">
        <f t="shared" si="0"/>
        <v>Wis (+2)</v>
      </c>
      <c r="F26" s="321" t="s">
        <v>49</v>
      </c>
      <c r="G26" s="322">
        <f t="shared" si="4"/>
        <v>7</v>
      </c>
      <c r="H26" s="111">
        <f t="shared" ca="1" si="2"/>
        <v>2</v>
      </c>
      <c r="I26" s="322">
        <f t="shared" ca="1" si="6"/>
        <v>9</v>
      </c>
      <c r="J26" s="323"/>
    </row>
    <row r="27" spans="1:10" s="36" customFormat="1" ht="16.8" x14ac:dyDescent="0.3">
      <c r="A27" s="316" t="s">
        <v>10</v>
      </c>
      <c r="B27" s="317">
        <v>2</v>
      </c>
      <c r="C27" s="318" t="s">
        <v>137</v>
      </c>
      <c r="D27" s="319" t="str">
        <f>VLOOKUP(C27,'Personal File'!$A$10:$C$15,3,FALSE)</f>
        <v>+3</v>
      </c>
      <c r="E27" s="320" t="str">
        <f t="shared" si="0"/>
        <v>Dex (+3)</v>
      </c>
      <c r="F27" s="321" t="s">
        <v>173</v>
      </c>
      <c r="G27" s="322">
        <f t="shared" si="4"/>
        <v>13</v>
      </c>
      <c r="H27" s="111">
        <f t="shared" ca="1" si="2"/>
        <v>3</v>
      </c>
      <c r="I27" s="322">
        <f t="shared" ca="1" si="6"/>
        <v>16</v>
      </c>
      <c r="J27" s="323"/>
    </row>
    <row r="28" spans="1:10" s="36" customFormat="1" ht="16.8" x14ac:dyDescent="0.3">
      <c r="A28" s="73" t="s">
        <v>41</v>
      </c>
      <c r="B28" s="61">
        <v>9</v>
      </c>
      <c r="C28" s="74" t="s">
        <v>137</v>
      </c>
      <c r="D28" s="75" t="str">
        <f>VLOOKUP(C28,'Personal File'!$A$10:$C$15,3,FALSE)</f>
        <v>+3</v>
      </c>
      <c r="E28" s="76" t="str">
        <f t="shared" si="0"/>
        <v>Dex (+3)</v>
      </c>
      <c r="F28" s="281">
        <f>2</f>
        <v>2</v>
      </c>
      <c r="G28" s="64">
        <f t="shared" si="4"/>
        <v>14</v>
      </c>
      <c r="H28" s="111">
        <f t="shared" ca="1" si="2"/>
        <v>10</v>
      </c>
      <c r="I28" s="64">
        <f t="shared" ca="1" si="6"/>
        <v>24</v>
      </c>
      <c r="J28" s="65" t="s">
        <v>118</v>
      </c>
    </row>
    <row r="29" spans="1:10" ht="16.8" x14ac:dyDescent="0.3">
      <c r="A29" s="89" t="s">
        <v>81</v>
      </c>
      <c r="B29" s="42">
        <v>0</v>
      </c>
      <c r="C29" s="90" t="s">
        <v>140</v>
      </c>
      <c r="D29" s="91" t="str">
        <f>VLOOKUP(C29,'Personal File'!$A$10:$C$15,3,FALSE)</f>
        <v>+2</v>
      </c>
      <c r="E29" s="92" t="str">
        <f t="shared" si="0"/>
        <v>Cha (+2)</v>
      </c>
      <c r="F29" s="277" t="s">
        <v>49</v>
      </c>
      <c r="G29" s="43">
        <f t="shared" si="4"/>
        <v>2</v>
      </c>
      <c r="H29" s="111">
        <f t="shared" ca="1" si="2"/>
        <v>19</v>
      </c>
      <c r="I29" s="43">
        <f t="shared" ca="1" si="6"/>
        <v>21</v>
      </c>
      <c r="J29" s="44"/>
    </row>
    <row r="30" spans="1:10" ht="16.8" x14ac:dyDescent="0.3">
      <c r="A30" s="153" t="s">
        <v>82</v>
      </c>
      <c r="B30" s="146">
        <v>0</v>
      </c>
      <c r="C30" s="154" t="s">
        <v>138</v>
      </c>
      <c r="D30" s="155" t="str">
        <f>VLOOKUP(C30,'Personal File'!$A$10:$C$15,3,FALSE)</f>
        <v>+2</v>
      </c>
      <c r="E30" s="156" t="str">
        <f t="shared" si="0"/>
        <v>Wis (+2)</v>
      </c>
      <c r="F30" s="279" t="s">
        <v>49</v>
      </c>
      <c r="G30" s="150">
        <f t="shared" si="4"/>
        <v>2</v>
      </c>
      <c r="H30" s="111">
        <f t="shared" ca="1" si="2"/>
        <v>10</v>
      </c>
      <c r="I30" s="150">
        <f t="shared" ca="1" si="6"/>
        <v>12</v>
      </c>
      <c r="J30" s="152"/>
    </row>
    <row r="31" spans="1:10" ht="16.8" x14ac:dyDescent="0.3">
      <c r="A31" s="93" t="s">
        <v>11</v>
      </c>
      <c r="B31" s="42">
        <v>0</v>
      </c>
      <c r="C31" s="94" t="s">
        <v>137</v>
      </c>
      <c r="D31" s="95" t="str">
        <f>VLOOKUP(C31,'Personal File'!$A$10:$C$15,3,FALSE)</f>
        <v>+3</v>
      </c>
      <c r="E31" s="96" t="str">
        <f t="shared" si="0"/>
        <v>Dex (+3)</v>
      </c>
      <c r="F31" s="277" t="s">
        <v>49</v>
      </c>
      <c r="G31" s="43">
        <f t="shared" si="4"/>
        <v>3</v>
      </c>
      <c r="H31" s="111">
        <f t="shared" ca="1" si="2"/>
        <v>15</v>
      </c>
      <c r="I31" s="43">
        <f t="shared" ca="1" si="6"/>
        <v>18</v>
      </c>
      <c r="J31" s="44"/>
    </row>
    <row r="32" spans="1:10" ht="16.8" x14ac:dyDescent="0.3">
      <c r="A32" s="69" t="s">
        <v>12</v>
      </c>
      <c r="B32" s="61">
        <v>4</v>
      </c>
      <c r="C32" s="70" t="s">
        <v>139</v>
      </c>
      <c r="D32" s="71" t="str">
        <f>VLOOKUP(C32,'Personal File'!$A$10:$C$15,3,FALSE)</f>
        <v>+0</v>
      </c>
      <c r="E32" s="72" t="str">
        <f t="shared" si="0"/>
        <v>Int (+0)</v>
      </c>
      <c r="F32" s="278" t="s">
        <v>49</v>
      </c>
      <c r="G32" s="64">
        <f t="shared" si="4"/>
        <v>4</v>
      </c>
      <c r="H32" s="111">
        <f t="shared" ca="1" si="2"/>
        <v>14</v>
      </c>
      <c r="I32" s="64">
        <f t="shared" ca="1" si="6"/>
        <v>18</v>
      </c>
      <c r="J32" s="199" t="s">
        <v>121</v>
      </c>
    </row>
    <row r="33" spans="1:10" ht="16.8" x14ac:dyDescent="0.3">
      <c r="A33" s="97" t="s">
        <v>42</v>
      </c>
      <c r="B33" s="42">
        <v>0</v>
      </c>
      <c r="C33" s="98" t="s">
        <v>138</v>
      </c>
      <c r="D33" s="99" t="str">
        <f>VLOOKUP(C33,'Personal File'!$A$10:$C$15,3,FALSE)</f>
        <v>+2</v>
      </c>
      <c r="E33" s="100" t="str">
        <f t="shared" si="0"/>
        <v>Wis (+2)</v>
      </c>
      <c r="F33" s="277" t="s">
        <v>49</v>
      </c>
      <c r="G33" s="43">
        <f t="shared" si="4"/>
        <v>2</v>
      </c>
      <c r="H33" s="111">
        <f t="shared" ca="1" si="2"/>
        <v>5</v>
      </c>
      <c r="I33" s="43">
        <f t="shared" ca="1" si="6"/>
        <v>7</v>
      </c>
      <c r="J33" s="44"/>
    </row>
    <row r="34" spans="1:10" ht="16.8" x14ac:dyDescent="0.3">
      <c r="A34" s="316" t="s">
        <v>66</v>
      </c>
      <c r="B34" s="317">
        <v>5</v>
      </c>
      <c r="C34" s="318" t="s">
        <v>137</v>
      </c>
      <c r="D34" s="319" t="str">
        <f>VLOOKUP(C34,'Personal File'!$A$10:$C$15,3,FALSE)</f>
        <v>+3</v>
      </c>
      <c r="E34" s="320" t="str">
        <f t="shared" si="0"/>
        <v>Dex (+3)</v>
      </c>
      <c r="F34" s="328">
        <f>2+2</f>
        <v>4</v>
      </c>
      <c r="G34" s="322">
        <f t="shared" si="4"/>
        <v>12</v>
      </c>
      <c r="H34" s="111">
        <f t="shared" ca="1" si="2"/>
        <v>10</v>
      </c>
      <c r="I34" s="322">
        <f t="shared" ca="1" si="6"/>
        <v>22</v>
      </c>
      <c r="J34" s="323" t="s">
        <v>118</v>
      </c>
    </row>
    <row r="35" spans="1:10" ht="16.8" x14ac:dyDescent="0.3">
      <c r="A35" s="145" t="s">
        <v>65</v>
      </c>
      <c r="B35" s="146">
        <v>0</v>
      </c>
      <c r="C35" s="147" t="s">
        <v>139</v>
      </c>
      <c r="D35" s="148" t="str">
        <f>VLOOKUP(C35,'Personal File'!$A$10:$C$15,3,FALSE)</f>
        <v>+0</v>
      </c>
      <c r="E35" s="149" t="str">
        <f t="shared" si="0"/>
        <v>Int (+0)</v>
      </c>
      <c r="F35" s="279" t="s">
        <v>49</v>
      </c>
      <c r="G35" s="150">
        <f t="shared" si="4"/>
        <v>0</v>
      </c>
      <c r="H35" s="111">
        <f t="shared" ca="1" si="2"/>
        <v>11</v>
      </c>
      <c r="I35" s="150">
        <f t="shared" ca="1" si="6"/>
        <v>11</v>
      </c>
      <c r="J35" s="151"/>
    </row>
    <row r="36" spans="1:10" ht="16.8" x14ac:dyDescent="0.3">
      <c r="A36" s="145" t="s">
        <v>43</v>
      </c>
      <c r="B36" s="146">
        <v>0</v>
      </c>
      <c r="C36" s="147" t="s">
        <v>139</v>
      </c>
      <c r="D36" s="148" t="str">
        <f>VLOOKUP(C36,'Personal File'!$A$10:$C$15,3,FALSE)</f>
        <v>+0</v>
      </c>
      <c r="E36" s="149" t="str">
        <f t="shared" si="0"/>
        <v>Int (+0)</v>
      </c>
      <c r="F36" s="279" t="s">
        <v>49</v>
      </c>
      <c r="G36" s="150">
        <f t="shared" si="4"/>
        <v>0</v>
      </c>
      <c r="H36" s="111">
        <f t="shared" ca="1" si="2"/>
        <v>20</v>
      </c>
      <c r="I36" s="150">
        <f t="shared" ca="1" si="6"/>
        <v>20</v>
      </c>
      <c r="J36" s="151"/>
    </row>
    <row r="37" spans="1:10" ht="16.8" x14ac:dyDescent="0.3">
      <c r="A37" s="77" t="s">
        <v>44</v>
      </c>
      <c r="B37" s="61">
        <v>4</v>
      </c>
      <c r="C37" s="78" t="s">
        <v>138</v>
      </c>
      <c r="D37" s="79" t="str">
        <f>VLOOKUP(C37,'Personal File'!$A$10:$C$15,3,FALSE)</f>
        <v>+2</v>
      </c>
      <c r="E37" s="80" t="str">
        <f t="shared" si="0"/>
        <v>Wis (+2)</v>
      </c>
      <c r="F37" s="278" t="s">
        <v>76</v>
      </c>
      <c r="G37" s="64">
        <f t="shared" si="4"/>
        <v>8</v>
      </c>
      <c r="H37" s="111">
        <f t="shared" ca="1" si="2"/>
        <v>14</v>
      </c>
      <c r="I37" s="64">
        <f t="shared" ca="1" si="6"/>
        <v>22</v>
      </c>
      <c r="J37" s="65"/>
    </row>
    <row r="38" spans="1:10" ht="16.8" x14ac:dyDescent="0.3">
      <c r="A38" s="324" t="s">
        <v>67</v>
      </c>
      <c r="B38" s="317">
        <v>5</v>
      </c>
      <c r="C38" s="325" t="s">
        <v>138</v>
      </c>
      <c r="D38" s="326" t="str">
        <f>VLOOKUP(C38,'Personal File'!$A$10:$C$15,3,FALSE)</f>
        <v>+2</v>
      </c>
      <c r="E38" s="327" t="str">
        <f t="shared" si="0"/>
        <v>Wis (+2)</v>
      </c>
      <c r="F38" s="321" t="s">
        <v>49</v>
      </c>
      <c r="G38" s="322">
        <f t="shared" si="4"/>
        <v>7</v>
      </c>
      <c r="H38" s="111">
        <f t="shared" ca="1" si="2"/>
        <v>20</v>
      </c>
      <c r="I38" s="322">
        <f t="shared" ca="1" si="6"/>
        <v>27</v>
      </c>
      <c r="J38" s="323"/>
    </row>
    <row r="39" spans="1:10" ht="16.8" x14ac:dyDescent="0.3">
      <c r="A39" s="101" t="s">
        <v>13</v>
      </c>
      <c r="B39" s="42">
        <v>0</v>
      </c>
      <c r="C39" s="102" t="s">
        <v>141</v>
      </c>
      <c r="D39" s="103">
        <f>VLOOKUP(C39,'Personal File'!$A$10:$C$15,3,FALSE)</f>
        <v>-2</v>
      </c>
      <c r="E39" s="104" t="str">
        <f t="shared" si="0"/>
        <v>Str (-2)</v>
      </c>
      <c r="F39" s="277" t="s">
        <v>49</v>
      </c>
      <c r="G39" s="43">
        <f t="shared" si="4"/>
        <v>-2</v>
      </c>
      <c r="H39" s="111">
        <f t="shared" ca="1" si="2"/>
        <v>14</v>
      </c>
      <c r="I39" s="43">
        <f t="shared" ca="1" si="6"/>
        <v>12</v>
      </c>
      <c r="J39" s="44"/>
    </row>
    <row r="40" spans="1:10" ht="16.8" x14ac:dyDescent="0.3">
      <c r="A40" s="316" t="s">
        <v>45</v>
      </c>
      <c r="B40" s="317">
        <v>2</v>
      </c>
      <c r="C40" s="318" t="s">
        <v>137</v>
      </c>
      <c r="D40" s="319" t="str">
        <f>VLOOKUP(C40,'Personal File'!$A$10:$C$15,3,FALSE)</f>
        <v>+3</v>
      </c>
      <c r="E40" s="320" t="str">
        <f t="shared" si="0"/>
        <v>Dex (+3)</v>
      </c>
      <c r="F40" s="321" t="s">
        <v>76</v>
      </c>
      <c r="G40" s="322">
        <f t="shared" si="4"/>
        <v>7</v>
      </c>
      <c r="H40" s="111">
        <f t="shared" ca="1" si="2"/>
        <v>1</v>
      </c>
      <c r="I40" s="322">
        <f t="shared" ca="1" si="6"/>
        <v>8</v>
      </c>
      <c r="J40" s="323"/>
    </row>
    <row r="41" spans="1:10" ht="16.8" x14ac:dyDescent="0.3">
      <c r="A41" s="60" t="s">
        <v>46</v>
      </c>
      <c r="B41" s="61">
        <v>10</v>
      </c>
      <c r="C41" s="62" t="s">
        <v>140</v>
      </c>
      <c r="D41" s="63" t="str">
        <f>VLOOKUP(C41,'Personal File'!$A$10:$C$15,3,FALSE)</f>
        <v>+2</v>
      </c>
      <c r="E41" s="67" t="str">
        <f t="shared" si="0"/>
        <v>Cha (+2)</v>
      </c>
      <c r="F41" s="278" t="s">
        <v>49</v>
      </c>
      <c r="G41" s="64">
        <f t="shared" si="4"/>
        <v>12</v>
      </c>
      <c r="H41" s="111">
        <f t="shared" ca="1" si="2"/>
        <v>6</v>
      </c>
      <c r="I41" s="64">
        <f t="shared" ca="1" si="6"/>
        <v>18</v>
      </c>
      <c r="J41" s="65"/>
    </row>
    <row r="42" spans="1:10" ht="17.399999999999999" thickBot="1" x14ac:dyDescent="0.35">
      <c r="A42" s="334" t="s">
        <v>47</v>
      </c>
      <c r="B42" s="335">
        <v>1</v>
      </c>
      <c r="C42" s="336" t="s">
        <v>137</v>
      </c>
      <c r="D42" s="337" t="str">
        <f>VLOOKUP(C42,'Personal File'!$A$10:$C$15,3,FALSE)</f>
        <v>+3</v>
      </c>
      <c r="E42" s="338" t="str">
        <f t="shared" si="0"/>
        <v>Dex (+3)</v>
      </c>
      <c r="F42" s="339" t="s">
        <v>76</v>
      </c>
      <c r="G42" s="340">
        <f t="shared" si="4"/>
        <v>6</v>
      </c>
      <c r="H42" s="130">
        <f t="shared" ca="1" si="2"/>
        <v>5</v>
      </c>
      <c r="I42" s="340">
        <f t="shared" ca="1" si="6"/>
        <v>11</v>
      </c>
      <c r="J42" s="341"/>
    </row>
    <row r="43" spans="1:10" ht="16.2" thickTop="1" x14ac:dyDescent="0.3">
      <c r="B43" s="41">
        <f>SUM(B6:B42)-B44</f>
        <v>48</v>
      </c>
      <c r="E43" s="200">
        <f>SUM(E44:E49)</f>
        <v>48</v>
      </c>
    </row>
    <row r="44" spans="1:10" x14ac:dyDescent="0.3">
      <c r="A44" s="19" t="s">
        <v>179</v>
      </c>
      <c r="B44" s="41">
        <v>42</v>
      </c>
      <c r="E44" s="201">
        <f>8+'Personal File'!$C$13</f>
        <v>8</v>
      </c>
      <c r="F44" s="105" t="s">
        <v>83</v>
      </c>
    </row>
    <row r="45" spans="1:10" x14ac:dyDescent="0.3">
      <c r="E45" s="201">
        <f>8+'Personal File'!$C$13</f>
        <v>8</v>
      </c>
      <c r="F45" s="105" t="s">
        <v>84</v>
      </c>
    </row>
    <row r="46" spans="1:10" x14ac:dyDescent="0.3">
      <c r="E46" s="201">
        <f>8+'Personal File'!$C$13</f>
        <v>8</v>
      </c>
      <c r="F46" s="105" t="s">
        <v>86</v>
      </c>
    </row>
    <row r="47" spans="1:10" x14ac:dyDescent="0.3">
      <c r="E47" s="201">
        <f>8+'Personal File'!$C$13</f>
        <v>8</v>
      </c>
      <c r="F47" s="105" t="s">
        <v>104</v>
      </c>
    </row>
    <row r="48" spans="1:10" x14ac:dyDescent="0.3">
      <c r="E48" s="201">
        <f>8+'Personal File'!$C$13</f>
        <v>8</v>
      </c>
      <c r="F48" s="105" t="s">
        <v>117</v>
      </c>
    </row>
    <row r="49" spans="5:6" x14ac:dyDescent="0.3">
      <c r="E49" s="201">
        <f>8+'Personal File'!$C$13</f>
        <v>8</v>
      </c>
      <c r="F49" s="105" t="s">
        <v>123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workbookViewId="0"/>
  </sheetViews>
  <sheetFormatPr defaultColWidth="8.69921875" defaultRowHeight="16.8" x14ac:dyDescent="0.3"/>
  <cols>
    <col min="1" max="1" width="25.09765625" style="86" customWidth="1"/>
    <col min="2" max="2" width="2.3984375" style="87" customWidth="1"/>
    <col min="3" max="3" width="35.296875" style="38" bestFit="1" customWidth="1"/>
    <col min="4" max="4" width="2.3984375" style="38" customWidth="1"/>
    <col min="5" max="5" width="28.69921875" style="38" bestFit="1" customWidth="1"/>
    <col min="6" max="6" width="6.19921875" style="38" bestFit="1" customWidth="1"/>
    <col min="7" max="7" width="3.5" style="85" bestFit="1" customWidth="1"/>
    <col min="8" max="8" width="4.09765625" style="85" bestFit="1" customWidth="1"/>
    <col min="9" max="9" width="7.296875" style="85" bestFit="1" customWidth="1"/>
    <col min="10" max="16384" width="8.69921875" style="85"/>
  </cols>
  <sheetData>
    <row r="1" spans="1:9" ht="22.2" thickTop="1" thickBot="1" x14ac:dyDescent="0.45">
      <c r="A1" s="234" t="s">
        <v>71</v>
      </c>
      <c r="B1" s="85"/>
      <c r="C1" s="301" t="s">
        <v>68</v>
      </c>
      <c r="E1" s="346" t="s">
        <v>183</v>
      </c>
      <c r="F1" s="347"/>
      <c r="G1" s="347"/>
      <c r="H1" s="347"/>
      <c r="I1" s="348"/>
    </row>
    <row r="2" spans="1:9" ht="17.399999999999999" thickTop="1" x14ac:dyDescent="0.3">
      <c r="A2" s="303" t="s">
        <v>217</v>
      </c>
      <c r="B2" s="85"/>
      <c r="C2" s="302" t="s">
        <v>80</v>
      </c>
      <c r="E2" s="349" t="s">
        <v>213</v>
      </c>
      <c r="F2" s="350" t="s">
        <v>113</v>
      </c>
      <c r="G2" s="351" t="s">
        <v>180</v>
      </c>
      <c r="H2" s="351" t="s">
        <v>181</v>
      </c>
      <c r="I2" s="352" t="s">
        <v>182</v>
      </c>
    </row>
    <row r="3" spans="1:9" x14ac:dyDescent="0.3">
      <c r="A3" s="303" t="s">
        <v>220</v>
      </c>
      <c r="B3" s="85"/>
      <c r="C3" s="303" t="s">
        <v>102</v>
      </c>
      <c r="E3" s="353" t="s">
        <v>184</v>
      </c>
      <c r="F3" s="354">
        <v>1</v>
      </c>
      <c r="G3" s="355" t="s">
        <v>49</v>
      </c>
      <c r="H3" s="358">
        <f>10+F1+G1+'Personal File'!$C$15</f>
        <v>12</v>
      </c>
      <c r="I3" s="379" t="s">
        <v>214</v>
      </c>
    </row>
    <row r="4" spans="1:9" ht="17.399999999999999" thickBot="1" x14ac:dyDescent="0.35">
      <c r="A4" s="303" t="s">
        <v>218</v>
      </c>
      <c r="B4" s="85"/>
      <c r="C4" s="304" t="s">
        <v>85</v>
      </c>
      <c r="E4" s="356" t="s">
        <v>185</v>
      </c>
      <c r="F4" s="357">
        <v>1</v>
      </c>
      <c r="G4" s="358" t="s">
        <v>49</v>
      </c>
      <c r="H4" s="358">
        <f>10+F1+G1+'Personal File'!$C$15</f>
        <v>12</v>
      </c>
      <c r="I4" s="380" t="s">
        <v>214</v>
      </c>
    </row>
    <row r="5" spans="1:9" ht="18" thickTop="1" thickBot="1" x14ac:dyDescent="0.35">
      <c r="A5" s="385" t="s">
        <v>116</v>
      </c>
      <c r="B5" s="85"/>
      <c r="E5" s="356" t="s">
        <v>186</v>
      </c>
      <c r="F5" s="357">
        <v>1</v>
      </c>
      <c r="G5" s="358" t="s">
        <v>49</v>
      </c>
      <c r="H5" s="358">
        <f>10+F1+G1+'Personal File'!$C$15</f>
        <v>12</v>
      </c>
      <c r="I5" s="380" t="s">
        <v>214</v>
      </c>
    </row>
    <row r="6" spans="1:9" ht="22.2" thickTop="1" thickBot="1" x14ac:dyDescent="0.35">
      <c r="B6" s="85"/>
      <c r="C6" s="305" t="s">
        <v>57</v>
      </c>
      <c r="E6" s="356" t="s">
        <v>187</v>
      </c>
      <c r="F6" s="357">
        <v>1</v>
      </c>
      <c r="G6" s="358" t="s">
        <v>49</v>
      </c>
      <c r="H6" s="358">
        <f>10+F1+G1+'Personal File'!$C$15</f>
        <v>12</v>
      </c>
      <c r="I6" s="380" t="s">
        <v>214</v>
      </c>
    </row>
    <row r="7" spans="1:9" ht="22.2" thickTop="1" thickBot="1" x14ac:dyDescent="0.45">
      <c r="A7" s="234" t="s">
        <v>162</v>
      </c>
      <c r="B7" s="85"/>
      <c r="C7" s="306" t="s">
        <v>170</v>
      </c>
      <c r="E7" s="356" t="s">
        <v>188</v>
      </c>
      <c r="F7" s="357">
        <v>1</v>
      </c>
      <c r="G7" s="358" t="s">
        <v>49</v>
      </c>
      <c r="H7" s="358">
        <f>10+F1+G1+'Personal File'!$C$15</f>
        <v>12</v>
      </c>
      <c r="I7" s="380" t="s">
        <v>214</v>
      </c>
    </row>
    <row r="8" spans="1:9" ht="17.399999999999999" thickBot="1" x14ac:dyDescent="0.35">
      <c r="A8" s="386" t="s">
        <v>74</v>
      </c>
      <c r="B8" s="85"/>
      <c r="E8" s="356" t="s">
        <v>190</v>
      </c>
      <c r="F8" s="357">
        <v>2</v>
      </c>
      <c r="G8" s="358" t="s">
        <v>49</v>
      </c>
      <c r="H8" s="358">
        <f>10+F1+G1+'Personal File'!$C$15</f>
        <v>12</v>
      </c>
      <c r="I8" s="380" t="s">
        <v>214</v>
      </c>
    </row>
    <row r="9" spans="1:9" ht="22.2" thickTop="1" thickBot="1" x14ac:dyDescent="0.45">
      <c r="A9" s="303" t="str">
        <f>CONCATENATE("Trap Sense +",2+2)</f>
        <v>Trap Sense +4</v>
      </c>
      <c r="B9" s="85"/>
      <c r="C9" s="234" t="s">
        <v>163</v>
      </c>
      <c r="E9" s="359" t="s">
        <v>189</v>
      </c>
      <c r="F9" s="360">
        <v>2</v>
      </c>
      <c r="G9" s="361" t="s">
        <v>49</v>
      </c>
      <c r="H9" s="361">
        <f>10+F1+G1+'Personal File'!$C$15</f>
        <v>12</v>
      </c>
      <c r="I9" s="362" t="s">
        <v>216</v>
      </c>
    </row>
    <row r="10" spans="1:9" x14ac:dyDescent="0.3">
      <c r="A10" s="387" t="s">
        <v>204</v>
      </c>
      <c r="B10" s="85"/>
      <c r="C10" s="386" t="s">
        <v>169</v>
      </c>
    </row>
    <row r="11" spans="1:9" x14ac:dyDescent="0.3">
      <c r="A11" s="387" t="s">
        <v>124</v>
      </c>
      <c r="B11" s="85"/>
      <c r="C11" s="387" t="s">
        <v>168</v>
      </c>
    </row>
    <row r="12" spans="1:9" ht="17.399999999999999" thickBot="1" x14ac:dyDescent="0.35">
      <c r="A12" s="385" t="s">
        <v>75</v>
      </c>
      <c r="C12" s="387" t="s">
        <v>172</v>
      </c>
    </row>
    <row r="13" spans="1:9" ht="17.399999999999999" thickTop="1" x14ac:dyDescent="0.3">
      <c r="C13" s="387" t="s">
        <v>119</v>
      </c>
    </row>
    <row r="14" spans="1:9" ht="17.399999999999999" thickBot="1" x14ac:dyDescent="0.35">
      <c r="C14" s="385" t="s">
        <v>171</v>
      </c>
    </row>
    <row r="15" spans="1:9" ht="17.399999999999999" thickTop="1" x14ac:dyDescent="0.3">
      <c r="E15" s="85"/>
      <c r="F15" s="85"/>
    </row>
    <row r="16" spans="1:9" x14ac:dyDescent="0.3">
      <c r="E16" s="85"/>
      <c r="F16" s="85"/>
    </row>
    <row r="17" spans="5:6" x14ac:dyDescent="0.3">
      <c r="E17" s="85"/>
      <c r="F17" s="85"/>
    </row>
    <row r="18" spans="5:6" x14ac:dyDescent="0.3">
      <c r="E18" s="85"/>
      <c r="F18" s="85"/>
    </row>
    <row r="19" spans="5:6" x14ac:dyDescent="0.3">
      <c r="E19" s="85"/>
      <c r="F19" s="85"/>
    </row>
    <row r="20" spans="5:6" x14ac:dyDescent="0.3">
      <c r="E20" s="85"/>
      <c r="F20" s="85"/>
    </row>
  </sheetData>
  <sortState xmlns:xlrd2="http://schemas.microsoft.com/office/spreadsheetml/2017/richdata2" ref="C1:F2">
    <sortCondition ref="D2:D11"/>
    <sortCondition ref="C2:C11"/>
  </sortState>
  <phoneticPr fontId="0" type="noConversion"/>
  <conditionalFormatting sqref="I3:I9">
    <cfRule type="cellIs" dxfId="2"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showGridLines="0" workbookViewId="0"/>
  </sheetViews>
  <sheetFormatPr defaultColWidth="13" defaultRowHeight="15.6" x14ac:dyDescent="0.3"/>
  <cols>
    <col min="1" max="1" width="20.59765625" style="170" bestFit="1" customWidth="1"/>
    <col min="2" max="2" width="8.59765625" style="170" bestFit="1" customWidth="1"/>
    <col min="3" max="3" width="4.3984375" style="170" bestFit="1" customWidth="1"/>
    <col min="4" max="4" width="6.19921875" style="170" bestFit="1" customWidth="1"/>
    <col min="5" max="5" width="8.5" style="170" bestFit="1" customWidth="1"/>
    <col min="6" max="6" width="8.8984375" style="170" bestFit="1" customWidth="1"/>
    <col min="7" max="7" width="4.3984375" style="170" bestFit="1" customWidth="1"/>
    <col min="8" max="8" width="5.59765625" style="170" bestFit="1" customWidth="1"/>
    <col min="9" max="9" width="5.5" style="170" bestFit="1" customWidth="1"/>
    <col min="10" max="10" width="6.19921875" style="170" bestFit="1" customWidth="1"/>
    <col min="11" max="11" width="27.8984375" style="170" bestFit="1" customWidth="1"/>
    <col min="12" max="12" width="3" style="163" customWidth="1"/>
    <col min="13" max="13" width="8.796875" style="163" bestFit="1" customWidth="1"/>
    <col min="14" max="14" width="8.8984375" style="163" bestFit="1" customWidth="1"/>
    <col min="15" max="16384" width="13" style="163"/>
  </cols>
  <sheetData>
    <row r="1" spans="1:14" ht="23.4" thickBot="1" x14ac:dyDescent="0.35">
      <c r="A1" s="162" t="s">
        <v>14</v>
      </c>
      <c r="B1" s="162"/>
      <c r="C1" s="162"/>
      <c r="D1" s="162"/>
      <c r="E1" s="162"/>
      <c r="F1" s="162"/>
      <c r="G1" s="162"/>
      <c r="H1" s="162"/>
      <c r="I1" s="162"/>
      <c r="J1" s="162"/>
      <c r="K1" s="162"/>
    </row>
    <row r="2" spans="1:14" ht="16.8" thickTop="1" thickBot="1" x14ac:dyDescent="0.35">
      <c r="A2" s="164" t="s">
        <v>0</v>
      </c>
      <c r="B2" s="165" t="s">
        <v>1</v>
      </c>
      <c r="C2" s="165" t="s">
        <v>17</v>
      </c>
      <c r="D2" s="165" t="s">
        <v>18</v>
      </c>
      <c r="E2" s="166" t="s">
        <v>51</v>
      </c>
      <c r="F2" s="165" t="s">
        <v>15</v>
      </c>
      <c r="G2" s="165" t="s">
        <v>19</v>
      </c>
      <c r="H2" s="167" t="s">
        <v>69</v>
      </c>
      <c r="I2" s="168" t="s">
        <v>79</v>
      </c>
      <c r="J2" s="167" t="s">
        <v>62</v>
      </c>
      <c r="K2" s="169" t="s">
        <v>61</v>
      </c>
      <c r="M2" s="202" t="s">
        <v>110</v>
      </c>
    </row>
    <row r="3" spans="1:14" x14ac:dyDescent="0.3">
      <c r="A3" s="241" t="s">
        <v>199</v>
      </c>
      <c r="B3" s="242">
        <v>1</v>
      </c>
      <c r="C3" s="243">
        <v>1</v>
      </c>
      <c r="D3" s="395">
        <v>0</v>
      </c>
      <c r="E3" s="244" t="s">
        <v>132</v>
      </c>
      <c r="F3" s="245" t="s">
        <v>94</v>
      </c>
      <c r="G3" s="300">
        <v>0.05</v>
      </c>
      <c r="H3" s="246" t="str">
        <f>CONCATENATE("+",'Personal File'!$B$8+'Personal File'!$C$11+D3)</f>
        <v>+10</v>
      </c>
      <c r="I3" s="247">
        <f t="shared" ref="I3:I6" ca="1" si="0">RANDBETWEEN(1,20)</f>
        <v>9</v>
      </c>
      <c r="J3" s="248">
        <f t="shared" ref="J3" ca="1" si="1">I3+H3</f>
        <v>19</v>
      </c>
      <c r="K3" s="249" t="s">
        <v>191</v>
      </c>
      <c r="M3" s="203">
        <v>2000</v>
      </c>
      <c r="N3" s="295"/>
    </row>
    <row r="4" spans="1:14" x14ac:dyDescent="0.3">
      <c r="A4" s="250" t="s">
        <v>131</v>
      </c>
      <c r="B4" s="232">
        <v>1</v>
      </c>
      <c r="C4" s="251">
        <v>1</v>
      </c>
      <c r="D4" s="396">
        <v>0</v>
      </c>
      <c r="E4" s="252" t="s">
        <v>132</v>
      </c>
      <c r="F4" s="253" t="s">
        <v>94</v>
      </c>
      <c r="G4" s="271" t="s">
        <v>108</v>
      </c>
      <c r="H4" s="254" t="str">
        <f>CONCATENATE("+",H3-5)</f>
        <v>+5</v>
      </c>
      <c r="I4" s="255">
        <f t="shared" ca="1" si="0"/>
        <v>13</v>
      </c>
      <c r="J4" s="256">
        <f t="shared" ref="J4:J5" ca="1" si="2">I4+H4</f>
        <v>18</v>
      </c>
      <c r="K4" s="239" t="s">
        <v>191</v>
      </c>
      <c r="M4" s="272" t="s">
        <v>108</v>
      </c>
    </row>
    <row r="5" spans="1:14" x14ac:dyDescent="0.3">
      <c r="A5" s="290" t="s">
        <v>130</v>
      </c>
      <c r="B5" s="365">
        <v>1</v>
      </c>
      <c r="C5" s="366">
        <v>1</v>
      </c>
      <c r="D5" s="397">
        <v>0</v>
      </c>
      <c r="E5" s="367" t="s">
        <v>132</v>
      </c>
      <c r="F5" s="368" t="s">
        <v>94</v>
      </c>
      <c r="G5" s="291" t="s">
        <v>108</v>
      </c>
      <c r="H5" s="369" t="str">
        <f>CONCATENATE("+",'Personal File'!$B$8+'Personal File'!$C$11+D5)</f>
        <v>+10</v>
      </c>
      <c r="I5" s="370">
        <f t="shared" ca="1" si="0"/>
        <v>18</v>
      </c>
      <c r="J5" s="371">
        <f t="shared" ca="1" si="2"/>
        <v>28</v>
      </c>
      <c r="K5" s="372" t="s">
        <v>191</v>
      </c>
      <c r="M5" s="272" t="s">
        <v>108</v>
      </c>
    </row>
    <row r="6" spans="1:14" x14ac:dyDescent="0.3">
      <c r="A6" s="250" t="s">
        <v>201</v>
      </c>
      <c r="B6" s="232" t="s">
        <v>200</v>
      </c>
      <c r="C6" s="251">
        <v>0</v>
      </c>
      <c r="D6" s="396">
        <v>0</v>
      </c>
      <c r="E6" s="252" t="s">
        <v>88</v>
      </c>
      <c r="F6" s="253" t="s">
        <v>89</v>
      </c>
      <c r="G6" s="364">
        <v>2.5000000000000001E-2</v>
      </c>
      <c r="H6" s="254" t="str">
        <f>CONCATENATE("+",'Personal File'!$B$8+'Personal File'!$C$11+D6)</f>
        <v>+10</v>
      </c>
      <c r="I6" s="255">
        <f t="shared" ca="1" si="0"/>
        <v>14</v>
      </c>
      <c r="J6" s="256">
        <f t="shared" ref="J6:J8" ca="1" si="3">I6+H6</f>
        <v>24</v>
      </c>
      <c r="K6" s="239" t="s">
        <v>221</v>
      </c>
      <c r="M6" s="240">
        <v>300</v>
      </c>
      <c r="N6" s="295"/>
    </row>
    <row r="7" spans="1:14" x14ac:dyDescent="0.3">
      <c r="A7" s="250" t="s">
        <v>167</v>
      </c>
      <c r="B7" s="232" t="s">
        <v>200</v>
      </c>
      <c r="C7" s="251">
        <v>0</v>
      </c>
      <c r="D7" s="396">
        <v>0</v>
      </c>
      <c r="E7" s="252" t="s">
        <v>88</v>
      </c>
      <c r="F7" s="253" t="s">
        <v>89</v>
      </c>
      <c r="G7" s="271" t="s">
        <v>108</v>
      </c>
      <c r="H7" s="254" t="str">
        <f>CONCATENATE("+",H6-5)</f>
        <v>+5</v>
      </c>
      <c r="I7" s="255">
        <f t="shared" ref="I7:I8" ca="1" si="4">RANDBETWEEN(1,20)</f>
        <v>19</v>
      </c>
      <c r="J7" s="256">
        <f t="shared" ca="1" si="3"/>
        <v>24</v>
      </c>
      <c r="K7" s="239" t="s">
        <v>221</v>
      </c>
      <c r="M7" s="272" t="s">
        <v>108</v>
      </c>
    </row>
    <row r="8" spans="1:14" x14ac:dyDescent="0.3">
      <c r="A8" s="290" t="s">
        <v>215</v>
      </c>
      <c r="B8" s="365" t="s">
        <v>200</v>
      </c>
      <c r="C8" s="366">
        <v>0</v>
      </c>
      <c r="D8" s="397">
        <v>0</v>
      </c>
      <c r="E8" s="367" t="s">
        <v>88</v>
      </c>
      <c r="F8" s="368" t="s">
        <v>89</v>
      </c>
      <c r="G8" s="291" t="s">
        <v>108</v>
      </c>
      <c r="H8" s="369" t="str">
        <f>CONCATENATE("+",'Personal File'!$B$8+'Personal File'!$C$11+D8)</f>
        <v>+10</v>
      </c>
      <c r="I8" s="370">
        <f t="shared" ca="1" si="4"/>
        <v>10</v>
      </c>
      <c r="J8" s="371">
        <f t="shared" ca="1" si="3"/>
        <v>20</v>
      </c>
      <c r="K8" s="372" t="s">
        <v>221</v>
      </c>
      <c r="M8" s="273" t="s">
        <v>108</v>
      </c>
    </row>
    <row r="9" spans="1:14" ht="16.2" thickBot="1" x14ac:dyDescent="0.35">
      <c r="A9" s="269" t="s">
        <v>174</v>
      </c>
      <c r="B9" s="257" t="s">
        <v>175</v>
      </c>
      <c r="C9" s="258" t="s">
        <v>49</v>
      </c>
      <c r="D9" s="398">
        <v>0</v>
      </c>
      <c r="E9" s="259" t="s">
        <v>95</v>
      </c>
      <c r="F9" s="260" t="s">
        <v>135</v>
      </c>
      <c r="G9" s="263">
        <v>0.5</v>
      </c>
      <c r="H9" s="261" t="str">
        <f>CONCATENATE("+",'Personal File'!$B$8+'Personal File'!$C$11+D9)</f>
        <v>+10</v>
      </c>
      <c r="I9" s="176">
        <f ca="1">RANDBETWEEN(1,20)</f>
        <v>20</v>
      </c>
      <c r="J9" s="262">
        <f ca="1">I9+H9</f>
        <v>30</v>
      </c>
      <c r="K9" s="363" t="s">
        <v>191</v>
      </c>
      <c r="M9" s="274" t="s">
        <v>108</v>
      </c>
    </row>
    <row r="10" spans="1:14" ht="6" customHeight="1" thickTop="1" thickBot="1" x14ac:dyDescent="0.35"/>
    <row r="11" spans="1:14" ht="16.8" thickTop="1" thickBot="1" x14ac:dyDescent="0.35">
      <c r="A11" s="164" t="s">
        <v>3</v>
      </c>
      <c r="B11" s="165" t="s">
        <v>4</v>
      </c>
      <c r="C11" s="165" t="s">
        <v>17</v>
      </c>
      <c r="D11" s="165" t="s">
        <v>18</v>
      </c>
      <c r="E11" s="166" t="s">
        <v>51</v>
      </c>
      <c r="F11" s="165" t="s">
        <v>5</v>
      </c>
      <c r="G11" s="165" t="s">
        <v>19</v>
      </c>
      <c r="H11" s="167" t="s">
        <v>69</v>
      </c>
      <c r="I11" s="168" t="s">
        <v>79</v>
      </c>
      <c r="J11" s="167" t="s">
        <v>62</v>
      </c>
      <c r="K11" s="169" t="s">
        <v>61</v>
      </c>
      <c r="M11" s="202" t="s">
        <v>110</v>
      </c>
    </row>
    <row r="12" spans="1:14" x14ac:dyDescent="0.3">
      <c r="A12" s="250" t="s">
        <v>205</v>
      </c>
      <c r="B12" s="232">
        <v>1</v>
      </c>
      <c r="C12" s="243" t="s">
        <v>70</v>
      </c>
      <c r="D12" s="391">
        <f t="shared" ref="D12:D14" si="5">1+1</f>
        <v>2</v>
      </c>
      <c r="E12" s="232" t="s">
        <v>95</v>
      </c>
      <c r="F12" s="275" t="s">
        <v>135</v>
      </c>
      <c r="G12" s="293">
        <v>0.05</v>
      </c>
      <c r="H12" s="294" t="str">
        <f>CONCATENATE("+",'Personal File'!$B$8+'Personal File'!$C$11+D12)</f>
        <v>+12</v>
      </c>
      <c r="I12" s="255">
        <f ca="1">RANDBETWEEN(1,20)</f>
        <v>16</v>
      </c>
      <c r="J12" s="256">
        <f ca="1">I12+H12</f>
        <v>28</v>
      </c>
      <c r="K12" s="239" t="s">
        <v>191</v>
      </c>
      <c r="M12" s="233">
        <v>300</v>
      </c>
      <c r="N12" s="295"/>
    </row>
    <row r="13" spans="1:14" x14ac:dyDescent="0.3">
      <c r="A13" s="250" t="s">
        <v>134</v>
      </c>
      <c r="B13" s="232">
        <v>1</v>
      </c>
      <c r="C13" s="275" t="s">
        <v>49</v>
      </c>
      <c r="D13" s="391">
        <f t="shared" si="5"/>
        <v>2</v>
      </c>
      <c r="E13" s="232" t="s">
        <v>95</v>
      </c>
      <c r="F13" s="275" t="s">
        <v>135</v>
      </c>
      <c r="G13" s="271" t="s">
        <v>108</v>
      </c>
      <c r="H13" s="254" t="str">
        <f>CONCATENATE("+",H12-5)</f>
        <v>+7</v>
      </c>
      <c r="I13" s="255">
        <f t="shared" ref="I13:I14" ca="1" si="6">RANDBETWEEN(1,20)</f>
        <v>19</v>
      </c>
      <c r="J13" s="256">
        <f t="shared" ref="J13:J14" ca="1" si="7">I13+H13</f>
        <v>26</v>
      </c>
      <c r="K13" s="239" t="s">
        <v>191</v>
      </c>
      <c r="M13" s="272" t="s">
        <v>108</v>
      </c>
    </row>
    <row r="14" spans="1:14" x14ac:dyDescent="0.3">
      <c r="A14" s="290" t="s">
        <v>207</v>
      </c>
      <c r="B14" s="365">
        <v>1</v>
      </c>
      <c r="C14" s="373" t="s">
        <v>49</v>
      </c>
      <c r="D14" s="392">
        <f t="shared" si="5"/>
        <v>2</v>
      </c>
      <c r="E14" s="365" t="s">
        <v>95</v>
      </c>
      <c r="F14" s="373" t="s">
        <v>135</v>
      </c>
      <c r="G14" s="291" t="s">
        <v>108</v>
      </c>
      <c r="H14" s="369" t="str">
        <f>CONCATENATE("+",'Personal File'!$B$8+'Personal File'!$C$11+D14)</f>
        <v>+12</v>
      </c>
      <c r="I14" s="370">
        <f t="shared" ca="1" si="6"/>
        <v>19</v>
      </c>
      <c r="J14" s="371">
        <f t="shared" ca="1" si="7"/>
        <v>31</v>
      </c>
      <c r="K14" s="372" t="s">
        <v>191</v>
      </c>
      <c r="M14" s="272" t="s">
        <v>108</v>
      </c>
    </row>
    <row r="15" spans="1:14" ht="16.2" thickBot="1" x14ac:dyDescent="0.35">
      <c r="A15" s="171" t="s">
        <v>103</v>
      </c>
      <c r="B15" s="172" t="s">
        <v>108</v>
      </c>
      <c r="C15" s="173" t="s">
        <v>49</v>
      </c>
      <c r="D15" s="173" t="s">
        <v>73</v>
      </c>
      <c r="E15" s="172" t="s">
        <v>108</v>
      </c>
      <c r="F15" s="173" t="s">
        <v>108</v>
      </c>
      <c r="G15" s="174" t="s">
        <v>108</v>
      </c>
      <c r="H15" s="175" t="str">
        <f>CONCATENATE("+",'Personal File'!$B$8+'Personal File'!$C$11+D15)</f>
        <v>+14</v>
      </c>
      <c r="I15" s="176">
        <f ca="1">RANDBETWEEN(1,20)</f>
        <v>14</v>
      </c>
      <c r="J15" s="177">
        <f ca="1">I15+H15</f>
        <v>28</v>
      </c>
      <c r="K15" s="178"/>
      <c r="M15" s="292" t="s">
        <v>108</v>
      </c>
    </row>
    <row r="16" spans="1:14" ht="6" customHeight="1" thickTop="1" thickBot="1" x14ac:dyDescent="0.35">
      <c r="D16" s="179"/>
      <c r="E16" s="179"/>
      <c r="G16" s="180"/>
      <c r="H16" s="180"/>
      <c r="I16" s="180"/>
      <c r="J16" s="180"/>
    </row>
    <row r="17" spans="1:14" ht="16.8" thickTop="1" thickBot="1" x14ac:dyDescent="0.35">
      <c r="A17" s="164" t="s">
        <v>55</v>
      </c>
      <c r="B17" s="165" t="s">
        <v>8</v>
      </c>
      <c r="C17" s="165" t="s">
        <v>22</v>
      </c>
      <c r="D17" s="165" t="s">
        <v>62</v>
      </c>
      <c r="E17" s="165" t="s">
        <v>63</v>
      </c>
      <c r="F17" s="165" t="s">
        <v>64</v>
      </c>
      <c r="G17" s="165" t="s">
        <v>19</v>
      </c>
      <c r="H17" s="181" t="s">
        <v>61</v>
      </c>
      <c r="I17" s="182"/>
      <c r="J17" s="182"/>
      <c r="K17" s="183"/>
      <c r="M17" s="202" t="s">
        <v>110</v>
      </c>
    </row>
    <row r="18" spans="1:14" x14ac:dyDescent="0.3">
      <c r="A18" s="311" t="s">
        <v>202</v>
      </c>
      <c r="B18" s="136">
        <v>2</v>
      </c>
      <c r="C18" s="136">
        <v>6</v>
      </c>
      <c r="D18" s="136">
        <v>0</v>
      </c>
      <c r="E18" s="184">
        <v>0.1</v>
      </c>
      <c r="F18" s="136" t="s">
        <v>203</v>
      </c>
      <c r="G18" s="312">
        <v>1.5</v>
      </c>
      <c r="H18" s="313"/>
      <c r="I18" s="314"/>
      <c r="J18" s="314"/>
      <c r="K18" s="315"/>
      <c r="L18" s="223"/>
      <c r="M18" s="204">
        <v>10</v>
      </c>
      <c r="N18" s="295"/>
    </row>
    <row r="19" spans="1:14" ht="16.2" thickBot="1" x14ac:dyDescent="0.35">
      <c r="A19" s="137" t="s">
        <v>208</v>
      </c>
      <c r="B19" s="138">
        <v>1</v>
      </c>
      <c r="C19" s="206" t="s">
        <v>108</v>
      </c>
      <c r="D19" s="138">
        <v>0</v>
      </c>
      <c r="E19" s="207">
        <v>0.05</v>
      </c>
      <c r="F19" s="138" t="s">
        <v>108</v>
      </c>
      <c r="G19" s="299">
        <v>1</v>
      </c>
      <c r="H19" s="229"/>
      <c r="I19" s="185"/>
      <c r="J19" s="185"/>
      <c r="K19" s="186"/>
      <c r="M19" s="205">
        <v>1165</v>
      </c>
      <c r="N19" s="295"/>
    </row>
    <row r="20" spans="1:14" ht="6.75" customHeight="1" thickTop="1" thickBot="1" x14ac:dyDescent="0.35"/>
    <row r="21" spans="1:14" ht="16.8" thickTop="1" thickBot="1" x14ac:dyDescent="0.35">
      <c r="A21" s="187"/>
      <c r="B21" s="180"/>
      <c r="D21" s="188" t="s">
        <v>56</v>
      </c>
      <c r="E21" s="189"/>
      <c r="F21" s="181" t="s">
        <v>2</v>
      </c>
      <c r="G21" s="165" t="s">
        <v>19</v>
      </c>
      <c r="H21" s="167" t="s">
        <v>69</v>
      </c>
      <c r="I21" s="181" t="s">
        <v>61</v>
      </c>
      <c r="J21" s="182"/>
      <c r="K21" s="183"/>
      <c r="M21" s="202" t="s">
        <v>110</v>
      </c>
    </row>
    <row r="22" spans="1:14" ht="16.2" thickBot="1" x14ac:dyDescent="0.35">
      <c r="A22" s="187"/>
      <c r="B22" s="180"/>
      <c r="D22" s="190" t="s">
        <v>219</v>
      </c>
      <c r="E22" s="191"/>
      <c r="F22" s="192">
        <v>35</v>
      </c>
      <c r="G22" s="193">
        <f>F22*0.05*0.025</f>
        <v>4.3750000000000004E-2</v>
      </c>
      <c r="H22" s="194" t="s">
        <v>70</v>
      </c>
      <c r="I22" s="195"/>
      <c r="J22" s="196"/>
      <c r="K22" s="197"/>
      <c r="M22" s="205">
        <f>F22</f>
        <v>35</v>
      </c>
    </row>
    <row r="23" spans="1:14" ht="6" customHeight="1" thickTop="1" thickBot="1" x14ac:dyDescent="0.35"/>
    <row r="24" spans="1:14" ht="16.8" thickTop="1" thickBot="1" x14ac:dyDescent="0.35">
      <c r="D24" s="188" t="s">
        <v>112</v>
      </c>
      <c r="E24" s="182"/>
      <c r="F24" s="182"/>
      <c r="G24" s="182"/>
      <c r="H24" s="222" t="s">
        <v>2</v>
      </c>
      <c r="I24" s="222" t="s">
        <v>113</v>
      </c>
      <c r="J24" s="222" t="s">
        <v>114</v>
      </c>
      <c r="K24" s="183" t="s">
        <v>128</v>
      </c>
      <c r="L24" s="223"/>
      <c r="M24" s="202" t="s">
        <v>110</v>
      </c>
    </row>
    <row r="25" spans="1:14" x14ac:dyDescent="0.3">
      <c r="D25" s="224" t="s">
        <v>127</v>
      </c>
      <c r="E25" s="225"/>
      <c r="F25" s="225"/>
      <c r="G25" s="225"/>
      <c r="H25" s="136">
        <v>1</v>
      </c>
      <c r="I25" s="136">
        <v>4</v>
      </c>
      <c r="J25" s="136">
        <v>8</v>
      </c>
      <c r="K25" s="226">
        <v>3</v>
      </c>
      <c r="L25" s="223"/>
      <c r="M25" s="204">
        <f>25*H25*I25*J25*LEFT(K25,2)</f>
        <v>2400</v>
      </c>
    </row>
    <row r="26" spans="1:14" x14ac:dyDescent="0.3">
      <c r="D26" s="374" t="s">
        <v>209</v>
      </c>
      <c r="E26" s="375"/>
      <c r="F26" s="375"/>
      <c r="G26" s="375"/>
      <c r="H26" s="232">
        <v>1</v>
      </c>
      <c r="I26" s="232">
        <v>2</v>
      </c>
      <c r="J26" s="232">
        <v>5</v>
      </c>
      <c r="K26" s="376">
        <v>24</v>
      </c>
      <c r="L26" s="223"/>
      <c r="M26" s="240">
        <f>25*H26*I26*J26*LEFT(K26,2)</f>
        <v>6000</v>
      </c>
    </row>
    <row r="27" spans="1:14" x14ac:dyDescent="0.3">
      <c r="C27" s="296"/>
      <c r="D27" s="282" t="s">
        <v>125</v>
      </c>
      <c r="E27" s="283"/>
      <c r="F27" s="283"/>
      <c r="G27" s="283"/>
      <c r="H27" s="284">
        <v>1</v>
      </c>
      <c r="I27" s="284">
        <v>0</v>
      </c>
      <c r="J27" s="284">
        <v>1</v>
      </c>
      <c r="K27" s="285" t="s">
        <v>129</v>
      </c>
      <c r="L27" s="223"/>
      <c r="M27" s="240">
        <v>460</v>
      </c>
    </row>
    <row r="28" spans="1:14" ht="16.2" thickBot="1" x14ac:dyDescent="0.35">
      <c r="D28" s="227" t="s">
        <v>126</v>
      </c>
      <c r="E28" s="228"/>
      <c r="F28" s="228"/>
      <c r="G28" s="228"/>
      <c r="H28" s="138">
        <v>1</v>
      </c>
      <c r="I28" s="138">
        <v>1</v>
      </c>
      <c r="J28" s="138">
        <v>1</v>
      </c>
      <c r="K28" s="286" t="s">
        <v>129</v>
      </c>
      <c r="L28" s="223"/>
      <c r="M28" s="205">
        <v>820</v>
      </c>
    </row>
    <row r="29" spans="1:14" ht="16.2" thickTop="1" x14ac:dyDescent="0.3"/>
  </sheetData>
  <phoneticPr fontId="0" type="noConversion"/>
  <conditionalFormatting sqref="I3:I5">
    <cfRule type="cellIs" dxfId="1" priority="1" operator="greaterThanOrEqual">
      <formula>17</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showGridLines="0" workbookViewId="0"/>
  </sheetViews>
  <sheetFormatPr defaultColWidth="13" defaultRowHeight="15.6" x14ac:dyDescent="0.3"/>
  <cols>
    <col min="1" max="1" width="23.8984375" style="23" bestFit="1" customWidth="1"/>
    <col min="2" max="2" width="4.69921875" style="23" bestFit="1" customWidth="1"/>
    <col min="3" max="3" width="4.3984375" style="24" bestFit="1" customWidth="1"/>
    <col min="4" max="5" width="21.59765625" style="1" customWidth="1"/>
    <col min="6" max="6" width="2.8984375" style="23" customWidth="1"/>
    <col min="7" max="7" width="8.296875" style="1" bestFit="1" customWidth="1"/>
    <col min="8" max="16384" width="13" style="1"/>
  </cols>
  <sheetData>
    <row r="1" spans="1:7" ht="23.4" thickBot="1" x14ac:dyDescent="0.45">
      <c r="A1" s="22" t="s">
        <v>58</v>
      </c>
      <c r="B1" s="22"/>
      <c r="C1" s="47"/>
      <c r="D1" s="22"/>
      <c r="E1" s="22"/>
    </row>
    <row r="2" spans="1:7" s="23" customFormat="1" ht="16.8" thickTop="1" thickBot="1" x14ac:dyDescent="0.35">
      <c r="A2" s="48" t="s">
        <v>59</v>
      </c>
      <c r="B2" s="159" t="s">
        <v>2</v>
      </c>
      <c r="C2" s="49" t="s">
        <v>19</v>
      </c>
      <c r="D2" s="50" t="s">
        <v>60</v>
      </c>
      <c r="E2" s="51" t="s">
        <v>61</v>
      </c>
      <c r="G2" s="218" t="s">
        <v>110</v>
      </c>
    </row>
    <row r="3" spans="1:7" x14ac:dyDescent="0.3">
      <c r="A3" s="131" t="s">
        <v>96</v>
      </c>
      <c r="B3" s="157">
        <v>1</v>
      </c>
      <c r="C3" s="57">
        <v>0.3</v>
      </c>
      <c r="D3" s="132"/>
      <c r="E3" s="56"/>
      <c r="G3" s="219">
        <v>0</v>
      </c>
    </row>
    <row r="4" spans="1:7" x14ac:dyDescent="0.3">
      <c r="A4" s="106" t="s">
        <v>120</v>
      </c>
      <c r="B4" s="157">
        <v>1</v>
      </c>
      <c r="C4" s="52">
        <v>0</v>
      </c>
      <c r="D4" s="133"/>
      <c r="E4" s="53"/>
      <c r="G4" s="220">
        <v>1500</v>
      </c>
    </row>
    <row r="5" spans="1:7" x14ac:dyDescent="0.3">
      <c r="A5" s="212" t="s">
        <v>122</v>
      </c>
      <c r="B5" s="213">
        <v>1</v>
      </c>
      <c r="C5" s="235">
        <v>0</v>
      </c>
      <c r="D5" s="238"/>
      <c r="E5" s="236"/>
      <c r="G5" s="237">
        <v>900</v>
      </c>
    </row>
    <row r="6" spans="1:7" ht="16.2" thickBot="1" x14ac:dyDescent="0.35">
      <c r="A6" s="134"/>
      <c r="B6" s="158"/>
      <c r="C6" s="381"/>
      <c r="D6" s="135"/>
      <c r="E6" s="382"/>
      <c r="G6" s="221"/>
    </row>
    <row r="7" spans="1:7" ht="24" thickTop="1" thickBot="1" x14ac:dyDescent="0.45">
      <c r="A7" s="22" t="s">
        <v>106</v>
      </c>
      <c r="B7" s="22"/>
      <c r="C7" s="54"/>
      <c r="D7" s="22"/>
      <c r="E7" s="55"/>
    </row>
    <row r="8" spans="1:7" ht="16.8" thickTop="1" thickBot="1" x14ac:dyDescent="0.35">
      <c r="A8" s="48" t="s">
        <v>59</v>
      </c>
      <c r="B8" s="159" t="s">
        <v>2</v>
      </c>
      <c r="C8" s="49" t="s">
        <v>19</v>
      </c>
      <c r="D8" s="50" t="s">
        <v>60</v>
      </c>
      <c r="E8" s="51" t="s">
        <v>61</v>
      </c>
      <c r="G8" s="218" t="s">
        <v>110</v>
      </c>
    </row>
    <row r="9" spans="1:7" x14ac:dyDescent="0.3">
      <c r="A9" s="106" t="s">
        <v>111</v>
      </c>
      <c r="B9" s="157">
        <v>1</v>
      </c>
      <c r="C9" s="52">
        <v>0.1</v>
      </c>
      <c r="D9" s="208"/>
      <c r="E9" s="209"/>
      <c r="F9" s="68"/>
      <c r="G9" s="219">
        <v>0</v>
      </c>
    </row>
    <row r="10" spans="1:7" x14ac:dyDescent="0.3">
      <c r="A10" s="106" t="s">
        <v>101</v>
      </c>
      <c r="B10" s="157">
        <v>1</v>
      </c>
      <c r="C10" s="52">
        <v>0.5</v>
      </c>
      <c r="D10" s="208" t="s">
        <v>77</v>
      </c>
      <c r="E10" s="209"/>
      <c r="F10" s="68"/>
      <c r="G10" s="220">
        <v>0</v>
      </c>
    </row>
    <row r="11" spans="1:7" x14ac:dyDescent="0.3">
      <c r="A11" s="106" t="s">
        <v>92</v>
      </c>
      <c r="B11" s="157">
        <v>1</v>
      </c>
      <c r="C11" s="52">
        <v>0.25</v>
      </c>
      <c r="D11" s="208" t="s">
        <v>100</v>
      </c>
      <c r="E11" s="210"/>
      <c r="F11" s="68"/>
      <c r="G11" s="220">
        <v>0</v>
      </c>
    </row>
    <row r="12" spans="1:7" x14ac:dyDescent="0.3">
      <c r="A12" s="106" t="s">
        <v>105</v>
      </c>
      <c r="B12" s="157">
        <v>1</v>
      </c>
      <c r="C12" s="211">
        <v>0.2</v>
      </c>
      <c r="D12" s="208" t="s">
        <v>78</v>
      </c>
      <c r="E12" s="210"/>
      <c r="F12" s="68"/>
      <c r="G12" s="220">
        <v>300</v>
      </c>
    </row>
    <row r="13" spans="1:7" x14ac:dyDescent="0.3">
      <c r="A13" s="106" t="s">
        <v>97</v>
      </c>
      <c r="B13" s="157">
        <v>2</v>
      </c>
      <c r="C13" s="211">
        <v>0.02</v>
      </c>
      <c r="D13" s="208"/>
      <c r="E13" s="210"/>
      <c r="F13" s="68"/>
      <c r="G13" s="220">
        <v>0</v>
      </c>
    </row>
    <row r="14" spans="1:7" x14ac:dyDescent="0.3">
      <c r="A14" s="106" t="s">
        <v>98</v>
      </c>
      <c r="B14" s="157">
        <v>1</v>
      </c>
      <c r="C14" s="211">
        <v>0.1</v>
      </c>
      <c r="D14" s="208" t="s">
        <v>99</v>
      </c>
      <c r="E14" s="210"/>
      <c r="F14" s="68"/>
      <c r="G14" s="220">
        <v>0</v>
      </c>
    </row>
    <row r="15" spans="1:7" x14ac:dyDescent="0.3">
      <c r="A15" s="106" t="s">
        <v>107</v>
      </c>
      <c r="B15" s="157">
        <v>1</v>
      </c>
      <c r="C15" s="211">
        <v>0.1</v>
      </c>
      <c r="D15" s="208"/>
      <c r="E15" s="210"/>
      <c r="F15" s="68"/>
      <c r="G15" s="220">
        <v>0</v>
      </c>
    </row>
    <row r="16" spans="1:7" x14ac:dyDescent="0.3">
      <c r="A16" s="106" t="s">
        <v>211</v>
      </c>
      <c r="B16" s="157">
        <v>27</v>
      </c>
      <c r="C16" s="378">
        <f>B16/200</f>
        <v>0.13500000000000001</v>
      </c>
      <c r="D16" s="208"/>
      <c r="E16" s="210"/>
      <c r="F16" s="68"/>
      <c r="G16" s="377">
        <f>B16/100</f>
        <v>0.27</v>
      </c>
    </row>
    <row r="17" spans="1:7" x14ac:dyDescent="0.3">
      <c r="A17" s="106" t="s">
        <v>212</v>
      </c>
      <c r="B17" s="157">
        <v>42</v>
      </c>
      <c r="C17" s="378">
        <f>B17/150</f>
        <v>0.28000000000000003</v>
      </c>
      <c r="D17" s="208"/>
      <c r="E17" s="210"/>
      <c r="F17" s="68"/>
      <c r="G17" s="377">
        <f>B17/20</f>
        <v>2.1</v>
      </c>
    </row>
    <row r="18" spans="1:7" x14ac:dyDescent="0.3">
      <c r="A18" s="212" t="s">
        <v>210</v>
      </c>
      <c r="B18" s="213">
        <v>1427</v>
      </c>
      <c r="C18" s="378">
        <f>B18/100</f>
        <v>14.27</v>
      </c>
      <c r="D18" s="238"/>
      <c r="E18" s="210"/>
      <c r="F18" s="68"/>
      <c r="G18" s="220">
        <f>B18</f>
        <v>1427</v>
      </c>
    </row>
    <row r="19" spans="1:7" x14ac:dyDescent="0.3">
      <c r="A19" s="212" t="s">
        <v>90</v>
      </c>
      <c r="B19" s="213">
        <v>2</v>
      </c>
      <c r="C19" s="298">
        <f>B19/10</f>
        <v>0.2</v>
      </c>
      <c r="D19" s="214"/>
      <c r="E19" s="210"/>
      <c r="F19" s="68"/>
      <c r="G19" s="220">
        <v>0</v>
      </c>
    </row>
    <row r="20" spans="1:7" ht="16.2" thickBot="1" x14ac:dyDescent="0.35">
      <c r="A20" s="134" t="s">
        <v>93</v>
      </c>
      <c r="B20" s="158">
        <v>1</v>
      </c>
      <c r="C20" s="215">
        <v>0.5</v>
      </c>
      <c r="D20" s="216"/>
      <c r="E20" s="217"/>
      <c r="F20" s="68"/>
      <c r="G20" s="221">
        <v>0</v>
      </c>
    </row>
    <row r="21" spans="1:7" ht="16.2" thickTop="1" x14ac:dyDescent="0.3"/>
    <row r="22" spans="1:7" x14ac:dyDescent="0.3">
      <c r="E22" s="230" t="s">
        <v>115</v>
      </c>
      <c r="F22" s="223"/>
      <c r="G22" s="231">
        <f>SUM(G3:G20,Martial!M3:M28)</f>
        <v>17619.37</v>
      </c>
    </row>
  </sheetData>
  <sortState xmlns:xlrd2="http://schemas.microsoft.com/office/spreadsheetml/2017/richdata2" ref="A3:E9">
    <sortCondition ref="A3:A9"/>
  </sortState>
  <phoneticPr fontId="0" type="noConversion"/>
  <conditionalFormatting sqref="G22">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2016-11-01T13:04:40Z</cp:lastPrinted>
  <dcterms:created xsi:type="dcterms:W3CDTF">2000-10-24T15:39:59Z</dcterms:created>
  <dcterms:modified xsi:type="dcterms:W3CDTF">2025-01-12T19:00:53Z</dcterms:modified>
</cp:coreProperties>
</file>