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A\Juegos\FoL\PCs\"/>
    </mc:Choice>
  </mc:AlternateContent>
  <xr:revisionPtr revIDLastSave="0" documentId="13_ncr:1_{76D8E387-51B5-4E45-973A-BA06F02790B2}"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sheetId="22" r:id="rId3"/>
    <sheet name="Spells" sheetId="23" r:id="rId4"/>
    <sheet name="Feats" sheetId="20" r:id="rId5"/>
    <sheet name="Martial" sheetId="6" r:id="rId6"/>
    <sheet name="Equipment" sheetId="19" r:id="rId7"/>
    <sheet name="Familiar" sheetId="25" r:id="rId8"/>
    <sheet name="Animal" sheetId="24" r:id="rId9"/>
    <sheet name="XP Awards" sheetId="21" r:id="rId10"/>
  </sheets>
  <externalReferences>
    <externalReference r:id="rId11"/>
  </externalReferences>
  <definedNames>
    <definedName name="NoShade">'[1]Spell Sheet'!$FH$1</definedName>
    <definedName name="OLE_LINK1" localSheetId="4">Feats!#REF!</definedName>
    <definedName name="OLE_LINK1" localSheetId="3">Spells!#REF!</definedName>
    <definedName name="_xlnm.Print_Area" localSheetId="8">Animal!$A$1:$H$13</definedName>
    <definedName name="_xlnm.Print_Area" localSheetId="6">Equipment!#REF!</definedName>
    <definedName name="_xlnm.Print_Area" localSheetId="7">Familiar!$A$1:$H$12</definedName>
    <definedName name="_xlnm.Print_Area" localSheetId="4">Feats!#REF!</definedName>
    <definedName name="_xlnm.Print_Area" localSheetId="5">Martial!#REF!</definedName>
    <definedName name="_xlnm.Print_Area" localSheetId="0">'Personal File'!$A$1:$H$25</definedName>
    <definedName name="_xlnm.Print_Area" localSheetId="1">Skills!$A$1:$K$32</definedName>
    <definedName name="_xlnm.Print_Area" localSheetId="2">Spellbook!$A$1:$I$8</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1" i="15" l="1"/>
  <c r="F30" i="15"/>
  <c r="I17" i="6"/>
  <c r="I16" i="6"/>
  <c r="H17" i="6"/>
  <c r="H16" i="6"/>
  <c r="J17" i="6" l="1"/>
  <c r="J16" i="6"/>
  <c r="E57" i="15" l="1"/>
  <c r="B5" i="15"/>
  <c r="B4" i="15"/>
  <c r="B3" i="15"/>
  <c r="B11" i="4"/>
  <c r="E16" i="4"/>
  <c r="G15" i="19" l="1"/>
  <c r="H44" i="15" l="1"/>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G20" i="6"/>
  <c r="I21" i="6"/>
  <c r="I20" i="6"/>
  <c r="I8" i="6" l="1"/>
  <c r="I7" i="6"/>
  <c r="I6" i="6"/>
  <c r="I4" i="6"/>
  <c r="I19" i="6"/>
  <c r="J7" i="23"/>
  <c r="J8" i="23"/>
  <c r="B15" i="6" l="1"/>
  <c r="B14" i="6"/>
  <c r="G54" i="19"/>
  <c r="G51" i="19"/>
  <c r="C51" i="19"/>
  <c r="C54" i="19"/>
  <c r="C49" i="19"/>
  <c r="C59" i="19" l="1"/>
  <c r="I13" i="6" l="1"/>
  <c r="G33" i="6"/>
  <c r="G32" i="6"/>
  <c r="B13" i="4"/>
  <c r="C31" i="19" l="1"/>
  <c r="G29" i="19" l="1"/>
  <c r="K3" i="6" l="1"/>
  <c r="H3" i="15" l="1"/>
  <c r="I22" i="6" l="1"/>
  <c r="F4" i="25" l="1"/>
  <c r="C4" i="25" l="1"/>
  <c r="C5" i="25"/>
  <c r="F5" i="25" s="1"/>
  <c r="C6" i="25"/>
  <c r="C7" i="25"/>
  <c r="C8" i="25"/>
  <c r="C9" i="25"/>
  <c r="G37" i="19" l="1"/>
  <c r="C37" i="19"/>
  <c r="C4" i="24"/>
  <c r="C5" i="24"/>
  <c r="C6" i="24"/>
  <c r="C7" i="24"/>
  <c r="C8" i="24"/>
  <c r="C9" i="24"/>
  <c r="C40" i="19" l="1"/>
  <c r="C27" i="19"/>
  <c r="G21" i="19"/>
  <c r="C21" i="19"/>
  <c r="G25" i="19" l="1"/>
  <c r="C25" i="19"/>
  <c r="G22" i="19"/>
  <c r="C22" i="19"/>
  <c r="C32" i="19" s="1"/>
  <c r="B32" i="19" s="1"/>
  <c r="B47" i="15" l="1"/>
  <c r="C3" i="20" l="1"/>
  <c r="I12" i="6" l="1"/>
  <c r="D25" i="6" l="1"/>
  <c r="E25" i="6"/>
  <c r="C25" i="6"/>
  <c r="H5" i="23" l="1"/>
  <c r="I5" i="23"/>
  <c r="C7" i="21" l="1"/>
  <c r="B11" i="21" s="1"/>
  <c r="B13" i="21" s="1"/>
  <c r="B15" i="21" s="1"/>
  <c r="B1" i="21" l="1"/>
  <c r="G16" i="19" l="1"/>
  <c r="G14" i="19" l="1"/>
  <c r="C15" i="19" l="1"/>
  <c r="C16" i="19"/>
  <c r="C14" i="19"/>
  <c r="E14" i="4" s="1"/>
  <c r="M32" i="6"/>
  <c r="H45" i="15" l="1"/>
  <c r="H7" i="15"/>
  <c r="G60" i="19"/>
  <c r="I5" i="6" l="1"/>
  <c r="I3" i="6" l="1"/>
  <c r="I18" i="6" l="1"/>
  <c r="I9" i="6" l="1"/>
  <c r="H6" i="15" l="1"/>
  <c r="H4" i="15" l="1"/>
  <c r="H5" i="15" l="1"/>
  <c r="C13" i="4" l="1"/>
  <c r="C8" i="6" l="1"/>
  <c r="C4" i="6"/>
  <c r="C6" i="6"/>
  <c r="H4" i="6"/>
  <c r="J4" i="6" s="1"/>
  <c r="H6" i="6"/>
  <c r="J6" i="6" s="1"/>
  <c r="H8" i="6"/>
  <c r="J8" i="6" s="1"/>
  <c r="C3" i="6"/>
  <c r="C7" i="6"/>
  <c r="C9" i="6"/>
  <c r="C5" i="6"/>
  <c r="H5" i="6"/>
  <c r="J5" i="6" s="1"/>
  <c r="H7" i="6"/>
  <c r="J7" i="6" s="1"/>
  <c r="H3" i="6"/>
  <c r="J3" i="6" s="1"/>
  <c r="H9" i="6"/>
  <c r="J9" i="6" s="1"/>
  <c r="D9" i="15"/>
  <c r="E9" i="15" l="1"/>
  <c r="G9" i="15"/>
  <c r="I9" i="15" s="1"/>
  <c r="C15" i="4"/>
  <c r="E15" i="4" l="1"/>
  <c r="D3" i="15"/>
  <c r="D10" i="15"/>
  <c r="C14" i="4"/>
  <c r="C16" i="4"/>
  <c r="C17" i="4"/>
  <c r="D5" i="15" s="1"/>
  <c r="C18" i="4"/>
  <c r="E58" i="15" l="1"/>
  <c r="E56" i="15"/>
  <c r="D28" i="15"/>
  <c r="H22" i="6"/>
  <c r="J22" i="6" s="1"/>
  <c r="H20" i="6"/>
  <c r="J20" i="6" s="1"/>
  <c r="H21" i="6"/>
  <c r="J21" i="6" s="1"/>
  <c r="H19" i="6"/>
  <c r="J19" i="6" s="1"/>
  <c r="H13" i="6"/>
  <c r="J13" i="6" s="1"/>
  <c r="E55" i="15"/>
  <c r="E53" i="15"/>
  <c r="E3" i="15"/>
  <c r="G3" i="15"/>
  <c r="I3" i="15" s="1"/>
  <c r="E54" i="15"/>
  <c r="D29" i="15"/>
  <c r="D13" i="15"/>
  <c r="E52" i="15"/>
  <c r="H18" i="6"/>
  <c r="J18" i="6" s="1"/>
  <c r="E18" i="4"/>
  <c r="E17" i="4" s="1"/>
  <c r="D12" i="15"/>
  <c r="D14" i="15"/>
  <c r="E51" i="15"/>
  <c r="D7" i="23"/>
  <c r="D6" i="23"/>
  <c r="D5" i="23"/>
  <c r="D3" i="23"/>
  <c r="D4" i="23"/>
  <c r="N6" i="23"/>
  <c r="D12" i="23"/>
  <c r="P6" i="23"/>
  <c r="Q6" i="23"/>
  <c r="J6" i="23"/>
  <c r="D14" i="23"/>
  <c r="O6" i="23"/>
  <c r="K6" i="23"/>
  <c r="M6" i="23"/>
  <c r="D13" i="23"/>
  <c r="H6" i="23"/>
  <c r="D15" i="23"/>
  <c r="I6" i="23"/>
  <c r="L6" i="23"/>
  <c r="D27" i="15"/>
  <c r="E50" i="15"/>
  <c r="E49" i="15"/>
  <c r="E48" i="15"/>
  <c r="D8" i="15"/>
  <c r="D18" i="15"/>
  <c r="D16" i="15"/>
  <c r="E10" i="15"/>
  <c r="G10" i="15"/>
  <c r="I10" i="15" s="1"/>
  <c r="D4" i="15"/>
  <c r="H12" i="6"/>
  <c r="J12" i="6" s="1"/>
  <c r="D7" i="15"/>
  <c r="E5" i="15"/>
  <c r="G5" i="15"/>
  <c r="I5" i="15" s="1"/>
  <c r="D17" i="15"/>
  <c r="D6" i="15"/>
  <c r="D11" i="15"/>
  <c r="D15" i="15"/>
  <c r="B12" i="4"/>
  <c r="H46" i="15"/>
  <c r="E47" i="15" l="1"/>
  <c r="G28" i="15"/>
  <c r="I28" i="15" s="1"/>
  <c r="E28" i="15"/>
  <c r="E13" i="15"/>
  <c r="G13" i="15"/>
  <c r="I13" i="15" s="1"/>
  <c r="E29" i="15"/>
  <c r="G29" i="15"/>
  <c r="I29" i="15" s="1"/>
  <c r="E27" i="15"/>
  <c r="G27" i="15"/>
  <c r="I27" i="15" s="1"/>
  <c r="E14" i="15"/>
  <c r="G14" i="15"/>
  <c r="I14" i="15" s="1"/>
  <c r="G12" i="15"/>
  <c r="I12" i="15" s="1"/>
  <c r="E12" i="15"/>
  <c r="E16" i="15"/>
  <c r="G16" i="15"/>
  <c r="I16" i="15" s="1"/>
  <c r="G18" i="15"/>
  <c r="I18" i="15" s="1"/>
  <c r="E18" i="15"/>
  <c r="E8" i="15"/>
  <c r="G8" i="15"/>
  <c r="I8" i="15" s="1"/>
  <c r="E4" i="15"/>
  <c r="G4" i="15"/>
  <c r="I4" i="15" s="1"/>
  <c r="E7" i="15"/>
  <c r="G7" i="15"/>
  <c r="I7" i="15" s="1"/>
  <c r="E15" i="15"/>
  <c r="G15" i="15"/>
  <c r="I15" i="15" s="1"/>
  <c r="E6" i="15"/>
  <c r="G6" i="15"/>
  <c r="I6" i="15" s="1"/>
  <c r="G11" i="15"/>
  <c r="I11" i="15" s="1"/>
  <c r="E11" i="15"/>
  <c r="E17" i="15"/>
  <c r="G17" i="15"/>
  <c r="I17" i="15" s="1"/>
  <c r="D34" i="15" l="1"/>
  <c r="E34" i="15" l="1"/>
  <c r="G34" i="15"/>
  <c r="D40" i="15"/>
  <c r="D22" i="15"/>
  <c r="D42" i="15"/>
  <c r="D39" i="15"/>
  <c r="D44" i="15"/>
  <c r="D41" i="15"/>
  <c r="D43" i="15"/>
  <c r="D36" i="15"/>
  <c r="D45" i="15"/>
  <c r="D32" i="15"/>
  <c r="D38" i="15"/>
  <c r="D46" i="15"/>
  <c r="D37" i="15"/>
  <c r="D35" i="15"/>
  <c r="G35" i="15" s="1"/>
  <c r="I35" i="15" s="1"/>
  <c r="D33" i="15"/>
  <c r="D31" i="15"/>
  <c r="D30" i="15"/>
  <c r="D26" i="15"/>
  <c r="D25" i="15"/>
  <c r="D24" i="15"/>
  <c r="D23" i="15"/>
  <c r="D21" i="15"/>
  <c r="D20" i="15"/>
  <c r="D19" i="15"/>
  <c r="I34" i="15" l="1"/>
  <c r="E19" i="15"/>
  <c r="G19" i="15"/>
  <c r="E21" i="15"/>
  <c r="G21" i="15"/>
  <c r="E24" i="15"/>
  <c r="G24" i="15"/>
  <c r="E26" i="15"/>
  <c r="G26" i="15"/>
  <c r="E31" i="15"/>
  <c r="G31" i="15"/>
  <c r="E35" i="15"/>
  <c r="E46" i="15"/>
  <c r="G46" i="15"/>
  <c r="E32" i="15"/>
  <c r="G32" i="15"/>
  <c r="E36" i="15"/>
  <c r="G36" i="15"/>
  <c r="E41" i="15"/>
  <c r="G41" i="15"/>
  <c r="E42" i="15"/>
  <c r="G42" i="15"/>
  <c r="E22" i="15"/>
  <c r="G22" i="15"/>
  <c r="E20" i="15"/>
  <c r="G20" i="15"/>
  <c r="E23" i="15"/>
  <c r="G23" i="15"/>
  <c r="E25" i="15"/>
  <c r="G25" i="15"/>
  <c r="E30" i="15"/>
  <c r="G30" i="15"/>
  <c r="E33" i="15"/>
  <c r="G33" i="15"/>
  <c r="E37" i="15"/>
  <c r="G37" i="15"/>
  <c r="E38" i="15"/>
  <c r="G38" i="15"/>
  <c r="E45" i="15"/>
  <c r="G45" i="15"/>
  <c r="E43" i="15"/>
  <c r="G43" i="15"/>
  <c r="E44" i="15"/>
  <c r="G44" i="15"/>
  <c r="E39" i="15"/>
  <c r="E40" i="15"/>
  <c r="G40" i="15"/>
  <c r="I40" i="15" l="1"/>
  <c r="I39" i="15"/>
  <c r="I44" i="15"/>
  <c r="I43" i="15"/>
  <c r="I45" i="15"/>
  <c r="I38" i="15"/>
  <c r="I37" i="15"/>
  <c r="I33" i="15"/>
  <c r="I30" i="15"/>
  <c r="I25" i="15"/>
  <c r="I23" i="15"/>
  <c r="I20" i="15"/>
  <c r="I22" i="15"/>
  <c r="I42" i="15"/>
  <c r="I41" i="15"/>
  <c r="I36" i="15"/>
  <c r="I32" i="15"/>
  <c r="I46" i="15"/>
  <c r="I31" i="15"/>
  <c r="I26" i="15"/>
  <c r="I24" i="15"/>
  <c r="I21" i="15"/>
  <c r="I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4" authorId="0" shapeId="0" xr:uid="{11A0EBC2-613B-4887-B643-E214E982A3B7}">
      <text>
        <r>
          <rPr>
            <b/>
            <sz val="12"/>
            <color indexed="81"/>
            <rFont val="Times New Roman"/>
            <family val="1"/>
          </rPr>
          <t>Prohibited Schools</t>
        </r>
        <r>
          <rPr>
            <sz val="12"/>
            <color indexed="81"/>
            <rFont val="Times New Roman"/>
            <family val="1"/>
          </rPr>
          <t xml:space="preserve">
Necromancy &amp; Transmutation</t>
        </r>
      </text>
    </comment>
    <comment ref="C11" authorId="0" shapeId="0" xr:uid="{1C1111AF-ED32-40F9-8655-1A0248A328A7}">
      <text>
        <r>
          <rPr>
            <i/>
            <sz val="12"/>
            <color indexed="81"/>
            <rFont val="Times New Roman"/>
            <family val="1"/>
          </rPr>
          <t>aid +1
haste +1
Shaken -2</t>
        </r>
      </text>
    </comment>
    <comment ref="E12" authorId="0" shapeId="0" xr:uid="{169824D9-C076-4393-85B0-CD5D8117AA14}">
      <text>
        <r>
          <rPr>
            <sz val="12"/>
            <color indexed="81"/>
            <rFont val="Times New Roman"/>
            <family val="1"/>
          </rPr>
          <t>Next level at 91,000 XPs</t>
        </r>
      </text>
    </comment>
    <comment ref="B13" authorId="0" shapeId="0" xr:uid="{CEB3CA34-01A8-4213-B6F2-29329644AF1F}">
      <text>
        <r>
          <rPr>
            <i/>
            <sz val="12"/>
            <color indexed="81"/>
            <rFont val="Times New Roman"/>
            <family val="1"/>
          </rPr>
          <t>bull’s strength +4</t>
        </r>
      </text>
    </comment>
    <comment ref="E13" authorId="0" shapeId="0" xr:uid="{9F90969E-A873-48D2-ADE1-84BF5E2AFE6E}">
      <text>
        <r>
          <rPr>
            <sz val="12"/>
            <color indexed="81"/>
            <rFont val="Times New Roman"/>
            <family val="1"/>
          </rPr>
          <t>See PHB 162</t>
        </r>
      </text>
    </comment>
    <comment ref="E14" authorId="0" shapeId="0" xr:uid="{9C79D3EC-6B29-4C37-9286-6B7EA589C9B5}">
      <text>
        <r>
          <rPr>
            <sz val="12"/>
            <color indexed="81"/>
            <rFont val="Times New Roman"/>
            <family val="1"/>
          </rPr>
          <t>+15 included for Workshop</t>
        </r>
      </text>
    </comment>
    <comment ref="E15" authorId="0" shapeId="0" xr:uid="{00000000-0006-0000-0000-00000A000000}">
      <text>
        <r>
          <rPr>
            <sz val="12"/>
            <color indexed="81"/>
            <rFont val="Times New Roman"/>
            <family val="1"/>
          </rPr>
          <t>[(4 * 6 Rogue) * 75%]
[(1 * 4 Illusionist) * 75%]
[(5 * 6 Artificer) * 75%]
+ (10 * 1 Con)</t>
        </r>
      </text>
    </comment>
    <comment ref="E16" authorId="0" shapeId="0" xr:uid="{00000000-0006-0000-0000-00000B000000}">
      <text>
        <r>
          <rPr>
            <sz val="12"/>
            <color indexed="81"/>
            <rFont val="Times New Roman"/>
            <family val="1"/>
          </rPr>
          <t xml:space="preserve">+1 Small +2 Ring
+1 </t>
        </r>
        <r>
          <rPr>
            <i/>
            <sz val="12"/>
            <color indexed="81"/>
            <rFont val="Times New Roman"/>
            <family val="1"/>
          </rPr>
          <t xml:space="preserve">haste
</t>
        </r>
        <r>
          <rPr>
            <sz val="12"/>
            <color indexed="81"/>
            <rFont val="Times New Roman"/>
            <family val="1"/>
          </rPr>
          <t xml:space="preserve">+3 </t>
        </r>
        <r>
          <rPr>
            <i/>
            <sz val="12"/>
            <color indexed="81"/>
            <rFont val="Times New Roman"/>
            <family val="1"/>
          </rPr>
          <t>shield of faith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4" authorId="0" shapeId="0" xr:uid="{AA0E80C8-3B0E-4C25-9BF1-D23F53F9A5A7}">
      <text>
        <r>
          <rPr>
            <sz val="12"/>
            <color indexed="81"/>
            <rFont val="Times New Roman"/>
            <family val="1"/>
          </rPr>
          <t>Lightning Reflexes +2</t>
        </r>
      </text>
    </comment>
    <comment ref="F14" authorId="0" shapeId="0" xr:uid="{F16231F8-EB26-4AEF-9ABF-D34FC7BE041D}">
      <text>
        <r>
          <rPr>
            <sz val="12"/>
            <color indexed="81"/>
            <rFont val="Times New Roman"/>
            <family val="1"/>
          </rPr>
          <t>Skill Focus +2</t>
        </r>
      </text>
    </comment>
    <comment ref="F17" authorId="0" shapeId="0" xr:uid="{0DA1295F-523B-4570-9165-C3762B73545D}">
      <text>
        <r>
          <rPr>
            <sz val="12"/>
            <color indexed="81"/>
            <rFont val="Times New Roman"/>
            <family val="1"/>
          </rPr>
          <t>Skill Focus +2</t>
        </r>
      </text>
    </comment>
    <comment ref="F22" authorId="0" shapeId="0" xr:uid="{54A47270-0833-4305-BFCF-53847A3643AB}">
      <text>
        <r>
          <rPr>
            <sz val="12"/>
            <color indexed="81"/>
            <rFont val="Times New Roman"/>
            <family val="1"/>
          </rPr>
          <t>Caravanner +2</t>
        </r>
      </text>
    </comment>
    <comment ref="F24" authorId="0" shapeId="0" xr:uid="{00000000-0006-0000-0100-000004000000}">
      <text>
        <r>
          <rPr>
            <sz val="12"/>
            <color indexed="81"/>
            <rFont val="Times New Roman"/>
            <family val="1"/>
          </rPr>
          <t>Small +4</t>
        </r>
      </text>
    </comment>
    <comment ref="F28" authorId="0" shapeId="0" xr:uid="{D9F8A5E5-8FB4-4C46-86C8-446CEB0F000F}">
      <text>
        <r>
          <rPr>
            <sz val="12"/>
            <color indexed="81"/>
            <rFont val="Times New Roman"/>
            <family val="1"/>
          </rPr>
          <t>Caravanner +2</t>
        </r>
      </text>
    </comment>
    <comment ref="F30" authorId="0" shapeId="0" xr:uid="{00000000-0006-0000-0100-000005000000}">
      <text>
        <r>
          <rPr>
            <sz val="12"/>
            <color indexed="81"/>
            <rFont val="Times New Roman"/>
            <family val="1"/>
          </rPr>
          <t>Gnome +2</t>
        </r>
      </text>
    </comment>
    <comment ref="F31" authorId="0" shapeId="0" xr:uid="{00000000-0006-0000-0100-000006000000}">
      <text>
        <r>
          <rPr>
            <sz val="12"/>
            <color indexed="81"/>
            <rFont val="Times New Roman"/>
            <family val="1"/>
          </rPr>
          <t>Gnome (Small) +4</t>
        </r>
      </text>
    </comment>
    <comment ref="F41" authorId="0" shapeId="0" xr:uid="{7CC378CB-CD70-49D6-8F82-80400201AE20}">
      <text>
        <r>
          <rPr>
            <sz val="12"/>
            <color indexed="81"/>
            <rFont val="Times New Roman"/>
            <family val="1"/>
          </rPr>
          <t>Gnome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7" authorId="0" shapeId="0" xr:uid="{28ADAE1F-5865-477F-9421-C04DBAC5FFFA}">
      <text>
        <r>
          <rPr>
            <sz val="12"/>
            <color indexed="81"/>
            <rFont val="Times New Roman"/>
            <family val="1"/>
          </rPr>
          <t>Wool or fur</t>
        </r>
      </text>
    </comment>
    <comment ref="D12" authorId="0" shapeId="0" xr:uid="{07C3B68E-76ED-4B37-A7E1-DAE881635D53}">
      <text>
        <r>
          <rPr>
            <sz val="12"/>
            <color indexed="81"/>
            <rFont val="Times New Roman"/>
            <family val="1"/>
          </rPr>
          <t>Wool or wax</t>
        </r>
      </text>
    </comment>
    <comment ref="D13" authorId="0" shapeId="0" xr:uid="{AE2410AC-1086-4AD5-80B1-35A36D812877}">
      <text>
        <r>
          <rPr>
            <sz val="12"/>
            <color indexed="81"/>
            <rFont val="Times New Roman"/>
            <family val="1"/>
          </rPr>
          <t>Phosphorescent moss</t>
        </r>
      </text>
    </comment>
    <comment ref="D17" authorId="0" shapeId="0" xr:uid="{47DAA3D4-1DB3-4B6A-B9C3-0C9E6BBCD0FB}">
      <text>
        <r>
          <rPr>
            <sz val="12"/>
            <color indexed="81"/>
            <rFont val="Times New Roman"/>
            <family val="1"/>
          </rPr>
          <t>Prism, lens, or monocle</t>
        </r>
      </text>
    </comment>
    <comment ref="D18" authorId="0" shapeId="0" xr:uid="{39EF3187-CFDF-4836-9710-2EEB3E1D4867}">
      <text>
        <r>
          <rPr>
            <sz val="12"/>
            <color indexed="81"/>
            <rFont val="Times New Roman"/>
            <family val="1"/>
          </rPr>
          <t>Miniature cloak</t>
        </r>
      </text>
    </comment>
    <comment ref="D22" authorId="0" shapeId="0" xr:uid="{0A0D8C7D-2B74-4BD4-A3FB-88DDAB2DDC73}">
      <text>
        <r>
          <rPr>
            <sz val="12"/>
            <color indexed="81"/>
            <rFont val="Times New Roman"/>
            <family val="1"/>
          </rPr>
          <t>Tiny bell and a piece of fine silver wire</t>
        </r>
      </text>
    </comment>
    <comment ref="D24" authorId="0" shapeId="0" xr:uid="{C0738328-B02A-430E-8040-9F4B23601A5E}">
      <text>
        <r>
          <rPr>
            <sz val="12"/>
            <color indexed="81"/>
            <rFont val="Times New Roman"/>
            <family val="1"/>
          </rPr>
          <t>Cured leather</t>
        </r>
      </text>
    </comment>
    <comment ref="D25" authorId="0" shapeId="0" xr:uid="{FAAD7C89-8E2F-42C1-8A2D-0288B107B60F}">
      <text>
        <r>
          <rPr>
            <sz val="12"/>
            <color indexed="81"/>
            <rFont val="Times New Roman"/>
            <family val="1"/>
          </rPr>
          <t>Drop of mercury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2" authorId="0" shapeId="0" xr:uid="{ED1960EA-635E-416B-97E3-DB6631400E5F}">
      <text>
        <r>
          <rPr>
            <sz val="12"/>
            <color indexed="81"/>
            <rFont val="Times New Roman"/>
            <family val="1"/>
          </rPr>
          <t>If a rogue can catch an opponent when he is unable to defend himself effectively from her attack, she can strike a vital spot for extra damage.  Basically, the rogue’s attack deals extra damage any time her target would be denied a Dexterity bonus to AC (whether the target actually has a Dexterity bonus or not), or when the rogue flanks her target.  This extra damage is 1d6 at 1st level, and it increases by 1d6 every two rogue levels thereafter.  Should the rogue score a critical hit with a sneak attack, this extra damage is not multiplied.  (See Table 8–5:  Attack Roll Modifiers and Table 8–6:  Armor Class Modifiers, page 151, for combat situations in which the rogue flanks an opponent or the opponent loses his Dexterity bonus to AC.)
Ranged attacks can count as sneak attacks only if the target is within 30 feet.  A rogue can’t strike with deadly accuracy from beyond that range.
With a sap (blackjack) or an unarmed strike, a rogue can make a sneak attack that deals nonlethal damage instead of lethal damage. She cannot use a weapon that deals lethal damage to deal nonlethal damage in a sneak attack, not even with the usual –4 penalty, because she must make optimal use of her weapon in order to execute a sneak attack.  (See Nonlethal Damage, page 146.)
A rogue can sneak attack only living creatures with discernible anatomies—undead, constructs, oozes, plants, and incorporeal creatures lack vital areas to attack.  Any creature that is immune to critical hits is not vulnerable to sneak attacks.  The rogue must be able to see the target well enough to pick out a vital spot and must be able to reach such a spot.  A rogue cannot sneak attack while striking a creature with concealment (see page 152) or striking the limbs of a creature whose vitals are beyond reach.   
PHB 50</t>
        </r>
      </text>
    </comment>
    <comment ref="A3" authorId="0" shapeId="0" xr:uid="{5C47C644-BE90-4AC8-A215-FD5D8A0341D7}">
      <text>
        <r>
          <rPr>
            <sz val="12"/>
            <color indexed="81"/>
            <rFont val="Times New Roman"/>
            <family val="1"/>
          </rPr>
          <t xml:space="preserve">You are skilled at leading caravans along established trade routes. Regions: Cormyr, Dalelands, Sembia, Thesk, Western Heartlands
</t>
        </r>
        <r>
          <rPr>
            <b/>
            <sz val="12"/>
            <color indexed="81"/>
            <rFont val="Times New Roman"/>
            <family val="1"/>
          </rPr>
          <t xml:space="preserve">Benefit:  </t>
        </r>
        <r>
          <rPr>
            <sz val="12"/>
            <color indexed="81"/>
            <rFont val="Times New Roman"/>
            <family val="1"/>
          </rPr>
          <t>You receive a +2 bonus on all Handle Animal and Knowledge (geography) checks.
Races of Faerûn 162</t>
        </r>
      </text>
    </comment>
    <comment ref="C3" authorId="0" shapeId="0" xr:uid="{56651AA1-35DB-46D8-9D03-2853C82840EA}">
      <text>
        <r>
          <rPr>
            <sz val="12"/>
            <color indexed="81"/>
            <rFont val="Times New Roman"/>
            <family val="1"/>
          </rPr>
          <t>At 3rd level, a rogue gains an intuitive sense that alerts her to danger from traps, giving her a +1 bonus on Reflex saves made to avoid traps and a +1 dodge bonus to AC against attacks made by traps.  These bonuses rise to +2 when the rogue reaches 6th level, to +3 when she reaches 9th level, to +4 when she reaches 12th level, to +5 at 15th, and to +6 at 18th level.
Trap sense bonuses gained from multiple classes stack.
PHB 50</t>
        </r>
      </text>
    </comment>
    <comment ref="A4" authorId="0" shapeId="0" xr:uid="{C6607A43-48FC-4986-9AE8-5EA4566E238D}">
      <text>
        <r>
          <rPr>
            <sz val="12"/>
            <color indexed="81"/>
            <rFont val="Times New Roman"/>
            <family val="1"/>
          </rPr>
          <t>+2 to Reflex saves.
PHB 97</t>
        </r>
      </text>
    </comment>
    <comment ref="C4" authorId="0" shapeId="0" xr:uid="{F57B3594-1395-4ADD-80E2-72D004BDCB39}">
      <text>
        <r>
          <rPr>
            <sz val="12"/>
            <color indexed="81"/>
            <rFont val="Times New Roman"/>
            <family val="1"/>
          </rPr>
          <t>Starting at 4th level, a rogue can react to danger before her senses would normally allow her to do so.  She retains her Dexterity bonus to AC (if any) even if she is caught flat-footed or struck by an invisible attacker.  However, she still loses her Dexterity bonus to AC if immobilized.  If a rogue already has uncanny dodge from a different class (a rogue with at least two levels of barbarian, for example), she automatically gains improved uncanny dodge (see below) instead.
PHB 50</t>
        </r>
      </text>
    </comment>
    <comment ref="C5" authorId="0" shapeId="0" xr:uid="{BE37330F-357E-4B5D-AB1A-BFB05AECB7F4}">
      <text>
        <r>
          <rPr>
            <sz val="12"/>
            <color indexed="81"/>
            <rFont val="Times New Roman"/>
            <family val="1"/>
          </rPr>
          <t>At 2nd level and higher, a rogue can avoid even magical and unusual attacks with great agility.  If she makes a successful Reflex saving throw against an attack that normally deals half damage on a successful save (such as a red dragon’s fiery breath or a fireball), she instead takes no damage.  Evasion can be used only if the rogue is wearing light armor or no armor.  A helpless rogue (such as one who is unconscious or paralysed) does not gain the benefit of evasion.
PHB 50</t>
        </r>
      </text>
    </comment>
    <comment ref="A6" authorId="0" shapeId="0" xr:uid="{24F40DF7-DA56-467A-BACB-8E50C10C3CCF}">
      <text>
        <r>
          <rPr>
            <sz val="12"/>
            <color indexed="81"/>
            <rFont val="Times New Roman"/>
            <family val="1"/>
          </rPr>
          <t xml:space="preserve">You can follow the trails of creatures and characters across most types of terrain.
</t>
        </r>
        <r>
          <rPr>
            <b/>
            <sz val="12"/>
            <color indexed="81"/>
            <rFont val="Times New Roman"/>
            <family val="1"/>
          </rPr>
          <t xml:space="preserve">Benefit:  </t>
        </r>
        <r>
          <rPr>
            <sz val="12"/>
            <color indexed="81"/>
            <rFont val="Times New Roman"/>
            <family val="1"/>
          </rPr>
          <t xml:space="preserve">To find tracks or to follow them for 1 mile requires a successful Survival check.  You must make another Survival check every time the tracks become difficult to follow, such as when other tracks cross them or when the tracks backtrack and diverge.
You move at half your normal speed (or at your normal speed with a –5 penalty on the check, or at up to twice your normal speed with a –20 penalty on the check).
If you fail a Survival check, you can retry after 1 hour (outdoors) or 10 minutes (indoors) of searching.
</t>
        </r>
        <r>
          <rPr>
            <b/>
            <sz val="12"/>
            <color indexed="81"/>
            <rFont val="Times New Roman"/>
            <family val="1"/>
          </rPr>
          <t xml:space="preserve">Normal:  </t>
        </r>
        <r>
          <rPr>
            <sz val="12"/>
            <color indexed="81"/>
            <rFont val="Times New Roman"/>
            <family val="1"/>
          </rPr>
          <t xml:space="preserve">Without this feat, you can use the Survival skill to find tracks, but you can follow them only if the DC for the task is 10 or lower. Alternatively, you can use the Search skill to find a footprint or similar sign of a creature’s passage using the DCs given above, but you can’t use Search to follow tracks, even if someone else has already found them.
</t>
        </r>
        <r>
          <rPr>
            <b/>
            <sz val="12"/>
            <color indexed="81"/>
            <rFont val="Times New Roman"/>
            <family val="1"/>
          </rPr>
          <t xml:space="preserve">Special:  </t>
        </r>
        <r>
          <rPr>
            <sz val="12"/>
            <color indexed="81"/>
            <rFont val="Times New Roman"/>
            <family val="1"/>
          </rPr>
          <t>A ranger automatically has Track as a bonus feat.  He need not select it.  This feat does not allow you to find or follow the tracks made by a subject of a pass without trace spell.
PHB 101</t>
        </r>
      </text>
    </comment>
    <comment ref="C6" authorId="0" shapeId="0" xr:uid="{B349AFCA-6596-412B-897D-433042ED9333}">
      <text>
        <r>
          <rPr>
            <sz val="12"/>
            <color indexed="81"/>
            <rFont val="Times New Roman"/>
            <family val="1"/>
          </rPr>
          <t>Rogues (and only rogues) can use the Search skill to locate traps when the task has a Difficulty Class higher than 20.
Finding a nonmagical trap has a DC of at least 20, or higher if it is well hidden.  Finding a magic trap has a DC of 25 + the level of the spell used to create it.
Rogues (and only rogues) can use the Disable Device skill to disarm magic traps. A magic trap generally has a DC of 25 + the level of the spell used to create it.  A rogue who beats a trap’s DC by 10 or more with a Disable Device check can study a trap, figure out how it works, and bypass it (with her party) without disarming it.
PHB 50</t>
        </r>
      </text>
    </comment>
    <comment ref="A10" authorId="0" shapeId="0" xr:uid="{5FC6298E-2D01-40FA-BAED-1270D7884C5C}">
      <text>
        <r>
          <rPr>
            <sz val="12"/>
            <color indexed="81"/>
            <rFont val="Times New Roman"/>
            <family val="1"/>
          </rPr>
          <t>Hand crossbow, rapier, sap, shortbow, and short sword.
PHB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205F085F-8C14-4C44-9F73-928ACE97DBE2}">
      <text>
        <r>
          <rPr>
            <sz val="12"/>
            <color indexed="81"/>
            <rFont val="Times New Roman"/>
            <family val="1"/>
          </rPr>
          <t>3 Negative Levels</t>
        </r>
      </text>
    </comment>
    <comment ref="D4" authorId="0" shapeId="0" xr:uid="{8A8E02EE-CE7C-419B-9A72-8681F14B6D71}">
      <text>
        <r>
          <rPr>
            <sz val="12"/>
            <color indexed="81"/>
            <rFont val="Times New Roman"/>
            <family val="1"/>
          </rPr>
          <t>3 Negative Levels</t>
        </r>
      </text>
    </comment>
    <comment ref="D5" authorId="0" shapeId="0" xr:uid="{A952784D-840E-4F4E-8C93-6F9A5C4A8931}">
      <text>
        <r>
          <rPr>
            <sz val="12"/>
            <color indexed="81"/>
            <rFont val="Times New Roman"/>
            <family val="1"/>
          </rPr>
          <t>3 Negative Levels</t>
        </r>
      </text>
    </comment>
    <comment ref="D6" authorId="0" shapeId="0" xr:uid="{56552A3B-1123-48F4-84BD-C4BD3B34B1E4}">
      <text>
        <r>
          <rPr>
            <sz val="12"/>
            <color indexed="81"/>
            <rFont val="Times New Roman"/>
            <family val="1"/>
          </rPr>
          <t>3 Negative Levels</t>
        </r>
      </text>
    </comment>
    <comment ref="D7" authorId="0" shapeId="0" xr:uid="{AB750DC9-D417-4123-B0DD-615B8329E83F}">
      <text>
        <r>
          <rPr>
            <sz val="12"/>
            <color indexed="81"/>
            <rFont val="Times New Roman"/>
            <family val="1"/>
          </rPr>
          <t>3 Negative Levels</t>
        </r>
      </text>
    </comment>
    <comment ref="D8" authorId="0" shapeId="0" xr:uid="{14A3B358-ADBC-4F68-8A61-F2D130476A0F}">
      <text>
        <r>
          <rPr>
            <sz val="12"/>
            <color indexed="81"/>
            <rFont val="Times New Roman"/>
            <family val="1"/>
          </rPr>
          <t>3 Negative Levels</t>
        </r>
      </text>
    </comment>
    <comment ref="D9" authorId="0" shapeId="0" xr:uid="{D18697E4-784A-43E7-9D18-FE519F1D8348}">
      <text>
        <r>
          <rPr>
            <sz val="12"/>
            <color indexed="81"/>
            <rFont val="Times New Roman"/>
            <family val="1"/>
          </rPr>
          <t>3 Negative Levels</t>
        </r>
      </text>
    </comment>
    <comment ref="D12" authorId="0" shapeId="0" xr:uid="{8A2C763B-DA37-4312-BB99-5756F1FF1385}">
      <text>
        <r>
          <rPr>
            <sz val="12"/>
            <color indexed="81"/>
            <rFont val="Times New Roman"/>
            <family val="1"/>
          </rPr>
          <t>3 Negative Levels</t>
        </r>
      </text>
    </comment>
    <comment ref="D13" authorId="0" shapeId="0" xr:uid="{7ED5D1BD-2569-4E8D-923B-A1CB184DD02C}">
      <text>
        <r>
          <rPr>
            <sz val="12"/>
            <color indexed="81"/>
            <rFont val="Times New Roman"/>
            <family val="1"/>
          </rPr>
          <t>3 Negative Levels</t>
        </r>
      </text>
    </comment>
    <comment ref="D14" authorId="0" shapeId="0" xr:uid="{7183C8C3-CE35-423F-B802-41E34B6CBDE2}">
      <text>
        <r>
          <rPr>
            <sz val="12"/>
            <color indexed="81"/>
            <rFont val="Times New Roman"/>
            <family val="1"/>
          </rPr>
          <t>3 Negative Levels</t>
        </r>
      </text>
    </comment>
    <comment ref="D15" authorId="0" shapeId="0" xr:uid="{AEFC3CCE-C81C-45C3-8066-DDCB3E71DE11}">
      <text>
        <r>
          <rPr>
            <sz val="12"/>
            <color indexed="81"/>
            <rFont val="Times New Roman"/>
            <family val="1"/>
          </rPr>
          <t>3 Negative Levels</t>
        </r>
      </text>
    </comment>
    <comment ref="D18" authorId="0" shapeId="0" xr:uid="{7C245010-896D-4B75-A7F1-4255865E6E02}">
      <text>
        <r>
          <rPr>
            <sz val="12"/>
            <color indexed="81"/>
            <rFont val="Times New Roman"/>
            <family val="1"/>
          </rPr>
          <t>3 Negative Levels</t>
        </r>
      </text>
    </comment>
    <comment ref="D19" authorId="0" shapeId="0" xr:uid="{93C685BF-F22C-426C-8C03-964FE54C880A}">
      <text>
        <r>
          <rPr>
            <sz val="12"/>
            <color indexed="81"/>
            <rFont val="Times New Roman"/>
            <family val="1"/>
          </rPr>
          <t>3 Negative Levels</t>
        </r>
      </text>
    </comment>
    <comment ref="D20" authorId="0" shapeId="0" xr:uid="{201B9316-BB7E-4FDB-A6A0-EB106DD530A4}">
      <text>
        <r>
          <rPr>
            <sz val="12"/>
            <color indexed="81"/>
            <rFont val="Times New Roman"/>
            <family val="1"/>
          </rPr>
          <t>3 Negative Levels</t>
        </r>
      </text>
    </comment>
    <comment ref="D21" authorId="0" shapeId="0" xr:uid="{8A3BE83B-B058-4F18-84C5-9C4B8E46C6E2}">
      <text>
        <r>
          <rPr>
            <sz val="12"/>
            <color indexed="81"/>
            <rFont val="Times New Roman"/>
            <family val="1"/>
          </rPr>
          <t>3 Negative Levels</t>
        </r>
      </text>
    </comment>
    <comment ref="D22" authorId="0" shapeId="0" xr:uid="{91DB4911-ED13-4544-A9EC-FCEC3514D36F}">
      <text>
        <r>
          <rPr>
            <sz val="12"/>
            <color indexed="81"/>
            <rFont val="Times New Roman"/>
            <family val="1"/>
          </rPr>
          <t>3 Negative Levels</t>
        </r>
      </text>
    </comment>
    <comment ref="D24" authorId="0" shapeId="0" xr:uid="{00000000-0006-0000-0600-000001000000}">
      <text>
        <r>
          <rPr>
            <sz val="12"/>
            <color indexed="81"/>
            <rFont val="Times New Roman"/>
            <family val="1"/>
          </rPr>
          <t>Balance, Climb, Escape Artist, Hide, Jump, Move Silently, Sleight of Hand, Tumble.</t>
        </r>
      </text>
    </comment>
    <comment ref="B26" authorId="0" shapeId="0" xr:uid="{F8BB46B9-71E8-48C4-BD1E-800E505307D8}">
      <text>
        <r>
          <rPr>
            <sz val="12"/>
            <color indexed="81"/>
            <rFont val="Times New Roman"/>
            <family val="1"/>
          </rPr>
          <t>This is a deflection bonus, so it's hard-coded into the TAC calculation in the Personal File.</t>
        </r>
      </text>
    </comment>
    <comment ref="A27" authorId="0" shapeId="0" xr:uid="{0914EA35-9F77-484A-9DD6-11AF38200B0F}">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7F6E11B4-2265-4F52-A9F3-FFA5BC8B0905}">
      <text>
        <r>
          <rPr>
            <sz val="12"/>
            <color indexed="81"/>
            <rFont val="Times New Roman"/>
            <family val="1"/>
          </rPr>
          <t>#1 – Ordinary travel clothes (the short-sleeved gambeson is part of her armor) with a light cloak, as shown on her portrait pic. (The cloak isn’t visible in the pics, because I have trouble rendering them.)
#2 – Casual outfit shown in her second pic. Also includes a lightweight burgundy thigh-length embroidered cloak that she pulls to the back when it’s not in use.
#3 – Light tan, light brown, and medium tan ghillie suit – manifests strips of cloth everywhere not covered by the chain shirt. The cloak extends to cover her head, torso and thighs, front and back.
#4 – Medium green, dark green, and brown ghillie suit – same coverage.
#5 – White and gray ghillie suit –same coverage, but the base cloth extrudes an extra layer for insulation from the cold.
She does own a coat and a heavy woolen cloak that can fit over her Shiftweave for winter travel, but they’re ordinary clothes.</t>
        </r>
      </text>
    </comment>
    <comment ref="A5" authorId="0" shapeId="0" xr:uid="{14BB4F4D-0A96-4855-93E1-13C5EC5FC2E8}">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 xml:space="preserve">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t>
        </r>
        <r>
          <rPr>
            <b/>
            <sz val="12"/>
            <color indexed="81"/>
            <rFont val="Times New Roman"/>
            <family val="1"/>
          </rPr>
          <t xml:space="preserve">1 charge:  </t>
        </r>
        <r>
          <rPr>
            <sz val="12"/>
            <color indexed="81"/>
            <rFont val="Times New Roman"/>
            <family val="1"/>
          </rPr>
          <t xml:space="preserve">Heals 2d8 points of damage.
</t>
        </r>
        <r>
          <rPr>
            <b/>
            <sz val="12"/>
            <color indexed="81"/>
            <rFont val="Times New Roman"/>
            <family val="1"/>
          </rPr>
          <t xml:space="preserve">2 charges:  </t>
        </r>
        <r>
          <rPr>
            <sz val="12"/>
            <color indexed="81"/>
            <rFont val="Times New Roman"/>
            <family val="1"/>
          </rPr>
          <t xml:space="preserve">Heals 3d8 points of damage.
</t>
        </r>
        <r>
          <rPr>
            <b/>
            <sz val="12"/>
            <color indexed="81"/>
            <rFont val="Times New Roman"/>
            <family val="1"/>
          </rPr>
          <t xml:space="preserve">3 charges:  </t>
        </r>
        <r>
          <rPr>
            <sz val="12"/>
            <color indexed="81"/>
            <rFont val="Times New Roman"/>
            <family val="1"/>
          </rPr>
          <t xml:space="preserve">Heals 4d8 points of damage.
</t>
        </r>
        <r>
          <rPr>
            <b/>
            <sz val="12"/>
            <color indexed="81"/>
            <rFont val="Times New Roman"/>
            <family val="1"/>
          </rPr>
          <t xml:space="preserve">Prerequisites:  </t>
        </r>
        <r>
          <rPr>
            <sz val="12"/>
            <color indexed="81"/>
            <rFont val="Times New Roman"/>
            <family val="1"/>
          </rPr>
          <t>Craft Wondrous Item, cure moderate wounds.
MIC 110</t>
        </r>
      </text>
    </comment>
    <comment ref="A6" authorId="0" shapeId="0" xr:uid="{88CEAAC4-E9C1-42C8-AF4E-FB95A4E5BD59}">
      <text>
        <r>
          <rPr>
            <b/>
            <sz val="12"/>
            <color indexed="81"/>
            <rFont val="Times New Roman"/>
            <family val="1"/>
          </rPr>
          <t xml:space="preserve">Price (Item Level):  </t>
        </r>
        <r>
          <rPr>
            <sz val="12"/>
            <color indexed="81"/>
            <rFont val="Times New Roman"/>
            <family val="1"/>
          </rPr>
          <t xml:space="preserve">2,000 gp (6th)
</t>
        </r>
        <r>
          <rPr>
            <b/>
            <sz val="12"/>
            <color indexed="81"/>
            <rFont val="Times New Roman"/>
            <family val="1"/>
          </rPr>
          <t xml:space="preserve">Body Slot:  </t>
        </r>
        <r>
          <rPr>
            <sz val="12"/>
            <color indexed="81"/>
            <rFont val="Times New Roman"/>
            <family val="1"/>
          </rPr>
          <t xml:space="preserve">Feet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These sleek leather boots lean slightly forward, as if poised to leap.
While wearing dimension stride boots, you gain a +2 competence bonus on Jump checks.  This is a continuous effect and requires no activation.
In addition, the boots have 5 charges, which are renewed each day at dawn.
Spending 1 or more charges allows you to teleport a short distance (with no chance of error).  You must have line of sight and line of effect to your destination.  You can’t use the boots to move into a space occupied by another creature, nor can you teleport into a solid object; if you attempt to do so, the boots’ activation is wasted.  You can bring along objects weighing up to your maximum load, but you can’t bring other creatures.
1 charge: Teleport 20 feet.
3 charges: Teleport 40 feet.
5 charges: Teleport 60 feet.
Magic Item Compendium 94</t>
        </r>
      </text>
    </comment>
    <comment ref="A11" authorId="0" shapeId="0" xr:uid="{F528FD1E-5989-4912-B0B0-10FA0B2FD009}">
      <text>
        <r>
          <rPr>
            <b/>
            <sz val="12"/>
            <color indexed="81"/>
            <rFont val="Times New Roman"/>
            <family val="1"/>
          </rPr>
          <t xml:space="preserve">Price (Item Level):  </t>
        </r>
        <r>
          <rPr>
            <sz val="12"/>
            <color indexed="81"/>
            <rFont val="Times New Roman"/>
            <family val="1"/>
          </rPr>
          <t xml:space="preserve">350 gp (2nd)
</t>
        </r>
        <r>
          <rPr>
            <b/>
            <sz val="12"/>
            <color indexed="81"/>
            <rFont val="Times New Roman"/>
            <family val="1"/>
          </rPr>
          <t xml:space="preserve">Body Slot:  </t>
        </r>
        <r>
          <rPr>
            <sz val="12"/>
            <color indexed="81"/>
            <rFont val="Times New Roman"/>
            <family val="1"/>
          </rPr>
          <t xml:space="preserve">— (held)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conjuration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2 lb.
This nondescript, small leather pouch has a light blue silk drawstring.
This pouch contains enough trail rations to feed a Medium creature for one day.  Every morning at sunrise, the pouch magically creates another day’s worth of rations.
</t>
        </r>
        <r>
          <rPr>
            <b/>
            <sz val="12"/>
            <color indexed="81"/>
            <rFont val="Times New Roman"/>
            <family val="1"/>
          </rPr>
          <t xml:space="preserve">Prerequisites:  </t>
        </r>
        <r>
          <rPr>
            <sz val="12"/>
            <color indexed="81"/>
            <rFont val="Times New Roman"/>
            <family val="1"/>
          </rPr>
          <t>Craft Wondrous Item, create food and water.
MIC 159</t>
        </r>
      </text>
    </comment>
    <comment ref="A18" authorId="0" shapeId="0" xr:uid="{5FED62F0-D645-4BCB-8842-7F0663DA3E0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 ref="A42" authorId="0" shapeId="0" xr:uid="{5E569819-74FA-4BDF-A67F-E9AF13A9BFD1}">
      <text>
        <r>
          <rPr>
            <sz val="12"/>
            <color indexed="81"/>
            <rFont val="Times New Roman"/>
            <family val="1"/>
          </rPr>
          <t>10’ x 10’, 5’ tall inside (she is a gnome, after all), weatherproof, fireproof (this is important since there will be a forge right outside it), and windproof (can’t be blown over), contains up to 1000 lbs. or 500 cu.ft. of nonliving materials, weighs 15 lbs. and measures 12” x 12” x 6” when folded.  It folds and unfolds in one minute with a command word.  Magical resistances would be typical of such constructs, and (maybe?) it only functions for gnomes.
non-canon</t>
        </r>
      </text>
    </comment>
  </commentList>
</comments>
</file>

<file path=xl/sharedStrings.xml><?xml version="1.0" encoding="utf-8"?>
<sst xmlns="http://schemas.openxmlformats.org/spreadsheetml/2006/main" count="828" uniqueCount="426">
  <si>
    <t>Melee Weapon</t>
  </si>
  <si>
    <t>Dmg</t>
  </si>
  <si>
    <t>Qty.</t>
  </si>
  <si>
    <t>Ranged Weapon</t>
  </si>
  <si>
    <t>Dmg.</t>
  </si>
  <si>
    <t>Rng.</t>
  </si>
  <si>
    <t>Skills</t>
  </si>
  <si>
    <t>Concentration</t>
  </si>
  <si>
    <t>AC Mod.</t>
  </si>
  <si>
    <t>Handle Animal</t>
  </si>
  <si>
    <t>Move Silently</t>
  </si>
  <si>
    <t>Ride</t>
  </si>
  <si>
    <t>Search</t>
  </si>
  <si>
    <t>Swim</t>
  </si>
  <si>
    <t>Weapons and Armor</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</si>
  <si>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</si>
  <si>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</si>
  <si>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</si>
  <si>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</si>
  <si>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</si>
  <si>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</si>
  <si>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</si>
  <si>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</si>
  <si>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</si>
  <si>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</si>
  <si>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</si>
  <si>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</si>
  <si>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</si>
  <si>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</si>
  <si>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</si>
  <si>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</si>
  <si>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</si>
  <si>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</si>
  <si>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</si>
  <si>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</si>
  <si>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</si>
  <si>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</si>
  <si>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</si>
  <si>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</si>
  <si>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</si>
  <si>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</si>
  <si>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</si>
  <si>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</si>
  <si>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</si>
  <si>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</si>
  <si>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</si>
  <si>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</si>
  <si>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</si>
  <si>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</si>
  <si>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</si>
  <si>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</si>
  <si>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</si>
  <si>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</si>
  <si>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</si>
  <si>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</si>
  <si>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</si>
  <si>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Will</t>
  </si>
  <si>
    <t>Armor &amp; Shield</t>
  </si>
  <si>
    <t>Missiles</t>
  </si>
  <si>
    <t>Languages</t>
  </si>
  <si>
    <t>Equipment Worn</t>
  </si>
  <si>
    <t>Item</t>
  </si>
  <si>
    <t>Effects/</t>
  </si>
  <si>
    <t>Notes</t>
  </si>
  <si>
    <t>Equipment Carried</t>
  </si>
  <si>
    <t>Check</t>
  </si>
  <si>
    <t>Arcane</t>
  </si>
  <si>
    <t>Speed</t>
  </si>
  <si>
    <t>Sleight of Hand</t>
  </si>
  <si>
    <t>Survival</t>
  </si>
  <si>
    <t>Weapon Proficiencies</t>
  </si>
  <si>
    <t>Atk</t>
  </si>
  <si>
    <t>Feats</t>
  </si>
  <si>
    <t>2</t>
  </si>
  <si>
    <t>Roll</t>
  </si>
  <si>
    <t>Spell</t>
  </si>
  <si>
    <t>-</t>
  </si>
  <si>
    <t>Level</t>
  </si>
  <si>
    <t>DC</t>
  </si>
  <si>
    <t>Cast?</t>
  </si>
  <si>
    <t>Skill/Save</t>
  </si>
  <si>
    <t>Ghost Sound</t>
  </si>
  <si>
    <t>Racial Abilities</t>
  </si>
  <si>
    <t>+1 vs. kobolds &amp; goblinoids</t>
  </si>
  <si>
    <t>+4 dodge vs. Giant type</t>
  </si>
  <si>
    <t>Bludgeon</t>
  </si>
  <si>
    <t>1d3</t>
  </si>
  <si>
    <t>CLev</t>
  </si>
  <si>
    <t>Low-light Vision</t>
  </si>
  <si>
    <t>4</t>
  </si>
  <si>
    <t>Wands, Scrolls and Potions</t>
  </si>
  <si>
    <t>Grapple, Unarmed Strike</t>
  </si>
  <si>
    <t>x2</t>
  </si>
  <si>
    <t>Value</t>
  </si>
  <si>
    <t>Fortitude</t>
  </si>
  <si>
    <t>Reflex</t>
  </si>
  <si>
    <t>Gnome Hammer treated as martial</t>
  </si>
  <si>
    <t>Simple Weapons, Light Armor</t>
  </si>
  <si>
    <t>Perform:  [type]</t>
  </si>
  <si>
    <t>q</t>
  </si>
  <si>
    <t>Ranged Touch Spell</t>
  </si>
  <si>
    <t>Played by JR Roberts</t>
  </si>
  <si>
    <t>Saradette</t>
  </si>
  <si>
    <t>Female</t>
  </si>
  <si>
    <t>3’ 9”</t>
  </si>
  <si>
    <t>44 lbs.</t>
  </si>
  <si>
    <t>Mayaheine</t>
  </si>
  <si>
    <t>Chaotic Good</t>
  </si>
  <si>
    <t>The Dalelands</t>
  </si>
  <si>
    <t>Personality, History, and Notes</t>
  </si>
  <si>
    <t>30’</t>
  </si>
  <si>
    <t>Rogue</t>
  </si>
  <si>
    <t>Rogue 1</t>
  </si>
  <si>
    <t>Rogue Features</t>
  </si>
  <si>
    <t>Trapfinding</t>
  </si>
  <si>
    <t>Goblinoid</t>
  </si>
  <si>
    <t>Gnomish, Common, Elvish</t>
  </si>
  <si>
    <t>1st:  Run</t>
  </si>
  <si>
    <t>Rogue Weapons</t>
  </si>
  <si>
    <t>Shortbow</t>
  </si>
  <si>
    <t>Short Sword</t>
  </si>
  <si>
    <t>1d4</t>
  </si>
  <si>
    <t>19-20/x2</t>
  </si>
  <si>
    <t>Slsh/Prc</t>
  </si>
  <si>
    <t>Arrows</t>
  </si>
  <si>
    <t>Thieves’ Tools</t>
  </si>
  <si>
    <t>Possibles Bag</t>
  </si>
  <si>
    <t>Waterskin</t>
  </si>
  <si>
    <t>Trail Rations</t>
  </si>
  <si>
    <t>Speak Language:  [Language]</t>
  </si>
  <si>
    <t>Craft:  Metalworking</t>
  </si>
  <si>
    <t>Rock</t>
  </si>
  <si>
    <r>
      <t>25</t>
    </r>
    <r>
      <rPr>
        <sz val="13"/>
        <rFont val="Times New Roman"/>
        <family val="1"/>
      </rPr>
      <t>/</t>
    </r>
    <r>
      <rPr>
        <sz val="13"/>
        <color indexed="51"/>
        <rFont val="Times New Roman"/>
        <family val="1"/>
      </rPr>
      <t>50</t>
    </r>
    <r>
      <rPr>
        <sz val="13"/>
        <rFont val="Times New Roman"/>
        <family val="1"/>
      </rPr>
      <t>/</t>
    </r>
    <r>
      <rPr>
        <sz val="13"/>
        <color indexed="10"/>
        <rFont val="Times New Roman"/>
        <family val="1"/>
      </rPr>
      <t>75</t>
    </r>
  </si>
  <si>
    <t>SF</t>
  </si>
  <si>
    <t>1</t>
  </si>
  <si>
    <t>Dancing Lights</t>
  </si>
  <si>
    <t>Prestidigitation</t>
  </si>
  <si>
    <t>Speak with Animals</t>
  </si>
  <si>
    <t>Piercing</t>
  </si>
  <si>
    <t>x3</t>
  </si>
  <si>
    <t>60’</t>
  </si>
  <si>
    <t>Clothes &amp; Toiletries</t>
  </si>
  <si>
    <t>Rock Gnome Spells</t>
  </si>
  <si>
    <t>Artificer</t>
  </si>
  <si>
    <t>Race</t>
  </si>
  <si>
    <t>Subrace</t>
  </si>
  <si>
    <t>Class</t>
  </si>
  <si>
    <t>Deity</t>
  </si>
  <si>
    <t>Height</t>
  </si>
  <si>
    <t>Age</t>
  </si>
  <si>
    <t>Weight</t>
  </si>
  <si>
    <t>Region</t>
  </si>
  <si>
    <t>Sex</t>
  </si>
  <si>
    <t>Alignment</t>
  </si>
  <si>
    <t>Attack Bonus</t>
  </si>
  <si>
    <t>Initiative</t>
  </si>
  <si>
    <t>XP</t>
  </si>
  <si>
    <t>Strength</t>
  </si>
  <si>
    <t>Lb. Capacity</t>
  </si>
  <si>
    <t>Dexterity</t>
  </si>
  <si>
    <t>Lb. Carried</t>
  </si>
  <si>
    <t>Constitution</t>
  </si>
  <si>
    <t>Hit Points</t>
  </si>
  <si>
    <t>Intelligence</t>
  </si>
  <si>
    <t>Touch AC</t>
  </si>
  <si>
    <t>Wisdom</t>
  </si>
  <si>
    <t>FF AC</t>
  </si>
  <si>
    <t>Charisma</t>
  </si>
  <si>
    <t>AC</t>
  </si>
  <si>
    <t>Character:</t>
  </si>
  <si>
    <t>%</t>
  </si>
  <si>
    <t>Excellent</t>
  </si>
  <si>
    <t>Missed Posts</t>
  </si>
  <si>
    <t>Maximum award for this segment</t>
  </si>
  <si>
    <t xml:space="preserve"> Character award for this segment</t>
  </si>
  <si>
    <t>Extra XPs</t>
  </si>
  <si>
    <t>Previous XP Balance</t>
  </si>
  <si>
    <t>Current XP Balance</t>
  </si>
  <si>
    <t>20’</t>
  </si>
  <si>
    <t>Thoroughness and clarity</t>
  </si>
  <si>
    <t>Level-appropriate use of skills, feats, limitations, and other features</t>
  </si>
  <si>
    <t>Convincing role-playing and character development</t>
  </si>
  <si>
    <t>Consistency with other characters’ actions and setting description</t>
  </si>
  <si>
    <t>Rogue 2</t>
  </si>
  <si>
    <t>CROSS-CLASS</t>
  </si>
  <si>
    <t>Evasion</t>
  </si>
  <si>
    <t>Illusionist</t>
  </si>
  <si>
    <t>Illusionist 1</t>
  </si>
  <si>
    <t>Knowledge:  Arch. &amp; Eng.</t>
  </si>
  <si>
    <t>3rd:  Lightning Reflexes</t>
  </si>
  <si>
    <t>Illusionist Abilities</t>
  </si>
  <si>
    <t>Scribe Scroll</t>
  </si>
  <si>
    <t>School</t>
  </si>
  <si>
    <t>Components</t>
  </si>
  <si>
    <t>Casting</t>
  </si>
  <si>
    <t>Range</t>
  </si>
  <si>
    <t>Duration</t>
  </si>
  <si>
    <t>Reference</t>
  </si>
  <si>
    <t>Page</t>
  </si>
  <si>
    <t>Acid Splash</t>
  </si>
  <si>
    <t>Conjuration</t>
  </si>
  <si>
    <t>V S</t>
  </si>
  <si>
    <t>1 SA</t>
  </si>
  <si>
    <t>25’ + 2½’/lvl</t>
  </si>
  <si>
    <t>Instant</t>
  </si>
  <si>
    <t>PHB</t>
  </si>
  <si>
    <t>Daze</t>
  </si>
  <si>
    <t>Enchantment</t>
  </si>
  <si>
    <t>V S M</t>
  </si>
  <si>
    <t>1 round</t>
  </si>
  <si>
    <t>Divination</t>
  </si>
  <si>
    <t>Personal</t>
  </si>
  <si>
    <t>Touch</t>
  </si>
  <si>
    <t>1 rnd/lvl</t>
  </si>
  <si>
    <t>V</t>
  </si>
  <si>
    <t>1 hour</t>
  </si>
  <si>
    <t>Evocation</t>
  </si>
  <si>
    <t>V S M/DF</t>
  </si>
  <si>
    <t>100’ + 10’/lvl</t>
  </si>
  <si>
    <t>1 min/lvl</t>
  </si>
  <si>
    <t>10 min/lvl</t>
  </si>
  <si>
    <t>Illusion</t>
  </si>
  <si>
    <t>Abjuration</t>
  </si>
  <si>
    <t>Spell Compendium</t>
  </si>
  <si>
    <t>V S F</t>
  </si>
  <si>
    <t>Resistance</t>
  </si>
  <si>
    <t>Caltrops</t>
  </si>
  <si>
    <t>Ray of Frost</t>
  </si>
  <si>
    <t>Detect Poison</t>
  </si>
  <si>
    <t>Electric Jolt</t>
  </si>
  <si>
    <t>Flare</t>
  </si>
  <si>
    <t>Light</t>
  </si>
  <si>
    <t>Sonic Snap</t>
  </si>
  <si>
    <t>Silent Portal</t>
  </si>
  <si>
    <t>Unnerving Gaze</t>
  </si>
  <si>
    <t>Message</t>
  </si>
  <si>
    <t>Arcane Mark</t>
  </si>
  <si>
    <t>Detect Magic</t>
  </si>
  <si>
    <t>Read Magic</t>
  </si>
  <si>
    <t>1 minute</t>
  </si>
  <si>
    <t>V M/DF</t>
  </si>
  <si>
    <t>S</t>
  </si>
  <si>
    <t>Book of Vile Darkness</t>
  </si>
  <si>
    <t>24 hours</t>
  </si>
  <si>
    <t>10’</t>
  </si>
  <si>
    <t>1 hr/lvl</t>
  </si>
  <si>
    <t>Universal</t>
  </si>
  <si>
    <t>1 rune</t>
  </si>
  <si>
    <t>Permanent</t>
  </si>
  <si>
    <t>Alarm</t>
  </si>
  <si>
    <t>Mage Armor</t>
  </si>
  <si>
    <t>Tenser’s Floating Disk</t>
  </si>
  <si>
    <t>Endure Elements</t>
  </si>
  <si>
    <t>2 hrs/lvl</t>
  </si>
  <si>
    <t>Spells per Day by Level</t>
  </si>
  <si>
    <t>0th</t>
  </si>
  <si>
    <t>1st</t>
  </si>
  <si>
    <t>2nd</t>
  </si>
  <si>
    <t>3rd</t>
  </si>
  <si>
    <t>4th</t>
  </si>
  <si>
    <t>5th</t>
  </si>
  <si>
    <t>6th</t>
  </si>
  <si>
    <t>7th</t>
  </si>
  <si>
    <t>8th</t>
  </si>
  <si>
    <t>9th</t>
  </si>
  <si>
    <t>Base Spells</t>
  </si>
  <si>
    <t>Intelligence Bonus</t>
  </si>
  <si>
    <t>Total Spells</t>
  </si>
  <si>
    <t>Spell DC</t>
  </si>
  <si>
    <t>Spellbook</t>
  </si>
  <si>
    <t>Memorized Spells</t>
  </si>
  <si>
    <t>Bonus</t>
  </si>
  <si>
    <t>Inkpen</t>
  </si>
  <si>
    <t>Ink</t>
  </si>
  <si>
    <t>Profession:  Engineer</t>
  </si>
  <si>
    <t>Metalworking Toolkit</t>
  </si>
  <si>
    <r>
      <t xml:space="preserve">Tarapple Febble Tallniss </t>
    </r>
    <r>
      <rPr>
        <i/>
        <sz val="9"/>
        <color rgb="FFFFC000"/>
        <rFont val="Times New Roman"/>
        <family val="1"/>
      </rPr>
      <t>Nensy Gwaella Grangytee of Clan Warblerivet</t>
    </r>
  </si>
  <si>
    <t>+1 vs. Fear</t>
  </si>
  <si>
    <t>Rogue 3</t>
  </si>
  <si>
    <t>Craft:  Alchemy</t>
  </si>
  <si>
    <t>Craft:  Locksmithing</t>
  </si>
  <si>
    <t>Sneak Attack 2d6</t>
  </si>
  <si>
    <t>Summon Familiar</t>
  </si>
  <si>
    <t>Shiftweave</t>
  </si>
  <si>
    <t>Healing Belt</t>
  </si>
  <si>
    <t>Heward’s Handy Haversack</t>
  </si>
  <si>
    <t>% Full:</t>
  </si>
  <si>
    <t>https://www.amazon.com/ghillie-suit/s?k=ghillie+suit</t>
  </si>
  <si>
    <t>2½</t>
  </si>
  <si>
    <t>Soft Equity Ceiling:</t>
  </si>
  <si>
    <t>Total Equity:</t>
  </si>
  <si>
    <t>Device Powers Known</t>
  </si>
  <si>
    <t>Artificer Level</t>
  </si>
  <si>
    <t>Devices:</t>
  </si>
  <si>
    <t>Uncanny Dodge</t>
  </si>
  <si>
    <t>Rogue 4</t>
  </si>
  <si>
    <t>Pump (Sabot Launcher)</t>
  </si>
  <si>
    <t>Craft:  Trapmaking</t>
  </si>
  <si>
    <t>Knowledge:  Metallurgy</t>
  </si>
  <si>
    <t>Artificer 1</t>
  </si>
  <si>
    <t>6th:  Skill Focus – Metalworking</t>
  </si>
  <si>
    <t>Artificer Abilities</t>
  </si>
  <si>
    <t>Sabot Ammo</t>
  </si>
  <si>
    <t>Tradesman’s Clothes</t>
  </si>
  <si>
    <t>Masterwork Lathe</t>
  </si>
  <si>
    <t>Heat Treating Oven</t>
  </si>
  <si>
    <t>Forge</t>
  </si>
  <si>
    <t>Coal</t>
  </si>
  <si>
    <t>Dimension Stride Boots</t>
  </si>
  <si>
    <t>Restful Crystal</t>
  </si>
  <si>
    <t>Mithral Chain Shirt +1</t>
  </si>
  <si>
    <t>Sabots</t>
  </si>
  <si>
    <t>Flint and Steel</t>
  </si>
  <si>
    <t>Engineering Books</t>
  </si>
  <si>
    <t>Will:</t>
  </si>
  <si>
    <t>Charisma:</t>
  </si>
  <si>
    <t>Ref:</t>
  </si>
  <si>
    <t>Wisdom:</t>
  </si>
  <si>
    <t>Fort:</t>
  </si>
  <si>
    <t>Intelligence:</t>
  </si>
  <si>
    <t>BAB:</t>
  </si>
  <si>
    <t>Constitution:</t>
  </si>
  <si>
    <t>13</t>
  </si>
  <si>
    <t>AC:</t>
  </si>
  <si>
    <t>Dexterity:</t>
  </si>
  <si>
    <t>Hit Points:</t>
  </si>
  <si>
    <t>Strength:</t>
  </si>
  <si>
    <t>Speed:</t>
  </si>
  <si>
    <t>Size:</t>
  </si>
  <si>
    <t>Initiative:</t>
  </si>
  <si>
    <t>Sex:</t>
  </si>
  <si>
    <t>Race:</t>
  </si>
  <si>
    <t>Total Weight</t>
  </si>
  <si>
    <t>Draft Animal</t>
  </si>
  <si>
    <t>Pony</t>
  </si>
  <si>
    <t>Medium</t>
  </si>
  <si>
    <t>11</t>
  </si>
  <si>
    <t>Pulled by Pony</t>
  </si>
  <si>
    <t>Cart</t>
  </si>
  <si>
    <t>Low quality, not durable</t>
  </si>
  <si>
    <t>Feed</t>
  </si>
  <si>
    <t>40’</t>
  </si>
  <si>
    <t>Gadget</t>
  </si>
  <si>
    <t>Ref</t>
  </si>
  <si>
    <t>Fort</t>
  </si>
  <si>
    <t>BAB</t>
  </si>
  <si>
    <t>TAC/AC</t>
  </si>
  <si>
    <t>Size</t>
  </si>
  <si>
    <t>Neutral</t>
  </si>
  <si>
    <t>Familiar</t>
  </si>
  <si>
    <t>Tiny</t>
  </si>
  <si>
    <t>Raccoon</t>
  </si>
  <si>
    <t>Widget</t>
  </si>
  <si>
    <t>Gold Coins</t>
  </si>
  <si>
    <t>20’/20’ Climb</t>
  </si>
  <si>
    <t>Thrown Object</t>
  </si>
  <si>
    <t>varies</t>
  </si>
  <si>
    <t>Attention to spelling &amp; punctuation; consistent use of past tense, third person</t>
  </si>
  <si>
    <t>Silver Coins</t>
  </si>
  <si>
    <t>Copper Coins</t>
  </si>
  <si>
    <t>Silver, Raw</t>
  </si>
  <si>
    <t>*</t>
  </si>
  <si>
    <t>?</t>
  </si>
  <si>
    <t>Ornate Dagger</t>
  </si>
  <si>
    <t>Possibly MW</t>
  </si>
  <si>
    <t>Acid Flasks</t>
  </si>
  <si>
    <t>Ninja Gear</t>
  </si>
  <si>
    <t>Climbing gear, ninja-to, shurikens (10), acid flasks (2)</t>
  </si>
  <si>
    <t>Dagger, Silver</t>
  </si>
  <si>
    <t>Artificer 2</t>
  </si>
  <si>
    <t>Disguise Kit</t>
  </si>
  <si>
    <r>
      <t xml:space="preserve">+1 </t>
    </r>
    <r>
      <rPr>
        <i/>
        <sz val="13"/>
        <rFont val="Times New Roman"/>
        <family val="1"/>
      </rPr>
      <t>haste</t>
    </r>
  </si>
  <si>
    <t>Skill Focus:  Disable Device</t>
  </si>
  <si>
    <t>Horizikaul’s Boom</t>
  </si>
  <si>
    <t>Gnomish Artificer Workshop</t>
  </si>
  <si>
    <t>Solder</t>
  </si>
  <si>
    <t>30’ of ½” Copper Pipe</t>
  </si>
  <si>
    <t>6-count of 5’ Lengths</t>
  </si>
  <si>
    <t>Copper Fittings</t>
  </si>
  <si>
    <t>Soldering Flux</t>
  </si>
  <si>
    <t>Tubing Bender</t>
  </si>
  <si>
    <t xml:space="preserve">3’ Iron Sizing Mandrel </t>
  </si>
  <si>
    <t>Swaging Die</t>
  </si>
  <si>
    <t>Gnome Depot Lead Apron</t>
  </si>
  <si>
    <t>Resistance (Acid &amp; Fire) 10, limited use, uncertain hardness &amp; HPs</t>
  </si>
  <si>
    <t>Regional:  Caravanner</t>
  </si>
  <si>
    <t>Knowledge:  Geography</t>
  </si>
  <si>
    <t>Biogas Generator</t>
  </si>
  <si>
    <t>Infrastructure</t>
  </si>
  <si>
    <t>Furniture</t>
  </si>
  <si>
    <t>Everlasting Rations</t>
  </si>
  <si>
    <t>Will DC 14 or deafened for 1d4 rounds</t>
  </si>
  <si>
    <t>Caster Level (Illusionist):</t>
  </si>
  <si>
    <t>Caster Level (Artificer):</t>
  </si>
  <si>
    <t>Artificer 3</t>
  </si>
  <si>
    <t>Artificer 4</t>
  </si>
  <si>
    <t>9th:  Track</t>
  </si>
  <si>
    <t>Shortbow, 2nd Attack</t>
  </si>
  <si>
    <t>Short Sword, 2nd Attack</t>
  </si>
  <si>
    <t>Dagger, 2nd Attack</t>
  </si>
  <si>
    <t>1d6</t>
  </si>
  <si>
    <t>Flask, 2nd Lob</t>
  </si>
  <si>
    <t>Flask</t>
  </si>
  <si>
    <t>Salvage</t>
  </si>
  <si>
    <t>Artificer 5</t>
  </si>
  <si>
    <t>Device 2:  Sonic Blaster (Horizikaul’s Boom)</t>
  </si>
  <si>
    <t>Glove of Lightning Bolt</t>
  </si>
  <si>
    <t>Device 3:  Glove of Lighning Bolt</t>
  </si>
  <si>
    <t>Device 1:  Sabot Launcher (Launch Item)</t>
  </si>
  <si>
    <t>120’</t>
  </si>
  <si>
    <t>Ref DC 16 for ½; melts most metals</t>
  </si>
  <si>
    <t>1d10</t>
  </si>
  <si>
    <t>Minié Ball Launcher</t>
  </si>
  <si>
    <t>Ring of Flying</t>
  </si>
  <si>
    <t>50 musket pellets (Launch Item)</t>
  </si>
  <si>
    <t>CL 5</t>
  </si>
  <si>
    <t>Ring of Protection +2</t>
  </si>
  <si>
    <t>two</t>
  </si>
  <si>
    <t>Gnome</t>
  </si>
  <si>
    <t>Good</t>
  </si>
  <si>
    <t>Mage Hand</t>
  </si>
  <si>
    <t>See Invisibility</t>
  </si>
  <si>
    <t>Water Breathing</t>
  </si>
  <si>
    <t>Artificer 6</t>
  </si>
  <si>
    <t>Bypass Spell Resistance, Ill</t>
  </si>
  <si>
    <t>Bypass Spell Resistance, 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</si>
</sst>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474]"/>
  </numFmts>
  <fonts count="88" x14ac:knownFonts="1">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0000FF"/>
      <name val="Times New Roman"/>
      <family val="1"/>
    </font>
    <font>
      <i/>
      <sz val="18"/>
      <color indexed="53"/>
      <name val="Times New Roman"/>
      <family val="1"/>
    </font>
    <font>
      <b/>
      <sz val="13"/>
      <color rgb="FF0000FF"/>
      <name val="Times New Roman"/>
      <family val="1"/>
    </font>
    <font>
      <i/>
      <sz val="22"/>
      <color rgb="FFFFC000"/>
      <name val="Times New Roman"/>
      <family val="1"/>
    </font>
    <font>
      <b/>
      <sz val="13"/>
      <color rgb="FFFFC000"/>
      <name val="Times New Roman"/>
      <family val="1"/>
    </font>
    <font>
      <sz val="13"/>
      <color rgb="FFFFC000"/>
      <name val="Times New Roman"/>
      <family val="1"/>
    </font>
    <font>
      <b/>
      <sz val="12"/>
      <color rgb="FFFFC000"/>
      <name val="Times New Roman"/>
      <family val="1"/>
    </font>
    <font>
      <sz val="12"/>
      <color rgb="FFFFC000"/>
      <name val="Times New Roman"/>
      <family val="1"/>
    </font>
    <font>
      <b/>
      <sz val="13"/>
      <color rgb="FFFF0000"/>
      <name val="Times New Roman"/>
      <family val="1"/>
    </font>
    <font>
      <b/>
      <sz val="13"/>
      <color rgb="FF7030A0"/>
      <name val="Times New Roman"/>
      <family val="1"/>
    </font>
    <font>
      <i/>
      <sz val="18"/>
      <color indexed="10"/>
      <name val="Times New Roman"/>
      <family val="1"/>
    </font>
    <font>
      <i/>
      <sz val="18"/>
      <color rgb="FFFFC000"/>
      <name val="Times New Roman"/>
      <family val="1"/>
    </font>
    <font>
      <i/>
      <sz val="18"/>
      <color indexed="57"/>
      <name val="Times New Roman"/>
      <family val="1"/>
    </font>
    <font>
      <sz val="13"/>
      <color rgb="FFFF0000"/>
      <name val="Times New Roman"/>
      <family val="1"/>
    </font>
    <font>
      <sz val="13"/>
      <name val="Wingdings"/>
      <charset val="2"/>
    </font>
    <font>
      <b/>
      <sz val="13"/>
      <color theme="0"/>
      <name val="Times New Roman"/>
      <family val="1"/>
    </font>
    <font>
      <i/>
      <sz val="16"/>
      <name val="Times New Roman"/>
      <family val="1"/>
    </font>
    <font>
      <i/>
      <sz val="10"/>
      <color rgb="FFFFC000"/>
      <name val="Times New Roman"/>
      <family val="1"/>
    </font>
    <font>
      <sz val="18"/>
      <name val="Times New Roman"/>
      <family val="1"/>
    </font>
    <font>
      <sz val="13"/>
      <color rgb="FF009900"/>
      <name val="Times New Roman"/>
      <family val="1"/>
    </font>
    <font>
      <i/>
      <sz val="18"/>
      <color theme="0" tint="-0.499984740745262"/>
      <name val="Times New Roman"/>
      <family val="1"/>
    </font>
    <font>
      <b/>
      <sz val="12"/>
      <color indexed="81"/>
      <name val="Times New Roman"/>
      <family val="1"/>
    </font>
    <font>
      <i/>
      <sz val="18"/>
      <color rgb="FF7030A0"/>
      <name val="Times New Roman"/>
      <family val="1"/>
    </font>
    <font>
      <sz val="12"/>
      <name val="Wingdings"/>
      <charset val="2"/>
    </font>
    <font>
      <sz val="13"/>
      <color rgb="FF7030A0"/>
      <name val="Times New Roman"/>
      <family val="1"/>
    </font>
    <font>
      <i/>
      <sz val="18"/>
      <color theme="0" tint="-0.249977111117893"/>
      <name val="Times New Roman"/>
      <family val="1"/>
    </font>
    <font>
      <i/>
      <sz val="16"/>
      <color rgb="FF7030A0"/>
      <name val="Times New Roman"/>
      <family val="1"/>
    </font>
    <font>
      <sz val="12"/>
      <color theme="0" tint="-0.499984740745262"/>
      <name val="Times New Roman"/>
      <family val="1"/>
    </font>
    <font>
      <b/>
      <sz val="12"/>
      <color rgb="FF9966FF"/>
      <name val="Times New Roman"/>
      <family val="1"/>
    </font>
    <font>
      <b/>
      <sz val="12"/>
      <color rgb="FF7030A0"/>
      <name val="Times New Roman"/>
      <family val="1"/>
    </font>
    <font>
      <b/>
      <sz val="12"/>
      <color theme="0"/>
      <name val="Times New Roman"/>
      <family val="1"/>
    </font>
    <font>
      <b/>
      <sz val="12"/>
      <color theme="0" tint="-0.499984740745262"/>
      <name val="Times New Roman"/>
      <family val="1"/>
    </font>
    <font>
      <i/>
      <sz val="9"/>
      <color rgb="FFFFC000"/>
      <name val="Times New Roman"/>
      <family val="1"/>
    </font>
    <font>
      <i/>
      <sz val="12"/>
      <color indexed="81"/>
      <name val="Times New Roman"/>
      <family val="1"/>
    </font>
    <font>
      <i/>
      <sz val="17"/>
      <name val="Times New Roman"/>
      <family val="1"/>
    </font>
    <font>
      <i/>
      <sz val="18"/>
      <color rgb="FF0000FF"/>
      <name val="Times New Roman"/>
      <family val="1"/>
    </font>
    <font>
      <b/>
      <sz val="12"/>
      <color theme="1"/>
      <name val="Times New Roman"/>
      <family val="1"/>
    </font>
    <font>
      <i/>
      <sz val="16"/>
      <color rgb="FF6600FF"/>
      <name val="Times New Roman"/>
      <family val="1"/>
    </font>
    <font>
      <sz val="13"/>
      <color theme="0" tint="-0.499984740745262"/>
      <name val="Times New Roman"/>
      <family val="1"/>
    </font>
    <font>
      <b/>
      <sz val="13"/>
      <color indexed="20"/>
      <name val="Times New Roman"/>
      <family val="1"/>
    </font>
    <font>
      <i/>
      <sz val="10"/>
      <name val="Times New Roman"/>
      <family val="1"/>
    </font>
    <font>
      <i/>
      <sz val="12"/>
      <color indexed="9"/>
      <name val="Times New Roman"/>
      <family val="1"/>
    </font>
    <font>
      <i/>
      <sz val="20"/>
      <color theme="7" tint="0.39997558519241921"/>
      <name val="Times New Roman"/>
      <family val="1"/>
    </font>
    <font>
      <i/>
      <sz val="13"/>
      <name val="Times New Roman"/>
      <family val="1"/>
    </font>
    <font>
      <b/>
      <sz val="12"/>
      <color indexed="48"/>
      <name val="Times New Roman"/>
      <family val="1"/>
    </font>
    <font>
      <i/>
      <sz val="20"/>
      <color rgb="FFFFC000"/>
      <name val="Times New Roman"/>
      <family val="1"/>
    </font>
    <font>
      <sz val="13"/>
      <color theme="0" tint="-0.34998626667073579"/>
      <name val="Times New Roman"/>
      <family val="1"/>
    </font>
    <font>
      <b/>
      <sz val="13"/>
      <color rgb="FF00B0F0"/>
      <name val="Times New Roman"/>
      <family val="1"/>
    </font>
    <font>
      <sz val="12"/>
      <color rgb="FFFF0000"/>
      <name val="Times New Roman"/>
      <family val="1"/>
    </font>
  </fonts>
  <fills count="19">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FFCC"/>
        <bgColor indexed="55"/>
      </patternFill>
    </fill>
    <fill>
      <patternFill patternType="solid">
        <fgColor rgb="FF6600CC"/>
        <bgColor indexed="64"/>
      </patternFill>
    </fill>
    <fill>
      <patternFill patternType="solid">
        <fgColor rgb="FFCC00FF"/>
        <bgColor indexed="64"/>
      </patternFill>
    </fill>
    <fill>
      <patternFill patternType="solid">
        <fgColor indexed="10"/>
        <bgColor indexed="64"/>
      </patternFill>
    </fill>
    <fill>
      <patternFill patternType="solid">
        <fgColor rgb="FF33CC33"/>
        <bgColor indexed="64"/>
      </patternFill>
    </fill>
    <fill>
      <patternFill patternType="solid">
        <fgColor theme="0" tint="-0.14999847407452621"/>
        <bgColor indexed="64"/>
      </patternFill>
    </fill>
    <fill>
      <patternFill patternType="solid">
        <fgColor theme="1"/>
        <bgColor indexed="64"/>
      </patternFill>
    </fill>
    <fill>
      <patternFill patternType="solid">
        <fgColor rgb="FFCC66FF"/>
        <bgColor indexed="64"/>
      </patternFill>
    </fill>
    <fill>
      <patternFill patternType="solid">
        <fgColor rgb="FFFFFF00"/>
        <bgColor indexed="64"/>
      </patternFill>
    </fill>
  </fills>
  <borders count="185">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medium">
        <color auto="1"/>
      </right>
      <top style="double">
        <color auto="1"/>
      </top>
      <bottom style="thin">
        <color auto="1"/>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hair">
        <color indexed="64"/>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right style="double">
        <color indexed="64"/>
      </right>
      <top style="double">
        <color indexed="64"/>
      </top>
      <bottom style="thick">
        <color rgb="FF009900"/>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style="double">
        <color indexed="64"/>
      </left>
      <right style="thin">
        <color indexed="64"/>
      </right>
      <top style="thin">
        <color auto="1"/>
      </top>
      <bottom style="hair">
        <color indexed="64"/>
      </bottom>
      <diagonal/>
    </border>
    <border>
      <left/>
      <right/>
      <top style="thin">
        <color auto="1"/>
      </top>
      <bottom style="hair">
        <color indexed="64"/>
      </bottom>
      <diagonal/>
    </border>
    <border>
      <left style="thin">
        <color indexed="64"/>
      </left>
      <right/>
      <top style="thin">
        <color auto="1"/>
      </top>
      <bottom style="hair">
        <color indexed="64"/>
      </bottom>
      <diagonal/>
    </border>
    <border>
      <left/>
      <right style="double">
        <color indexed="64"/>
      </right>
      <top style="thin">
        <color auto="1"/>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medium">
        <color indexed="64"/>
      </left>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medium">
        <color indexed="64"/>
      </left>
      <right style="medium">
        <color indexed="64"/>
      </right>
      <top style="double">
        <color indexed="64"/>
      </top>
      <bottom style="thin">
        <color indexed="64"/>
      </bottom>
      <diagonal/>
    </border>
    <border>
      <left style="double">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style="double">
        <color auto="1"/>
      </left>
      <right style="medium">
        <color auto="1"/>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thin">
        <color indexed="64"/>
      </right>
      <top style="thin">
        <color indexed="9"/>
      </top>
      <bottom style="double">
        <color indexed="64"/>
      </bottom>
      <diagonal/>
    </border>
    <border>
      <left style="thin">
        <color indexed="64"/>
      </left>
      <right style="thin">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thick">
        <color indexed="16"/>
      </bottom>
      <diagonal/>
    </border>
    <border>
      <left/>
      <right/>
      <top style="double">
        <color indexed="64"/>
      </top>
      <bottom style="thick">
        <color indexed="16"/>
      </bottom>
      <diagonal/>
    </border>
    <border>
      <left style="double">
        <color indexed="64"/>
      </left>
      <right/>
      <top style="double">
        <color indexed="64"/>
      </top>
      <bottom style="thick">
        <color indexed="16"/>
      </bottom>
      <diagonal/>
    </border>
    <border>
      <left style="hair">
        <color indexed="64"/>
      </left>
      <right/>
      <top/>
      <bottom style="hair">
        <color indexed="64"/>
      </bottom>
      <diagonal/>
    </border>
    <border>
      <left style="double">
        <color indexed="64"/>
      </left>
      <right style="thin">
        <color indexed="64"/>
      </right>
      <top style="double">
        <color indexed="64"/>
      </top>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hair">
        <color indexed="64"/>
      </left>
      <right style="hair">
        <color indexed="64"/>
      </right>
      <top/>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12">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6" fillId="0" borderId="0"/>
    <xf numFmtId="0" fontId="2" fillId="0" borderId="0"/>
    <xf numFmtId="0" fontId="37" fillId="0" borderId="0"/>
    <xf numFmtId="0" fontId="1" fillId="0" borderId="0"/>
    <xf numFmtId="0" fontId="36" fillId="0" borderId="0" applyFill="0" applyBorder="0"/>
    <xf numFmtId="0" fontId="2" fillId="0" borderId="0"/>
    <xf numFmtId="9" fontId="2" fillId="0" borderId="0" applyFont="0" applyFill="0" applyBorder="0" applyAlignment="0" applyProtection="0"/>
    <xf numFmtId="0" fontId="36" fillId="0" borderId="0"/>
  </cellStyleXfs>
  <cellXfs count="697">
    <xf numFmtId="0" fontId="0" fillId="0" borderId="0" xfId="0"/>
    <xf numFmtId="0" fontId="12" fillId="3" borderId="71" xfId="0" applyFont="1" applyFill="1" applyBorder="1" applyAlignment="1">
      <alignment horizontal="centerContinuous" vertical="center"/>
    </xf>
    <xf numFmtId="0" fontId="12" fillId="3" borderId="36" xfId="0" applyFont="1" applyFill="1" applyBorder="1" applyAlignment="1">
      <alignment horizontal="center" vertical="center"/>
    </xf>
    <xf numFmtId="0" fontId="12" fillId="3" borderId="36" xfId="0" applyFont="1" applyFill="1" applyBorder="1" applyAlignment="1">
      <alignment horizontal="center" vertical="center" wrapText="1"/>
    </xf>
    <xf numFmtId="0" fontId="12" fillId="3" borderId="72" xfId="0" applyFont="1" applyFill="1" applyBorder="1" applyAlignment="1">
      <alignment horizontal="center" vertical="center"/>
    </xf>
    <xf numFmtId="0" fontId="4" fillId="0" borderId="0" xfId="0" applyFont="1" applyAlignment="1">
      <alignment vertical="center"/>
    </xf>
    <xf numFmtId="0" fontId="2" fillId="0" borderId="78" xfId="0" applyFont="1" applyBorder="1" applyAlignment="1">
      <alignment horizontal="center" vertical="center"/>
    </xf>
    <xf numFmtId="0" fontId="2" fillId="0" borderId="78" xfId="0" quotePrefix="1" applyFont="1" applyBorder="1" applyAlignment="1">
      <alignment horizontal="center" vertical="center" wrapText="1"/>
    </xf>
    <xf numFmtId="0" fontId="2" fillId="0" borderId="78" xfId="0" applyFont="1" applyBorder="1" applyAlignment="1">
      <alignment horizontal="center" vertical="center" shrinkToFit="1"/>
    </xf>
    <xf numFmtId="164" fontId="2" fillId="0" borderId="78" xfId="0" applyNumberFormat="1" applyFont="1" applyBorder="1" applyAlignment="1">
      <alignment horizontal="center" vertical="center"/>
    </xf>
    <xf numFmtId="0" fontId="2" fillId="0" borderId="82" xfId="0" applyFont="1" applyBorder="1" applyAlignment="1">
      <alignment horizontal="center" vertical="center"/>
    </xf>
    <xf numFmtId="164" fontId="2" fillId="0" borderId="82" xfId="0" applyNumberFormat="1" applyFont="1" applyBorder="1" applyAlignment="1">
      <alignment horizontal="center" vertical="center"/>
    </xf>
    <xf numFmtId="0" fontId="2" fillId="0" borderId="80" xfId="0" quotePrefix="1" applyFont="1" applyBorder="1" applyAlignment="1">
      <alignment horizontal="center" vertical="center"/>
    </xf>
    <xf numFmtId="0" fontId="3" fillId="0" borderId="0" xfId="0" applyFont="1" applyAlignment="1">
      <alignment horizontal="centerContinuous" vertical="center"/>
    </xf>
    <xf numFmtId="164" fontId="3" fillId="0" borderId="0" xfId="0" applyNumberFormat="1" applyFont="1" applyAlignment="1">
      <alignment horizontal="centerContinuous" vertical="center"/>
    </xf>
    <xf numFmtId="0" fontId="5" fillId="0" borderId="0" xfId="0" applyFont="1" applyAlignment="1">
      <alignment vertical="center"/>
    </xf>
    <xf numFmtId="0" fontId="21" fillId="3" borderId="35" xfId="0" applyFont="1" applyFill="1" applyBorder="1" applyAlignment="1">
      <alignment horizontal="center" vertical="center"/>
    </xf>
    <xf numFmtId="164" fontId="21" fillId="3" borderId="36" xfId="0" applyNumberFormat="1" applyFont="1" applyFill="1" applyBorder="1" applyAlignment="1">
      <alignment horizontal="center" vertical="center"/>
    </xf>
    <xf numFmtId="0" fontId="21" fillId="3" borderId="35" xfId="0" applyFont="1" applyFill="1" applyBorder="1" applyAlignment="1">
      <alignment horizontal="right" vertical="center"/>
    </xf>
    <xf numFmtId="0" fontId="21" fillId="3" borderId="37" xfId="0" applyFont="1" applyFill="1" applyBorder="1" applyAlignment="1">
      <alignment vertical="center"/>
    </xf>
    <xf numFmtId="0" fontId="5" fillId="0" borderId="0" xfId="0" applyFont="1" applyAlignment="1">
      <alignment horizontal="center" vertical="center"/>
    </xf>
    <xf numFmtId="0" fontId="2" fillId="0" borderId="91" xfId="0" applyFont="1" applyBorder="1" applyAlignment="1">
      <alignment horizontal="center" vertical="center" shrinkToFit="1"/>
    </xf>
    <xf numFmtId="0" fontId="5" fillId="0" borderId="42" xfId="0" applyFont="1" applyBorder="1" applyAlignment="1">
      <alignment horizontal="left" vertical="center" shrinkToFit="1"/>
    </xf>
    <xf numFmtId="0" fontId="2" fillId="0" borderId="55" xfId="0" applyFont="1" applyBorder="1" applyAlignment="1">
      <alignment horizontal="center" vertical="center" shrinkToFit="1"/>
    </xf>
    <xf numFmtId="0" fontId="2" fillId="0" borderId="65" xfId="0" applyFont="1" applyBorder="1" applyAlignment="1">
      <alignment horizontal="center" vertical="center" shrinkToFit="1"/>
    </xf>
    <xf numFmtId="0" fontId="5" fillId="0" borderId="39" xfId="0" applyFont="1" applyBorder="1" applyAlignment="1">
      <alignment horizontal="left" vertical="center" shrinkToFit="1"/>
    </xf>
    <xf numFmtId="164" fontId="5" fillId="0" borderId="38" xfId="0" applyNumberFormat="1" applyFont="1" applyBorder="1" applyAlignment="1">
      <alignment horizontal="center" vertical="center" shrinkToFit="1"/>
    </xf>
    <xf numFmtId="0" fontId="2" fillId="0" borderId="88" xfId="0" applyFont="1" applyBorder="1" applyAlignment="1">
      <alignment horizontal="center" vertical="center" shrinkToFit="1"/>
    </xf>
    <xf numFmtId="0" fontId="2" fillId="0" borderId="66" xfId="0" applyFont="1" applyBorder="1" applyAlignment="1">
      <alignment horizontal="center" vertical="center" shrinkToFit="1"/>
    </xf>
    <xf numFmtId="164" fontId="5" fillId="0" borderId="40" xfId="0" applyNumberFormat="1" applyFont="1" applyBorder="1" applyAlignment="1">
      <alignment horizontal="center" vertical="center" shrinkToFit="1"/>
    </xf>
    <xf numFmtId="0" fontId="5" fillId="0" borderId="40" xfId="0" applyFont="1" applyBorder="1" applyAlignment="1">
      <alignment horizontal="left" vertical="center"/>
    </xf>
    <xf numFmtId="0" fontId="5" fillId="0" borderId="41" xfId="0" applyFont="1" applyBorder="1" applyAlignment="1">
      <alignment horizontal="left" vertical="center" shrinkToFit="1"/>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0" fontId="2" fillId="0" borderId="87" xfId="0" applyFont="1" applyBorder="1" applyAlignment="1">
      <alignment horizontal="center" vertical="center" shrinkToFit="1"/>
    </xf>
    <xf numFmtId="164" fontId="5" fillId="0" borderId="43" xfId="0" applyNumberFormat="1" applyFont="1" applyBorder="1" applyAlignment="1">
      <alignment horizontal="center" vertical="center" shrinkToFit="1"/>
    </xf>
    <xf numFmtId="0" fontId="2" fillId="0" borderId="43" xfId="0" applyFont="1" applyBorder="1" applyAlignment="1">
      <alignment horizontal="left" vertical="center"/>
    </xf>
    <xf numFmtId="164" fontId="5" fillId="0" borderId="0" xfId="0" applyNumberFormat="1" applyFont="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2" xfId="0" applyFont="1" applyFill="1" applyBorder="1" applyAlignment="1">
      <alignment horizontal="center" vertical="center"/>
    </xf>
    <xf numFmtId="0" fontId="21" fillId="7" borderId="19" xfId="0" applyFont="1" applyFill="1" applyBorder="1" applyAlignment="1">
      <alignment horizontal="center" vertical="center"/>
    </xf>
    <xf numFmtId="0" fontId="2" fillId="0" borderId="0" xfId="0" applyFont="1" applyAlignment="1">
      <alignment horizontal="center" vertical="center"/>
    </xf>
    <xf numFmtId="0" fontId="5" fillId="0" borderId="0" xfId="0" applyFont="1" applyAlignment="1">
      <alignment horizontal="centerContinuous" vertical="center"/>
    </xf>
    <xf numFmtId="0" fontId="21" fillId="7" borderId="22" xfId="0" applyFont="1" applyFill="1" applyBorder="1" applyAlignment="1">
      <alignment horizontal="centerContinuous" vertical="center"/>
    </xf>
    <xf numFmtId="0" fontId="21" fillId="7" borderId="85" xfId="0" applyFont="1" applyFill="1" applyBorder="1" applyAlignment="1">
      <alignment horizontal="centerContinuous" vertical="center"/>
    </xf>
    <xf numFmtId="0" fontId="21" fillId="7" borderId="47" xfId="0" applyFont="1" applyFill="1" applyBorder="1" applyAlignment="1">
      <alignment horizontal="centerContinuous" vertical="center"/>
    </xf>
    <xf numFmtId="0" fontId="5" fillId="0" borderId="84" xfId="0" applyFont="1" applyBorder="1" applyAlignment="1">
      <alignment horizontal="centerContinuous" vertical="center"/>
    </xf>
    <xf numFmtId="0" fontId="18" fillId="0" borderId="0" xfId="0" applyFont="1" applyAlignment="1">
      <alignment horizontal="right" vertical="center"/>
    </xf>
    <xf numFmtId="0" fontId="21" fillId="7" borderId="20" xfId="0" applyFont="1" applyFill="1" applyBorder="1" applyAlignment="1">
      <alignment horizontal="centerContinuous" vertical="center"/>
    </xf>
    <xf numFmtId="0" fontId="21" fillId="7" borderId="21" xfId="0" applyFont="1" applyFill="1" applyBorder="1" applyAlignment="1">
      <alignment horizontal="centerContinuous" vertical="center"/>
    </xf>
    <xf numFmtId="0" fontId="2" fillId="0" borderId="92" xfId="0" applyFont="1" applyBorder="1" applyAlignment="1">
      <alignment horizontal="centerContinuous" vertical="center"/>
    </xf>
    <xf numFmtId="0" fontId="2" fillId="0" borderId="93" xfId="0" applyFont="1" applyBorder="1" applyAlignment="1">
      <alignment horizontal="centerContinuous" vertical="center"/>
    </xf>
    <xf numFmtId="0" fontId="2" fillId="0" borderId="79" xfId="0" applyFont="1" applyBorder="1" applyAlignment="1">
      <alignment horizontal="centerContinuous" vertical="center"/>
    </xf>
    <xf numFmtId="49" fontId="2" fillId="0" borderId="79" xfId="0" applyNumberFormat="1" applyFont="1" applyBorder="1" applyAlignment="1">
      <alignment horizontal="center" vertical="center"/>
    </xf>
    <xf numFmtId="49" fontId="2" fillId="0" borderId="79" xfId="0" applyNumberFormat="1" applyFont="1" applyBorder="1" applyAlignment="1">
      <alignment horizontal="centerContinuous" vertical="center"/>
    </xf>
    <xf numFmtId="49" fontId="2" fillId="0" borderId="94" xfId="0" applyNumberFormat="1" applyFont="1" applyBorder="1" applyAlignment="1">
      <alignment horizontal="centerContinuous" vertical="center"/>
    </xf>
    <xf numFmtId="0" fontId="2" fillId="0" borderId="95" xfId="0" applyFont="1" applyBorder="1" applyAlignment="1">
      <alignment horizontal="centerContinuous" vertical="center"/>
    </xf>
    <xf numFmtId="0" fontId="2" fillId="0" borderId="96" xfId="0" applyFont="1" applyBorder="1" applyAlignment="1">
      <alignment horizontal="centerContinuous" vertical="center"/>
    </xf>
    <xf numFmtId="0" fontId="5" fillId="0" borderId="97" xfId="0" applyFont="1" applyBorder="1" applyAlignment="1">
      <alignment horizontal="centerContinuous" vertical="center"/>
    </xf>
    <xf numFmtId="0" fontId="5" fillId="0" borderId="83" xfId="0" applyFont="1" applyBorder="1" applyAlignment="1">
      <alignment horizontal="centerContinuous" vertical="center"/>
    </xf>
    <xf numFmtId="49" fontId="2" fillId="0" borderId="82" xfId="0" applyNumberFormat="1" applyFont="1" applyBorder="1" applyAlignment="1">
      <alignment horizontal="center" vertical="center"/>
    </xf>
    <xf numFmtId="49" fontId="2" fillId="0" borderId="83" xfId="0" applyNumberFormat="1" applyFont="1" applyBorder="1" applyAlignment="1">
      <alignment horizontal="centerContinuous" vertical="center"/>
    </xf>
    <xf numFmtId="49" fontId="2" fillId="0" borderId="86" xfId="0" applyNumberFormat="1" applyFont="1" applyBorder="1" applyAlignment="1">
      <alignment horizontal="centerContinuous" vertical="center"/>
    </xf>
    <xf numFmtId="0" fontId="21" fillId="7" borderId="89" xfId="0" applyFont="1" applyFill="1" applyBorder="1" applyAlignment="1">
      <alignment horizontal="center" vertical="center"/>
    </xf>
    <xf numFmtId="0" fontId="21" fillId="7" borderId="90" xfId="0" applyFont="1" applyFill="1" applyBorder="1" applyAlignment="1">
      <alignment horizontal="centerContinuous" vertical="center"/>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7" fillId="0" borderId="34" xfId="0" applyFont="1" applyBorder="1" applyAlignment="1">
      <alignment horizontal="centerContinuous" vertical="center"/>
    </xf>
    <xf numFmtId="0" fontId="7" fillId="0" borderId="53" xfId="0" applyFont="1" applyBorder="1" applyAlignment="1">
      <alignment horizontal="centerContinuous" vertical="center"/>
    </xf>
    <xf numFmtId="0" fontId="7" fillId="0" borderId="74" xfId="0" applyFont="1" applyBorder="1" applyAlignment="1">
      <alignment horizontal="centerContinuous" vertical="center"/>
    </xf>
    <xf numFmtId="0" fontId="7" fillId="0" borderId="54" xfId="0" applyFont="1" applyBorder="1" applyAlignment="1">
      <alignment horizontal="centerContinuous" vertical="center"/>
    </xf>
    <xf numFmtId="0" fontId="7" fillId="0" borderId="46" xfId="0" applyFont="1" applyBorder="1" applyAlignment="1">
      <alignment horizontal="centerContinuous" vertical="center"/>
    </xf>
    <xf numFmtId="0" fontId="7" fillId="0" borderId="74" xfId="0" quotePrefix="1" applyFont="1" applyBorder="1" applyAlignment="1">
      <alignment horizontal="centerContinuous" vertical="center"/>
    </xf>
    <xf numFmtId="0" fontId="7" fillId="0" borderId="54" xfId="0" quotePrefix="1" applyFont="1" applyBorder="1" applyAlignment="1">
      <alignment horizontal="centerContinuous" vertical="center"/>
    </xf>
    <xf numFmtId="0" fontId="7" fillId="0" borderId="25" xfId="0" applyFont="1" applyBorder="1" applyAlignment="1">
      <alignment horizontal="center" vertical="center"/>
    </xf>
    <xf numFmtId="0" fontId="25" fillId="0" borderId="23" xfId="0" applyFont="1" applyBorder="1" applyAlignment="1">
      <alignment horizontal="centerContinuous" vertical="center"/>
    </xf>
    <xf numFmtId="0" fontId="15" fillId="0" borderId="0" xfId="0" applyFont="1" applyAlignment="1">
      <alignment horizontal="centerContinuous" vertical="center"/>
    </xf>
    <xf numFmtId="0" fontId="13" fillId="0" borderId="26" xfId="0" applyFont="1" applyBorder="1" applyAlignment="1">
      <alignment horizontal="center" vertical="center"/>
    </xf>
    <xf numFmtId="0" fontId="41" fillId="0" borderId="56" xfId="0" applyFont="1" applyBorder="1" applyAlignment="1">
      <alignment vertical="center"/>
    </xf>
    <xf numFmtId="0" fontId="6" fillId="0" borderId="57" xfId="0" applyFont="1" applyBorder="1" applyAlignment="1">
      <alignment horizontal="center" vertical="center"/>
    </xf>
    <xf numFmtId="0" fontId="7" fillId="0" borderId="57" xfId="0" applyFont="1" applyBorder="1" applyAlignment="1">
      <alignment horizontal="center" vertical="center"/>
    </xf>
    <xf numFmtId="0" fontId="11" fillId="6" borderId="1" xfId="0" applyFont="1" applyFill="1" applyBorder="1" applyAlignment="1">
      <alignment vertical="center"/>
    </xf>
    <xf numFmtId="0" fontId="7" fillId="6" borderId="25" xfId="0"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Font="1" applyFill="1" applyBorder="1" applyAlignment="1">
      <alignment horizontal="center" vertical="center"/>
    </xf>
    <xf numFmtId="0" fontId="11" fillId="6" borderId="26" xfId="0" applyFont="1" applyFill="1" applyBorder="1" applyAlignment="1">
      <alignment horizontal="center" vertical="center"/>
    </xf>
    <xf numFmtId="49" fontId="7" fillId="6" borderId="26" xfId="0" applyNumberFormat="1" applyFont="1" applyFill="1" applyBorder="1" applyAlignment="1">
      <alignment horizontal="center" vertical="center"/>
    </xf>
    <xf numFmtId="0" fontId="7" fillId="6" borderId="27" xfId="0" applyFont="1" applyFill="1" applyBorder="1" applyAlignment="1">
      <alignment horizontal="center" vertical="center"/>
    </xf>
    <xf numFmtId="0" fontId="19" fillId="0" borderId="0" xfId="0" applyFont="1" applyAlignment="1">
      <alignment vertical="center"/>
    </xf>
    <xf numFmtId="0" fontId="32" fillId="0" borderId="0" xfId="0" applyFont="1" applyAlignment="1">
      <alignment vertical="center"/>
    </xf>
    <xf numFmtId="0" fontId="14" fillId="0" borderId="1" xfId="0" applyFont="1" applyBorder="1" applyAlignment="1">
      <alignment vertical="center"/>
    </xf>
    <xf numFmtId="49" fontId="23" fillId="0" borderId="25" xfId="0" applyNumberFormat="1" applyFont="1" applyBorder="1" applyAlignment="1">
      <alignment horizontal="center" vertical="center"/>
    </xf>
    <xf numFmtId="0" fontId="23" fillId="0" borderId="26" xfId="0" applyFont="1" applyBorder="1" applyAlignment="1">
      <alignment horizontal="center" vertical="center"/>
    </xf>
    <xf numFmtId="0" fontId="14" fillId="0" borderId="26" xfId="0" applyFont="1" applyBorder="1" applyAlignment="1">
      <alignment horizontal="center" vertical="center"/>
    </xf>
    <xf numFmtId="49"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0" fontId="30" fillId="0" borderId="0" xfId="0" applyFont="1" applyAlignment="1">
      <alignment vertical="center"/>
    </xf>
    <xf numFmtId="0" fontId="29" fillId="0" borderId="0" xfId="0" applyFont="1" applyAlignment="1">
      <alignment vertical="center"/>
    </xf>
    <xf numFmtId="0" fontId="31" fillId="0" borderId="0" xfId="0" applyFont="1" applyAlignment="1">
      <alignment vertical="center"/>
    </xf>
    <xf numFmtId="0" fontId="13" fillId="0" borderId="1" xfId="0" applyFont="1" applyBorder="1" applyAlignment="1">
      <alignment vertical="center"/>
    </xf>
    <xf numFmtId="49" fontId="24" fillId="0" borderId="25" xfId="0" applyNumberFormat="1" applyFont="1" applyBorder="1" applyAlignment="1">
      <alignment horizontal="center" vertical="center"/>
    </xf>
    <xf numFmtId="0" fontId="24" fillId="0" borderId="26" xfId="0" applyFont="1" applyBorder="1" applyAlignment="1">
      <alignment horizontal="center" vertical="center"/>
    </xf>
    <xf numFmtId="0" fontId="11" fillId="0" borderId="1" xfId="0" applyFont="1" applyBorder="1" applyAlignment="1">
      <alignment vertical="center"/>
    </xf>
    <xf numFmtId="49" fontId="16" fillId="0" borderId="25" xfId="0" applyNumberFormat="1" applyFont="1" applyBorder="1" applyAlignment="1">
      <alignment horizontal="center" vertical="center"/>
    </xf>
    <xf numFmtId="0" fontId="16" fillId="0" borderId="26" xfId="0" applyFont="1" applyBorder="1" applyAlignment="1">
      <alignment horizontal="center" vertical="center"/>
    </xf>
    <xf numFmtId="0" fontId="11" fillId="0" borderId="26" xfId="0" applyFont="1" applyBorder="1" applyAlignment="1">
      <alignment horizontal="center" vertical="center"/>
    </xf>
    <xf numFmtId="0" fontId="7" fillId="8" borderId="25" xfId="0"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Font="1" applyFill="1" applyBorder="1" applyAlignment="1">
      <alignment horizontal="center" vertical="center"/>
    </xf>
    <xf numFmtId="0" fontId="22" fillId="0" borderId="1" xfId="0" applyFont="1" applyBorder="1" applyAlignment="1">
      <alignment vertical="center"/>
    </xf>
    <xf numFmtId="49" fontId="28" fillId="0" borderId="25" xfId="0" applyNumberFormat="1" applyFont="1" applyBorder="1" applyAlignment="1">
      <alignment horizontal="center" vertical="center"/>
    </xf>
    <xf numFmtId="0" fontId="28" fillId="0" borderId="26" xfId="0" applyFont="1" applyBorder="1" applyAlignment="1">
      <alignment horizontal="center" vertical="center"/>
    </xf>
    <xf numFmtId="0" fontId="22" fillId="0" borderId="26" xfId="0" applyFont="1" applyBorder="1" applyAlignment="1">
      <alignment horizontal="center" vertical="center"/>
    </xf>
    <xf numFmtId="0" fontId="8" fillId="0" borderId="1" xfId="0" applyFont="1" applyBorder="1" applyAlignment="1">
      <alignment vertical="center"/>
    </xf>
    <xf numFmtId="49" fontId="17" fillId="0" borderId="25" xfId="0" applyNumberFormat="1" applyFont="1" applyBorder="1" applyAlignment="1">
      <alignment horizontal="center" vertical="center"/>
    </xf>
    <xf numFmtId="0" fontId="17" fillId="0" borderId="26" xfId="0" applyFont="1" applyBorder="1" applyAlignment="1">
      <alignment horizontal="center" vertical="center"/>
    </xf>
    <xf numFmtId="0" fontId="8" fillId="0" borderId="26" xfId="0" applyFont="1" applyBorder="1" applyAlignment="1">
      <alignment horizontal="center" vertical="center"/>
    </xf>
    <xf numFmtId="0" fontId="11" fillId="8" borderId="1" xfId="0" applyFont="1" applyFill="1" applyBorder="1" applyAlignment="1">
      <alignment vertical="center"/>
    </xf>
    <xf numFmtId="49" fontId="16" fillId="8" borderId="25" xfId="0" applyNumberFormat="1" applyFont="1" applyFill="1" applyBorder="1" applyAlignment="1">
      <alignment horizontal="center" vertical="center"/>
    </xf>
    <xf numFmtId="0" fontId="16" fillId="8" borderId="26" xfId="0" applyFont="1" applyFill="1" applyBorder="1" applyAlignment="1">
      <alignment horizontal="center" vertical="center"/>
    </xf>
    <xf numFmtId="0" fontId="11" fillId="8" borderId="26" xfId="0" applyFont="1" applyFill="1" applyBorder="1" applyAlignment="1">
      <alignment horizontal="center" vertical="center"/>
    </xf>
    <xf numFmtId="0" fontId="7" fillId="6" borderId="27" xfId="0" quotePrefix="1" applyFont="1" applyFill="1" applyBorder="1" applyAlignment="1">
      <alignment horizontal="center" vertical="center"/>
    </xf>
    <xf numFmtId="0" fontId="7" fillId="0" borderId="27" xfId="0" quotePrefix="1" applyFont="1" applyBorder="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5" fillId="0" borderId="0" xfId="0" applyFont="1" applyAlignment="1">
      <alignment horizontal="left" vertical="center"/>
    </xf>
    <xf numFmtId="0" fontId="4" fillId="0" borderId="0" xfId="0" applyFont="1" applyAlignment="1">
      <alignment horizontal="left" vertical="center"/>
    </xf>
    <xf numFmtId="0" fontId="42" fillId="2" borderId="63" xfId="0" applyFont="1" applyFill="1" applyBorder="1" applyAlignment="1">
      <alignment horizontal="right" vertical="center"/>
    </xf>
    <xf numFmtId="0" fontId="20" fillId="2" borderId="64" xfId="0" applyFont="1" applyFill="1" applyBorder="1" applyAlignment="1">
      <alignment horizontal="left" vertical="center"/>
    </xf>
    <xf numFmtId="0" fontId="4" fillId="2" borderId="64" xfId="0" applyFont="1" applyFill="1" applyBorder="1" applyAlignment="1">
      <alignment horizontal="centerContinuous" vertical="center"/>
    </xf>
    <xf numFmtId="0" fontId="5" fillId="2" borderId="64" xfId="0" applyFont="1" applyFill="1" applyBorder="1" applyAlignment="1">
      <alignment horizontal="centerContinuous" vertical="center"/>
    </xf>
    <xf numFmtId="0" fontId="35" fillId="2" borderId="100"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Alignment="1">
      <alignment horizontal="centerContinuous" vertical="center"/>
    </xf>
    <xf numFmtId="0" fontId="6" fillId="0" borderId="0" xfId="0" applyFont="1" applyAlignment="1">
      <alignment horizontal="right" vertical="center"/>
    </xf>
    <xf numFmtId="0" fontId="7" fillId="0" borderId="0" xfId="0" applyFont="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67" xfId="0" applyFont="1" applyFill="1" applyBorder="1" applyAlignment="1">
      <alignment horizontal="right" vertical="center"/>
    </xf>
    <xf numFmtId="0" fontId="6" fillId="4" borderId="98" xfId="0" applyFont="1" applyFill="1" applyBorder="1" applyAlignment="1">
      <alignment horizontal="right" vertical="center"/>
    </xf>
    <xf numFmtId="49" fontId="7" fillId="0" borderId="69" xfId="0" applyNumberFormat="1" applyFont="1" applyBorder="1" applyAlignment="1">
      <alignment horizontal="center" vertical="center"/>
    </xf>
    <xf numFmtId="0" fontId="7" fillId="0" borderId="0" xfId="0" applyFont="1" applyAlignment="1">
      <alignment horizontal="left" vertical="center"/>
    </xf>
    <xf numFmtId="0" fontId="6" fillId="4" borderId="11" xfId="0" applyFont="1" applyFill="1" applyBorder="1" applyAlignment="1">
      <alignment horizontal="right" vertical="center"/>
    </xf>
    <xf numFmtId="0" fontId="8" fillId="2" borderId="14" xfId="0" applyFont="1" applyFill="1" applyBorder="1" applyAlignment="1">
      <alignment horizontal="right" vertical="center"/>
    </xf>
    <xf numFmtId="0" fontId="8" fillId="4" borderId="5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5" xfId="0" applyNumberFormat="1" applyFont="1" applyBorder="1" applyAlignment="1">
      <alignment horizontal="center" vertical="center"/>
    </xf>
    <xf numFmtId="0" fontId="8" fillId="4" borderId="48" xfId="0" applyFont="1" applyFill="1" applyBorder="1" applyAlignment="1">
      <alignment horizontal="right" vertical="center"/>
    </xf>
    <xf numFmtId="164" fontId="6" fillId="5" borderId="29"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38" fillId="2" borderId="4" xfId="0" applyFont="1" applyFill="1" applyBorder="1" applyAlignment="1">
      <alignment horizontal="right" vertical="center"/>
    </xf>
    <xf numFmtId="0" fontId="11" fillId="4" borderId="48"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7" fillId="0" borderId="24" xfId="0" quotePrefix="1" applyFont="1" applyBorder="1" applyAlignment="1">
      <alignment horizontal="center" vertical="center"/>
    </xf>
    <xf numFmtId="49" fontId="26" fillId="0" borderId="24" xfId="0" applyNumberFormat="1" applyFont="1" applyBorder="1" applyAlignment="1">
      <alignment horizontal="center" vertical="center"/>
    </xf>
    <xf numFmtId="0" fontId="11" fillId="4" borderId="49" xfId="0" applyFont="1" applyFill="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9" fontId="7" fillId="0" borderId="25" xfId="0" applyNumberFormat="1" applyFont="1" applyBorder="1" applyAlignment="1">
      <alignment horizontal="center" vertical="center"/>
    </xf>
    <xf numFmtId="0" fontId="2" fillId="0" borderId="38" xfId="0" applyFont="1" applyBorder="1" applyAlignment="1">
      <alignment horizontal="left" vertical="center"/>
    </xf>
    <xf numFmtId="0" fontId="2" fillId="0" borderId="102" xfId="0" applyFont="1" applyBorder="1" applyAlignment="1">
      <alignment horizontal="centerContinuous" vertical="center" shrinkToFit="1"/>
    </xf>
    <xf numFmtId="0" fontId="21" fillId="0" borderId="103" xfId="0" applyFont="1" applyBorder="1" applyAlignment="1">
      <alignment horizontal="centerContinuous" vertical="center"/>
    </xf>
    <xf numFmtId="0" fontId="2" fillId="0" borderId="104" xfId="0" applyFont="1" applyBorder="1" applyAlignment="1">
      <alignment horizontal="center" vertical="center"/>
    </xf>
    <xf numFmtId="0" fontId="2" fillId="0" borderId="105" xfId="0" applyFont="1" applyBorder="1" applyAlignment="1">
      <alignment horizontal="centerContinuous" vertical="center"/>
    </xf>
    <xf numFmtId="0" fontId="2" fillId="0" borderId="106" xfId="0" applyFont="1" applyBorder="1" applyAlignment="1">
      <alignment horizontal="centerContinuous" vertical="center"/>
    </xf>
    <xf numFmtId="0" fontId="2" fillId="0" borderId="0" xfId="0" applyFont="1" applyAlignment="1">
      <alignment vertical="center"/>
    </xf>
    <xf numFmtId="0" fontId="2" fillId="0" borderId="96" xfId="0" applyFont="1" applyBorder="1" applyAlignment="1">
      <alignment horizontal="centerContinuous" vertical="center" shrinkToFit="1"/>
    </xf>
    <xf numFmtId="0" fontId="21" fillId="0" borderId="86" xfId="0" applyFont="1" applyBorder="1" applyAlignment="1">
      <alignment horizontal="centerContinuous" vertical="center"/>
    </xf>
    <xf numFmtId="0" fontId="2" fillId="0" borderId="83" xfId="0" applyFont="1" applyBorder="1" applyAlignment="1">
      <alignment horizontal="centerContinuous" vertical="center"/>
    </xf>
    <xf numFmtId="0" fontId="2" fillId="0" borderId="84" xfId="0" applyFont="1" applyBorder="1" applyAlignment="1">
      <alignment horizontal="centerContinuous" vertical="center"/>
    </xf>
    <xf numFmtId="1" fontId="5" fillId="0" borderId="105" xfId="0" applyNumberFormat="1" applyFont="1" applyBorder="1" applyAlignment="1">
      <alignment horizontal="center" vertical="center"/>
    </xf>
    <xf numFmtId="1" fontId="2" fillId="0" borderId="105" xfId="0" applyNumberFormat="1" applyFont="1" applyBorder="1" applyAlignment="1">
      <alignment horizontal="center" vertical="center"/>
    </xf>
    <xf numFmtId="1" fontId="5" fillId="0" borderId="0" xfId="0" applyNumberFormat="1" applyFont="1" applyAlignment="1">
      <alignment vertical="center"/>
    </xf>
    <xf numFmtId="1" fontId="21" fillId="7" borderId="31" xfId="0" applyNumberFormat="1" applyFont="1" applyFill="1" applyBorder="1" applyAlignment="1">
      <alignment horizontal="center" vertical="center"/>
    </xf>
    <xf numFmtId="1" fontId="2" fillId="0" borderId="53" xfId="0" applyNumberFormat="1" applyFont="1" applyBorder="1" applyAlignment="1">
      <alignment horizontal="center" vertical="center"/>
    </xf>
    <xf numFmtId="1" fontId="2" fillId="0" borderId="74" xfId="0" applyNumberFormat="1" applyFont="1" applyBorder="1" applyAlignment="1">
      <alignment horizontal="center" vertical="center"/>
    </xf>
    <xf numFmtId="1" fontId="2" fillId="0" borderId="46" xfId="0" applyNumberFormat="1" applyFont="1" applyBorder="1" applyAlignment="1">
      <alignment horizontal="center" vertical="center"/>
    </xf>
    <xf numFmtId="1" fontId="5" fillId="0" borderId="0" xfId="0" applyNumberFormat="1" applyFont="1" applyAlignment="1">
      <alignment horizontal="center" vertical="center"/>
    </xf>
    <xf numFmtId="0" fontId="2" fillId="0" borderId="77" xfId="0" applyFont="1" applyBorder="1" applyAlignment="1">
      <alignment horizontal="center" vertical="center"/>
    </xf>
    <xf numFmtId="0" fontId="47" fillId="0" borderId="1" xfId="0" applyFont="1" applyBorder="1" applyAlignment="1">
      <alignment vertical="center"/>
    </xf>
    <xf numFmtId="0" fontId="6" fillId="0" borderId="25" xfId="0" applyFont="1" applyBorder="1" applyAlignment="1">
      <alignment horizontal="center" vertical="center"/>
    </xf>
    <xf numFmtId="0" fontId="48" fillId="0" borderId="1" xfId="0" applyFont="1" applyBorder="1" applyAlignment="1">
      <alignment vertical="center"/>
    </xf>
    <xf numFmtId="0" fontId="10" fillId="0" borderId="26" xfId="0" applyFont="1" applyBorder="1" applyAlignment="1">
      <alignment horizontal="center" vertical="center"/>
    </xf>
    <xf numFmtId="49" fontId="16" fillId="0" borderId="32" xfId="0" applyNumberFormat="1" applyFont="1" applyBorder="1" applyAlignment="1">
      <alignment horizontal="center" shrinkToFit="1"/>
    </xf>
    <xf numFmtId="0" fontId="39" fillId="0" borderId="34" xfId="0" applyFont="1" applyBorder="1" applyAlignment="1">
      <alignment horizontal="centerContinuous" vertical="center"/>
    </xf>
    <xf numFmtId="0" fontId="40" fillId="0" borderId="31" xfId="0" applyFont="1" applyBorder="1" applyAlignment="1">
      <alignment horizontal="centerContinuous" vertical="center"/>
    </xf>
    <xf numFmtId="0" fontId="49" fillId="0" borderId="31" xfId="0" applyFont="1" applyBorder="1" applyAlignment="1">
      <alignment horizontal="centerContinuous" vertical="center" wrapText="1"/>
    </xf>
    <xf numFmtId="0" fontId="50" fillId="0" borderId="31" xfId="0" applyFont="1" applyBorder="1" applyAlignment="1">
      <alignment horizontal="centerContinuous" vertical="center" wrapText="1"/>
    </xf>
    <xf numFmtId="0" fontId="51" fillId="0" borderId="31" xfId="0" applyFont="1" applyBorder="1" applyAlignment="1">
      <alignment horizontal="centerContinuous" vertical="center" wrapText="1"/>
    </xf>
    <xf numFmtId="0" fontId="13" fillId="8" borderId="1" xfId="0" applyFont="1" applyFill="1" applyBorder="1" applyAlignment="1">
      <alignment vertical="center"/>
    </xf>
    <xf numFmtId="49" fontId="24" fillId="8" borderId="25" xfId="0" applyNumberFormat="1" applyFont="1" applyFill="1" applyBorder="1" applyAlignment="1">
      <alignment horizontal="center" vertical="center"/>
    </xf>
    <xf numFmtId="0" fontId="24" fillId="8" borderId="26" xfId="0" applyFont="1" applyFill="1" applyBorder="1" applyAlignment="1">
      <alignment horizontal="center" vertical="center"/>
    </xf>
    <xf numFmtId="0" fontId="13" fillId="8" borderId="26" xfId="0" applyFont="1" applyFill="1" applyBorder="1" applyAlignment="1">
      <alignment horizontal="center" vertical="center"/>
    </xf>
    <xf numFmtId="0" fontId="13" fillId="6" borderId="1" xfId="0" applyFont="1" applyFill="1" applyBorder="1" applyAlignment="1">
      <alignment vertical="center"/>
    </xf>
    <xf numFmtId="49" fontId="24" fillId="6" borderId="25" xfId="0" applyNumberFormat="1" applyFont="1" applyFill="1" applyBorder="1" applyAlignment="1">
      <alignment horizontal="center" vertical="center"/>
    </xf>
    <xf numFmtId="0" fontId="24" fillId="6" borderId="26" xfId="0" applyFont="1" applyFill="1" applyBorder="1" applyAlignment="1">
      <alignment horizontal="center" vertical="center"/>
    </xf>
    <xf numFmtId="0" fontId="13" fillId="6" borderId="26" xfId="0" applyFont="1" applyFill="1" applyBorder="1" applyAlignment="1">
      <alignment horizontal="center" vertical="center"/>
    </xf>
    <xf numFmtId="0" fontId="7" fillId="0" borderId="1" xfId="0" quotePrefix="1" applyFont="1" applyBorder="1" applyAlignment="1">
      <alignment vertical="center"/>
    </xf>
    <xf numFmtId="0" fontId="7" fillId="0" borderId="2" xfId="0" quotePrefix="1" applyFont="1" applyBorder="1" applyAlignment="1">
      <alignment horizontal="center" vertical="center"/>
    </xf>
    <xf numFmtId="0" fontId="7" fillId="8" borderId="27" xfId="0" quotePrefix="1" applyFont="1" applyFill="1" applyBorder="1" applyAlignment="1">
      <alignment horizontal="center" vertical="center"/>
    </xf>
    <xf numFmtId="0" fontId="14"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Font="1" applyFill="1" applyBorder="1" applyAlignment="1">
      <alignment horizontal="center" vertical="center"/>
    </xf>
    <xf numFmtId="0" fontId="14" fillId="6" borderId="26" xfId="0" applyFont="1" applyFill="1" applyBorder="1" applyAlignment="1">
      <alignment horizontal="center" vertical="center"/>
    </xf>
    <xf numFmtId="3" fontId="5" fillId="0" borderId="0" xfId="0" applyNumberFormat="1" applyFont="1" applyAlignment="1">
      <alignment vertical="center"/>
    </xf>
    <xf numFmtId="164" fontId="21" fillId="3" borderId="31" xfId="0" applyNumberFormat="1" applyFont="1" applyFill="1" applyBorder="1" applyAlignment="1">
      <alignment horizontal="center" vertical="center"/>
    </xf>
    <xf numFmtId="1" fontId="5" fillId="0" borderId="34" xfId="0" applyNumberFormat="1" applyFont="1" applyBorder="1" applyAlignment="1">
      <alignment horizontal="center" vertical="center" shrinkToFit="1"/>
    </xf>
    <xf numFmtId="1" fontId="5" fillId="0" borderId="46" xfId="0" applyNumberFormat="1" applyFont="1" applyBorder="1" applyAlignment="1">
      <alignment horizontal="center" vertical="center" shrinkToFit="1"/>
    </xf>
    <xf numFmtId="1" fontId="5" fillId="0" borderId="53" xfId="0" applyNumberFormat="1" applyFont="1" applyBorder="1" applyAlignment="1">
      <alignment horizontal="center" vertical="center" shrinkToFit="1"/>
    </xf>
    <xf numFmtId="49" fontId="28" fillId="6" borderId="25" xfId="0" applyNumberFormat="1" applyFont="1" applyFill="1" applyBorder="1" applyAlignment="1">
      <alignment horizontal="center" vertical="center"/>
    </xf>
    <xf numFmtId="0" fontId="28" fillId="6" borderId="26" xfId="0" applyFont="1" applyFill="1" applyBorder="1" applyAlignment="1">
      <alignment horizontal="center" vertical="center"/>
    </xf>
    <xf numFmtId="0" fontId="22" fillId="6" borderId="26" xfId="0" applyFont="1" applyFill="1" applyBorder="1" applyAlignment="1">
      <alignment horizontal="center" vertical="center"/>
    </xf>
    <xf numFmtId="49" fontId="7" fillId="10" borderId="26" xfId="0" applyNumberFormat="1" applyFont="1" applyFill="1" applyBorder="1" applyAlignment="1">
      <alignment horizontal="center" vertical="center"/>
    </xf>
    <xf numFmtId="49" fontId="7" fillId="0" borderId="44" xfId="0" applyNumberFormat="1" applyFont="1" applyBorder="1" applyAlignment="1">
      <alignment horizontal="center" vertical="center"/>
    </xf>
    <xf numFmtId="0" fontId="7" fillId="0" borderId="73" xfId="0" applyFont="1" applyBorder="1" applyAlignment="1">
      <alignment horizontal="center" vertical="center"/>
    </xf>
    <xf numFmtId="49" fontId="7" fillId="0" borderId="13" xfId="0" applyNumberFormat="1" applyFont="1" applyBorder="1" applyAlignment="1">
      <alignment horizontal="center" vertical="center"/>
    </xf>
    <xf numFmtId="0" fontId="7" fillId="0" borderId="1" xfId="0" applyFont="1" applyBorder="1" applyAlignment="1">
      <alignment horizontal="center" vertical="center"/>
    </xf>
    <xf numFmtId="0" fontId="7" fillId="0" borderId="8" xfId="0" applyFont="1" applyBorder="1" applyAlignment="1">
      <alignment horizontal="center" vertical="center"/>
    </xf>
    <xf numFmtId="0" fontId="27" fillId="0" borderId="46" xfId="0" applyFont="1" applyBorder="1" applyAlignment="1">
      <alignment horizontal="centerContinuous" vertical="center" shrinkToFit="1"/>
    </xf>
    <xf numFmtId="0" fontId="54" fillId="9" borderId="114" xfId="0" applyFont="1" applyFill="1" applyBorder="1" applyAlignment="1">
      <alignment horizontal="centerContinuous" vertical="center"/>
    </xf>
    <xf numFmtId="0" fontId="7" fillId="0" borderId="51" xfId="0" applyFont="1" applyBorder="1" applyAlignment="1">
      <alignment horizontal="centerContinuous" vertical="center"/>
    </xf>
    <xf numFmtId="0" fontId="7" fillId="0" borderId="26" xfId="0" applyFont="1" applyBorder="1" applyAlignment="1">
      <alignment horizontal="centerContinuous" vertical="center"/>
    </xf>
    <xf numFmtId="0" fontId="7" fillId="0" borderId="45" xfId="0" applyFont="1" applyBorder="1" applyAlignment="1">
      <alignment horizontal="centerContinuous" vertical="center"/>
    </xf>
    <xf numFmtId="0" fontId="53" fillId="5" borderId="52" xfId="2" applyNumberFormat="1" applyFont="1" applyFill="1" applyBorder="1" applyAlignment="1">
      <alignment horizontal="centerContinuous" vertical="center" shrinkToFit="1"/>
    </xf>
    <xf numFmtId="0" fontId="53" fillId="5" borderId="2" xfId="2" applyNumberFormat="1" applyFont="1" applyFill="1" applyBorder="1" applyAlignment="1">
      <alignment horizontal="centerContinuous" vertical="center" shrinkToFit="1"/>
    </xf>
    <xf numFmtId="0" fontId="53" fillId="5" borderId="10" xfId="2" applyNumberFormat="1" applyFont="1" applyFill="1" applyBorder="1" applyAlignment="1">
      <alignment horizontal="centerContinuous" vertical="center" shrinkToFit="1"/>
    </xf>
    <xf numFmtId="0" fontId="54" fillId="9" borderId="101" xfId="0" applyFont="1" applyFill="1" applyBorder="1" applyAlignment="1">
      <alignment horizontal="centerContinuous" vertical="center"/>
    </xf>
    <xf numFmtId="0" fontId="6" fillId="4" borderId="30" xfId="0" applyFont="1" applyFill="1" applyBorder="1" applyAlignment="1">
      <alignment horizontal="right" vertical="center"/>
    </xf>
    <xf numFmtId="0" fontId="2" fillId="0" borderId="107" xfId="0" applyFont="1" applyBorder="1" applyAlignment="1">
      <alignment horizontal="center" vertical="center" shrinkToFit="1"/>
    </xf>
    <xf numFmtId="0" fontId="2" fillId="0" borderId="115" xfId="0" applyFont="1" applyBorder="1" applyAlignment="1">
      <alignment horizontal="center" vertical="center"/>
    </xf>
    <xf numFmtId="0" fontId="2" fillId="0" borderId="115" xfId="0" quotePrefix="1" applyFont="1" applyBorder="1" applyAlignment="1">
      <alignment horizontal="center" vertical="center"/>
    </xf>
    <xf numFmtId="9" fontId="2" fillId="0" borderId="115" xfId="0" applyNumberFormat="1" applyFont="1" applyBorder="1" applyAlignment="1">
      <alignment horizontal="center" vertical="center"/>
    </xf>
    <xf numFmtId="49" fontId="2" fillId="0" borderId="115" xfId="0" quotePrefix="1" applyNumberFormat="1" applyFont="1" applyBorder="1" applyAlignment="1">
      <alignment horizontal="center" vertical="center"/>
    </xf>
    <xf numFmtId="164" fontId="2" fillId="0" borderId="109" xfId="0" applyNumberFormat="1" applyFont="1" applyBorder="1" applyAlignment="1">
      <alignment horizontal="centerContinuous" vertical="center"/>
    </xf>
    <xf numFmtId="164" fontId="2" fillId="0" borderId="108" xfId="0" applyNumberFormat="1" applyFont="1" applyBorder="1" applyAlignment="1">
      <alignment horizontal="centerContinuous" vertical="center"/>
    </xf>
    <xf numFmtId="0" fontId="5" fillId="0" borderId="110" xfId="0" quotePrefix="1" applyFont="1" applyBorder="1" applyAlignment="1">
      <alignment horizontal="centerContinuous" vertical="center"/>
    </xf>
    <xf numFmtId="1" fontId="2" fillId="0" borderId="116" xfId="0" applyNumberFormat="1" applyFont="1" applyBorder="1" applyAlignment="1">
      <alignment horizontal="center" vertical="center"/>
    </xf>
    <xf numFmtId="0" fontId="2" fillId="0" borderId="75" xfId="0" applyFont="1" applyBorder="1" applyAlignment="1">
      <alignment horizontal="center" vertical="center"/>
    </xf>
    <xf numFmtId="164" fontId="2" fillId="0" borderId="75" xfId="0" applyNumberFormat="1" applyFont="1" applyBorder="1" applyAlignment="1">
      <alignment horizontal="center" vertical="center"/>
    </xf>
    <xf numFmtId="1" fontId="2" fillId="0" borderId="34" xfId="0" applyNumberFormat="1" applyFont="1" applyBorder="1" applyAlignment="1">
      <alignment horizontal="center" vertical="center"/>
    </xf>
    <xf numFmtId="1" fontId="7" fillId="0" borderId="12" xfId="0" applyNumberFormat="1" applyFont="1" applyBorder="1" applyAlignment="1">
      <alignment horizontal="center" vertical="center"/>
    </xf>
    <xf numFmtId="0" fontId="3" fillId="0" borderId="1" xfId="0" applyFont="1" applyBorder="1" applyAlignment="1">
      <alignment vertical="center"/>
    </xf>
    <xf numFmtId="0" fontId="57"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7" fillId="0" borderId="0" xfId="0" applyFont="1" applyAlignment="1">
      <alignment vertical="center"/>
    </xf>
    <xf numFmtId="0" fontId="2" fillId="0" borderId="0" xfId="0" applyFont="1" applyAlignment="1">
      <alignment horizontal="left" vertical="center"/>
    </xf>
    <xf numFmtId="49" fontId="5" fillId="0" borderId="0" xfId="0" applyNumberFormat="1" applyFont="1" applyAlignment="1">
      <alignment horizontal="center" vertical="center"/>
    </xf>
    <xf numFmtId="0" fontId="52" fillId="0" borderId="34" xfId="0" applyFont="1" applyBorder="1" applyAlignment="1">
      <alignment horizontal="center" shrinkToFit="1"/>
    </xf>
    <xf numFmtId="0" fontId="58" fillId="0" borderId="46" xfId="0" applyFont="1" applyBorder="1" applyAlignment="1">
      <alignment horizontal="center" shrinkToFit="1"/>
    </xf>
    <xf numFmtId="0" fontId="7" fillId="0" borderId="113" xfId="0" applyFont="1" applyBorder="1" applyAlignment="1">
      <alignment horizontal="centerContinuous" vertical="center"/>
    </xf>
    <xf numFmtId="49" fontId="2" fillId="0" borderId="75" xfId="2" applyNumberFormat="1" applyFont="1" applyFill="1" applyBorder="1" applyAlignment="1">
      <alignment horizontal="center" vertical="center"/>
    </xf>
    <xf numFmtId="0" fontId="8" fillId="6" borderId="1" xfId="0" applyFont="1" applyFill="1" applyBorder="1" applyAlignment="1">
      <alignment vertical="center"/>
    </xf>
    <xf numFmtId="49" fontId="17" fillId="6" borderId="25" xfId="0" applyNumberFormat="1" applyFont="1" applyFill="1" applyBorder="1" applyAlignment="1">
      <alignment horizontal="center" vertical="center"/>
    </xf>
    <xf numFmtId="0" fontId="17" fillId="6" borderId="26" xfId="0" applyFont="1" applyFill="1" applyBorder="1" applyAlignment="1">
      <alignment horizontal="center" vertical="center"/>
    </xf>
    <xf numFmtId="0" fontId="8" fillId="6" borderId="26" xfId="0" applyFont="1" applyFill="1" applyBorder="1" applyAlignment="1">
      <alignment horizontal="center" vertical="center"/>
    </xf>
    <xf numFmtId="49" fontId="7" fillId="6" borderId="25" xfId="0" applyNumberFormat="1" applyFont="1" applyFill="1" applyBorder="1" applyAlignment="1">
      <alignment horizontal="center" vertical="center"/>
    </xf>
    <xf numFmtId="0" fontId="10" fillId="0" borderId="1" xfId="0" applyFont="1" applyBorder="1" applyAlignment="1">
      <alignment vertical="center"/>
    </xf>
    <xf numFmtId="49" fontId="27" fillId="0" borderId="25" xfId="0" applyNumberFormat="1" applyFont="1" applyBorder="1" applyAlignment="1">
      <alignment horizontal="center" vertical="center"/>
    </xf>
    <xf numFmtId="0" fontId="27" fillId="0" borderId="26" xfId="0" applyFont="1" applyBorder="1" applyAlignment="1">
      <alignment horizontal="center" vertical="center"/>
    </xf>
    <xf numFmtId="2" fontId="2" fillId="0" borderId="53" xfId="0" applyNumberFormat="1" applyFont="1" applyBorder="1" applyAlignment="1">
      <alignment horizontal="center" vertical="center"/>
    </xf>
    <xf numFmtId="2" fontId="5" fillId="0" borderId="38" xfId="0" applyNumberFormat="1" applyFont="1" applyBorder="1" applyAlignment="1">
      <alignment horizontal="center" vertical="center" shrinkToFit="1"/>
    </xf>
    <xf numFmtId="2" fontId="5" fillId="0" borderId="34" xfId="0" applyNumberFormat="1" applyFont="1" applyBorder="1" applyAlignment="1">
      <alignment horizontal="center" vertical="center" shrinkToFit="1"/>
    </xf>
    <xf numFmtId="1" fontId="7" fillId="0" borderId="25" xfId="0" applyNumberFormat="1" applyFont="1" applyBorder="1" applyAlignment="1">
      <alignment horizontal="center" vertical="center"/>
    </xf>
    <xf numFmtId="0" fontId="43" fillId="0" borderId="57" xfId="0" applyFont="1" applyBorder="1" applyAlignment="1">
      <alignment horizontal="center" vertical="center"/>
    </xf>
    <xf numFmtId="1" fontId="7" fillId="0" borderId="57" xfId="0" applyNumberFormat="1" applyFont="1" applyBorder="1" applyAlignment="1">
      <alignment horizontal="center" vertical="center"/>
    </xf>
    <xf numFmtId="49" fontId="7" fillId="0" borderId="57" xfId="0" applyNumberFormat="1" applyFont="1" applyBorder="1" applyAlignment="1">
      <alignment horizontal="center" vertical="center"/>
    </xf>
    <xf numFmtId="0" fontId="2" fillId="0" borderId="119" xfId="0" applyFont="1" applyBorder="1" applyAlignment="1">
      <alignment horizontal="center" vertical="center" shrinkToFit="1"/>
    </xf>
    <xf numFmtId="0" fontId="2" fillId="0" borderId="120" xfId="0" applyFont="1" applyBorder="1" applyAlignment="1">
      <alignment horizontal="center" vertical="center" shrinkToFit="1"/>
    </xf>
    <xf numFmtId="164" fontId="5" fillId="0" borderId="121" xfId="0" applyNumberFormat="1" applyFont="1" applyBorder="1" applyAlignment="1">
      <alignment horizontal="center" vertical="center" shrinkToFit="1"/>
    </xf>
    <xf numFmtId="0" fontId="2" fillId="0" borderId="121" xfId="0" applyFont="1" applyBorder="1" applyAlignment="1">
      <alignment horizontal="left" vertical="center"/>
    </xf>
    <xf numFmtId="0" fontId="5" fillId="0" borderId="122" xfId="0" applyFont="1" applyBorder="1" applyAlignment="1">
      <alignment horizontal="left" vertical="center" shrinkToFit="1"/>
    </xf>
    <xf numFmtId="1" fontId="5" fillId="0" borderId="74" xfId="0" applyNumberFormat="1" applyFont="1" applyBorder="1" applyAlignment="1">
      <alignment horizontal="center" vertical="center" shrinkToFit="1"/>
    </xf>
    <xf numFmtId="0" fontId="59" fillId="0" borderId="31" xfId="0" applyFont="1" applyBorder="1" applyAlignment="1">
      <alignment horizontal="centerContinuous"/>
    </xf>
    <xf numFmtId="0" fontId="13" fillId="6" borderId="8" xfId="0" applyFont="1" applyFill="1" applyBorder="1" applyAlignment="1">
      <alignment vertical="center"/>
    </xf>
    <xf numFmtId="0" fontId="7" fillId="6" borderId="44" xfId="0" applyFont="1" applyFill="1" applyBorder="1" applyAlignment="1">
      <alignment horizontal="center" vertical="center"/>
    </xf>
    <xf numFmtId="49" fontId="24" fillId="6" borderId="44" xfId="0" applyNumberFormat="1" applyFont="1" applyFill="1" applyBorder="1" applyAlignment="1">
      <alignment horizontal="center" vertical="center"/>
    </xf>
    <xf numFmtId="0" fontId="24" fillId="6" borderId="45" xfId="0" applyFont="1" applyFill="1" applyBorder="1" applyAlignment="1">
      <alignment horizontal="center" vertical="center"/>
    </xf>
    <xf numFmtId="0" fontId="13" fillId="6" borderId="45" xfId="0" applyFont="1" applyFill="1" applyBorder="1" applyAlignment="1">
      <alignment horizontal="center" vertical="center"/>
    </xf>
    <xf numFmtId="49" fontId="7" fillId="6" borderId="45" xfId="0" applyNumberFormat="1" applyFont="1" applyFill="1" applyBorder="1" applyAlignment="1">
      <alignment horizontal="center" vertical="center"/>
    </xf>
    <xf numFmtId="0" fontId="7" fillId="6" borderId="33" xfId="0" applyFont="1" applyFill="1" applyBorder="1" applyAlignment="1">
      <alignment horizontal="center" vertical="center"/>
    </xf>
    <xf numFmtId="0" fontId="44" fillId="11" borderId="26" xfId="0" applyFont="1" applyFill="1" applyBorder="1" applyAlignment="1">
      <alignment horizontal="center" vertical="center"/>
    </xf>
    <xf numFmtId="0" fontId="44" fillId="11" borderId="57" xfId="0" applyFont="1" applyFill="1" applyBorder="1" applyAlignment="1">
      <alignment horizontal="center" vertical="center"/>
    </xf>
    <xf numFmtId="0" fontId="44" fillId="11" borderId="13" xfId="0" applyFont="1" applyFill="1" applyBorder="1" applyAlignment="1">
      <alignment horizontal="center" vertical="center"/>
    </xf>
    <xf numFmtId="0" fontId="44" fillId="11" borderId="44" xfId="0" applyFont="1" applyFill="1" applyBorder="1" applyAlignment="1">
      <alignment horizontal="center" vertical="center"/>
    </xf>
    <xf numFmtId="9" fontId="4" fillId="0" borderId="0" xfId="10" applyFont="1" applyAlignment="1">
      <alignment horizontal="center" vertical="center"/>
    </xf>
    <xf numFmtId="0" fontId="2" fillId="0" borderId="0" xfId="0" applyFont="1" applyAlignment="1">
      <alignment horizontal="right" vertical="center"/>
    </xf>
    <xf numFmtId="9" fontId="2" fillId="0" borderId="0" xfId="10" applyAlignment="1">
      <alignment horizontal="center" vertical="center"/>
    </xf>
    <xf numFmtId="1" fontId="2" fillId="0" borderId="0" xfId="5" applyNumberFormat="1" applyAlignment="1">
      <alignment horizontal="center" vertical="center"/>
    </xf>
    <xf numFmtId="0" fontId="2" fillId="0" borderId="0" xfId="5" applyAlignment="1">
      <alignment vertical="center"/>
    </xf>
    <xf numFmtId="1" fontId="2" fillId="0" borderId="123" xfId="5" applyNumberFormat="1" applyBorder="1" applyAlignment="1">
      <alignment horizontal="center" vertical="center"/>
    </xf>
    <xf numFmtId="0" fontId="4" fillId="0" borderId="0" xfId="5" applyFont="1" applyAlignment="1">
      <alignment vertical="center"/>
    </xf>
    <xf numFmtId="1" fontId="4" fillId="0" borderId="0" xfId="5" applyNumberFormat="1" applyFont="1" applyAlignment="1">
      <alignment horizontal="center" vertical="center"/>
    </xf>
    <xf numFmtId="0" fontId="0" fillId="0" borderId="0" xfId="0" applyAlignment="1">
      <alignment horizontal="center" vertical="center"/>
    </xf>
    <xf numFmtId="0" fontId="43" fillId="11" borderId="35" xfId="0" applyFont="1" applyFill="1" applyBorder="1" applyAlignment="1">
      <alignment horizontal="center" vertical="center"/>
    </xf>
    <xf numFmtId="49" fontId="2" fillId="0" borderId="0" xfId="0" applyNumberFormat="1" applyFont="1" applyAlignment="1">
      <alignment horizontal="center" vertical="center"/>
    </xf>
    <xf numFmtId="0" fontId="22" fillId="6" borderId="1" xfId="0" applyFont="1" applyFill="1" applyBorder="1" applyAlignment="1">
      <alignment vertical="center"/>
    </xf>
    <xf numFmtId="0" fontId="52" fillId="0" borderId="113" xfId="0" applyFont="1" applyBorder="1" applyAlignment="1">
      <alignment horizontal="center" shrinkToFit="1"/>
    </xf>
    <xf numFmtId="3" fontId="7" fillId="0" borderId="12" xfId="0" applyNumberFormat="1" applyFont="1" applyBorder="1" applyAlignment="1">
      <alignment horizontal="center" vertical="center"/>
    </xf>
    <xf numFmtId="49" fontId="4" fillId="0" borderId="0" xfId="0" applyNumberFormat="1" applyFont="1" applyAlignment="1">
      <alignment horizontal="center" vertical="center"/>
    </xf>
    <xf numFmtId="0" fontId="39" fillId="0" borderId="54" xfId="0" quotePrefix="1" applyFont="1" applyBorder="1" applyAlignment="1">
      <alignment horizontal="centerContinuous" vertical="center"/>
    </xf>
    <xf numFmtId="0" fontId="62" fillId="0" borderId="0" xfId="5" applyFont="1" applyAlignment="1">
      <alignment horizontal="center" vertical="center"/>
    </xf>
    <xf numFmtId="0" fontId="63" fillId="0" borderId="1" xfId="5" applyFont="1" applyBorder="1" applyAlignment="1">
      <alignment horizontal="center" shrinkToFit="1"/>
    </xf>
    <xf numFmtId="9" fontId="7" fillId="0" borderId="26" xfId="2" applyFont="1" applyFill="1" applyBorder="1" applyAlignment="1">
      <alignment horizontal="center" vertical="center" shrinkToFit="1"/>
    </xf>
    <xf numFmtId="0" fontId="7" fillId="0" borderId="26" xfId="5" applyFont="1" applyBorder="1" applyAlignment="1">
      <alignment horizontal="center" vertical="center" shrinkToFit="1"/>
    </xf>
    <xf numFmtId="0" fontId="7" fillId="0" borderId="26" xfId="2" applyNumberFormat="1" applyFont="1" applyFill="1" applyBorder="1" applyAlignment="1">
      <alignment horizontal="center" vertical="center" shrinkToFit="1"/>
    </xf>
    <xf numFmtId="9" fontId="7" fillId="0" borderId="25" xfId="2" applyFont="1" applyBorder="1" applyAlignment="1">
      <alignment horizontal="center" shrinkToFit="1"/>
    </xf>
    <xf numFmtId="0" fontId="7" fillId="0" borderId="26" xfId="2" applyNumberFormat="1" applyFont="1" applyBorder="1" applyAlignment="1">
      <alignment horizontal="center" shrinkToFit="1"/>
    </xf>
    <xf numFmtId="9" fontId="7" fillId="0" borderId="26" xfId="2" applyFont="1" applyBorder="1" applyAlignment="1">
      <alignment horizontal="center" shrinkToFit="1"/>
    </xf>
    <xf numFmtId="9" fontId="7" fillId="0" borderId="25" xfId="2" applyFont="1" applyFill="1" applyBorder="1" applyAlignment="1">
      <alignment horizontal="center" vertical="center" shrinkToFit="1"/>
    </xf>
    <xf numFmtId="0" fontId="63" fillId="0" borderId="56" xfId="5" applyFont="1" applyBorder="1" applyAlignment="1">
      <alignment horizontal="center" shrinkToFit="1"/>
    </xf>
    <xf numFmtId="0" fontId="7" fillId="0" borderId="15" xfId="2" applyNumberFormat="1" applyFont="1" applyFill="1" applyBorder="1" applyAlignment="1">
      <alignment horizontal="center" vertical="center" shrinkToFit="1"/>
    </xf>
    <xf numFmtId="0" fontId="7" fillId="0" borderId="27" xfId="5" applyFont="1" applyBorder="1" applyAlignment="1">
      <alignment horizontal="center" vertical="center" shrinkToFit="1"/>
    </xf>
    <xf numFmtId="9" fontId="7" fillId="0" borderId="25" xfId="2" applyFont="1" applyFill="1" applyBorder="1" applyAlignment="1">
      <alignment horizontal="center" shrinkToFit="1"/>
    </xf>
    <xf numFmtId="0" fontId="7" fillId="0" borderId="26" xfId="2" applyNumberFormat="1" applyFont="1" applyFill="1" applyBorder="1" applyAlignment="1">
      <alignment horizontal="center" shrinkToFit="1"/>
    </xf>
    <xf numFmtId="0" fontId="7" fillId="0" borderId="32" xfId="5" applyFont="1" applyBorder="1" applyAlignment="1">
      <alignment horizontal="center" vertical="center"/>
    </xf>
    <xf numFmtId="9" fontId="7" fillId="0" borderId="26" xfId="2" applyFont="1" applyFill="1" applyBorder="1" applyAlignment="1">
      <alignment horizontal="center" shrinkToFit="1"/>
    </xf>
    <xf numFmtId="0" fontId="63" fillId="0" borderId="73" xfId="5" applyFont="1" applyBorder="1" applyAlignment="1">
      <alignment horizontal="center" shrinkToFit="1"/>
    </xf>
    <xf numFmtId="9" fontId="7" fillId="0" borderId="51" xfId="2" applyFont="1" applyFill="1" applyBorder="1" applyAlignment="1">
      <alignment horizontal="center" vertical="center" shrinkToFit="1"/>
    </xf>
    <xf numFmtId="0" fontId="7" fillId="0" borderId="51" xfId="2" applyNumberFormat="1" applyFont="1" applyFill="1" applyBorder="1" applyAlignment="1">
      <alignment horizontal="center" vertical="center" shrinkToFit="1"/>
    </xf>
    <xf numFmtId="0" fontId="7" fillId="0" borderId="27" xfId="5" applyFont="1" applyBorder="1" applyAlignment="1">
      <alignment horizontal="center" vertical="center"/>
    </xf>
    <xf numFmtId="0" fontId="63" fillId="0" borderId="8" xfId="5" applyFont="1" applyBorder="1" applyAlignment="1">
      <alignment horizontal="center" shrinkToFit="1"/>
    </xf>
    <xf numFmtId="0" fontId="7" fillId="0" borderId="45" xfId="2" applyNumberFormat="1" applyFont="1" applyFill="1" applyBorder="1" applyAlignment="1">
      <alignment horizontal="center" vertical="center" shrinkToFit="1"/>
    </xf>
    <xf numFmtId="0" fontId="61" fillId="0" borderId="23" xfId="5" applyFont="1" applyBorder="1" applyAlignment="1">
      <alignment horizontal="centerContinuous"/>
    </xf>
    <xf numFmtId="0" fontId="15" fillId="0" borderId="0" xfId="5" applyFont="1" applyAlignment="1">
      <alignment horizontal="centerContinuous"/>
    </xf>
    <xf numFmtId="0" fontId="2" fillId="0" borderId="0" xfId="5"/>
    <xf numFmtId="0" fontId="12" fillId="9" borderId="124" xfId="5" applyFont="1" applyFill="1" applyBorder="1" applyAlignment="1">
      <alignment horizontal="centerContinuous" vertical="center"/>
    </xf>
    <xf numFmtId="0" fontId="12" fillId="9" borderId="125" xfId="5" applyFont="1" applyFill="1" applyBorder="1" applyAlignment="1">
      <alignment horizontal="center" vertical="center"/>
    </xf>
    <xf numFmtId="0" fontId="21" fillId="9" borderId="125" xfId="5" applyFont="1" applyFill="1" applyBorder="1" applyAlignment="1">
      <alignment horizontal="center" vertical="center"/>
    </xf>
    <xf numFmtId="0" fontId="12" fillId="9" borderId="126" xfId="5" applyFont="1" applyFill="1" applyBorder="1" applyAlignment="1">
      <alignment horizontal="centerContinuous" vertical="center"/>
    </xf>
    <xf numFmtId="0" fontId="7" fillId="0" borderId="13" xfId="5" applyFont="1" applyBorder="1" applyAlignment="1">
      <alignment horizontal="center"/>
    </xf>
    <xf numFmtId="0" fontId="7" fillId="0" borderId="127" xfId="5" applyFont="1" applyBorder="1" applyAlignment="1">
      <alignment horizontal="center" vertical="center"/>
    </xf>
    <xf numFmtId="0" fontId="4" fillId="0" borderId="0" xfId="5" applyFont="1"/>
    <xf numFmtId="0" fontId="7" fillId="0" borderId="25" xfId="5" applyFont="1" applyBorder="1" applyAlignment="1">
      <alignment horizontal="center"/>
    </xf>
    <xf numFmtId="0" fontId="7" fillId="0" borderId="44" xfId="5" applyFont="1" applyBorder="1" applyAlignment="1">
      <alignment horizontal="center"/>
    </xf>
    <xf numFmtId="0" fontId="7" fillId="0" borderId="33" xfId="5" applyFont="1" applyBorder="1" applyAlignment="1">
      <alignment horizontal="center" vertical="center"/>
    </xf>
    <xf numFmtId="0" fontId="4" fillId="0" borderId="0" xfId="5" applyFont="1" applyAlignment="1">
      <alignment horizontal="right"/>
    </xf>
    <xf numFmtId="0" fontId="2" fillId="0" borderId="0" xfId="5" applyAlignment="1">
      <alignment horizontal="left"/>
    </xf>
    <xf numFmtId="0" fontId="7" fillId="0" borderId="57" xfId="5" applyFont="1" applyBorder="1" applyAlignment="1">
      <alignment horizontal="center"/>
    </xf>
    <xf numFmtId="0" fontId="64" fillId="0" borderId="31" xfId="0" applyFont="1" applyBorder="1" applyAlignment="1">
      <alignment horizontal="centerContinuous" vertical="center" wrapText="1"/>
    </xf>
    <xf numFmtId="0" fontId="65" fillId="0" borderId="128" xfId="0" applyFont="1" applyBorder="1" applyAlignment="1">
      <alignment horizontal="centerContinuous" vertical="center"/>
    </xf>
    <xf numFmtId="0" fontId="2" fillId="0" borderId="129" xfId="0" applyFont="1" applyBorder="1" applyAlignment="1">
      <alignment horizontal="centerContinuous" vertical="center"/>
    </xf>
    <xf numFmtId="0" fontId="2" fillId="0" borderId="101" xfId="0" applyFont="1" applyBorder="1" applyAlignment="1">
      <alignment horizontal="centerContinuous" vertical="center"/>
    </xf>
    <xf numFmtId="0" fontId="12" fillId="9" borderId="130" xfId="0" applyFont="1" applyFill="1" applyBorder="1" applyAlignment="1">
      <alignment horizontal="centerContinuous" vertical="center"/>
    </xf>
    <xf numFmtId="0" fontId="12" fillId="9" borderId="131" xfId="0" applyFont="1" applyFill="1" applyBorder="1" applyAlignment="1">
      <alignment horizontal="center"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4" fillId="0" borderId="133" xfId="0" applyFont="1" applyBorder="1" applyAlignment="1">
      <alignment horizontal="right" vertical="center"/>
    </xf>
    <xf numFmtId="0" fontId="2" fillId="0" borderId="134" xfId="0" applyFont="1" applyBorder="1" applyAlignment="1">
      <alignment horizontal="center" vertical="center"/>
    </xf>
    <xf numFmtId="0" fontId="2" fillId="0" borderId="135" xfId="0" applyFont="1" applyBorder="1" applyAlignment="1">
      <alignment horizontal="center" vertical="center"/>
    </xf>
    <xf numFmtId="0" fontId="66" fillId="8" borderId="135" xfId="0" applyFont="1" applyFill="1" applyBorder="1" applyAlignment="1">
      <alignment horizontal="center" vertical="center"/>
    </xf>
    <xf numFmtId="0" fontId="66" fillId="8" borderId="136" xfId="0" applyFont="1" applyFill="1" applyBorder="1" applyAlignment="1">
      <alignment horizontal="center" vertical="center"/>
    </xf>
    <xf numFmtId="0" fontId="67" fillId="0" borderId="137" xfId="0" applyFont="1" applyBorder="1" applyAlignment="1">
      <alignment horizontal="right" vertical="center"/>
    </xf>
    <xf numFmtId="0" fontId="2" fillId="0" borderId="65" xfId="0" applyFont="1" applyBorder="1" applyAlignment="1">
      <alignment horizontal="center" vertical="center"/>
    </xf>
    <xf numFmtId="0" fontId="2" fillId="0" borderId="38" xfId="0" applyFont="1" applyBorder="1" applyAlignment="1">
      <alignment horizontal="center" vertical="center"/>
    </xf>
    <xf numFmtId="0" fontId="66" fillId="8" borderId="38" xfId="0" applyFont="1" applyFill="1" applyBorder="1" applyAlignment="1">
      <alignment horizontal="center" vertical="center"/>
    </xf>
    <xf numFmtId="0" fontId="66" fillId="8" borderId="39" xfId="0" applyFont="1" applyFill="1" applyBorder="1" applyAlignment="1">
      <alignment horizontal="center" vertical="center"/>
    </xf>
    <xf numFmtId="0" fontId="68" fillId="0" borderId="138" xfId="0" applyFont="1" applyBorder="1" applyAlignment="1">
      <alignment horizontal="right" vertical="center"/>
    </xf>
    <xf numFmtId="0" fontId="69" fillId="9" borderId="139" xfId="0" applyFont="1" applyFill="1" applyBorder="1" applyAlignment="1">
      <alignment horizontal="center" vertical="center"/>
    </xf>
    <xf numFmtId="0" fontId="69" fillId="9" borderId="140" xfId="0" applyFont="1" applyFill="1" applyBorder="1" applyAlignment="1">
      <alignment horizontal="center" vertical="center"/>
    </xf>
    <xf numFmtId="0" fontId="70" fillId="8" borderId="140" xfId="0" applyFont="1" applyFill="1" applyBorder="1" applyAlignment="1">
      <alignment horizontal="center" vertical="center"/>
    </xf>
    <xf numFmtId="0" fontId="70" fillId="8" borderId="141" xfId="0" applyFont="1" applyFill="1" applyBorder="1" applyAlignment="1">
      <alignment horizontal="center" vertical="center"/>
    </xf>
    <xf numFmtId="0" fontId="4" fillId="0" borderId="142" xfId="0" applyFont="1" applyBorder="1" applyAlignment="1">
      <alignment horizontal="right" vertical="center"/>
    </xf>
    <xf numFmtId="1" fontId="69" fillId="9" borderId="143" xfId="0" applyNumberFormat="1" applyFont="1" applyFill="1" applyBorder="1" applyAlignment="1">
      <alignment horizontal="center" vertical="center"/>
    </xf>
    <xf numFmtId="1" fontId="69" fillId="9" borderId="144" xfId="0" applyNumberFormat="1" applyFont="1" applyFill="1" applyBorder="1" applyAlignment="1">
      <alignment horizontal="center" vertical="center"/>
    </xf>
    <xf numFmtId="1" fontId="69" fillId="8" borderId="144" xfId="0" applyNumberFormat="1" applyFont="1" applyFill="1" applyBorder="1" applyAlignment="1">
      <alignment horizontal="center" vertical="center"/>
    </xf>
    <xf numFmtId="1" fontId="69" fillId="8" borderId="145" xfId="0" applyNumberFormat="1" applyFont="1" applyFill="1" applyBorder="1" applyAlignment="1">
      <alignment horizontal="center" vertical="center"/>
    </xf>
    <xf numFmtId="0" fontId="65" fillId="0" borderId="58"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applyFont="1" applyBorder="1" applyAlignment="1">
      <alignment horizontal="centerContinuous" vertical="center"/>
    </xf>
    <xf numFmtId="0" fontId="54" fillId="9" borderId="56" xfId="0" applyFont="1" applyFill="1" applyBorder="1" applyAlignment="1">
      <alignment horizontal="centerContinuous" vertical="center"/>
    </xf>
    <xf numFmtId="0" fontId="54" fillId="9" borderId="146"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62" xfId="0" applyFont="1" applyFill="1" applyBorder="1" applyAlignment="1">
      <alignment horizontal="center" vertical="center"/>
    </xf>
    <xf numFmtId="0" fontId="7" fillId="0" borderId="1" xfId="0" applyFont="1" applyBorder="1" applyAlignment="1">
      <alignment horizontal="center" vertical="center" shrinkToFit="1"/>
    </xf>
    <xf numFmtId="0" fontId="53" fillId="5" borderId="27" xfId="2" applyNumberFormat="1" applyFont="1" applyFill="1" applyBorder="1" applyAlignment="1">
      <alignment horizontal="center" vertical="center" shrinkToFit="1"/>
    </xf>
    <xf numFmtId="0" fontId="7" fillId="0" borderId="56" xfId="0" applyFont="1" applyBorder="1" applyAlignment="1">
      <alignment horizontal="center" vertical="center" shrinkToFit="1"/>
    </xf>
    <xf numFmtId="0" fontId="53" fillId="5" borderId="32" xfId="2"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7" fillId="0" borderId="44" xfId="0" applyFont="1" applyBorder="1" applyAlignment="1">
      <alignment horizontal="center" vertical="center"/>
    </xf>
    <xf numFmtId="0" fontId="53" fillId="5" borderId="33" xfId="2" applyNumberFormat="1" applyFont="1" applyFill="1" applyBorder="1" applyAlignment="1">
      <alignment horizontal="center" vertical="center" shrinkToFit="1"/>
    </xf>
    <xf numFmtId="2" fontId="2" fillId="0" borderId="115" xfId="0" applyNumberFormat="1" applyFont="1" applyBorder="1" applyAlignment="1">
      <alignment horizontal="center" vertical="center"/>
    </xf>
    <xf numFmtId="0" fontId="56" fillId="2" borderId="64" xfId="0" applyFont="1" applyFill="1" applyBorder="1" applyAlignment="1">
      <alignment horizontal="left" vertical="center"/>
    </xf>
    <xf numFmtId="0" fontId="2" fillId="12" borderId="77" xfId="0" applyFont="1" applyFill="1" applyBorder="1" applyAlignment="1">
      <alignment horizontal="center" vertical="center"/>
    </xf>
    <xf numFmtId="0" fontId="2" fillId="12" borderId="78" xfId="0" applyFont="1" applyFill="1" applyBorder="1" applyAlignment="1">
      <alignment horizontal="center" vertical="center"/>
    </xf>
    <xf numFmtId="0" fontId="2" fillId="12" borderId="78" xfId="0" quotePrefix="1" applyFont="1" applyFill="1" applyBorder="1" applyAlignment="1">
      <alignment horizontal="center" vertical="center" wrapText="1"/>
    </xf>
    <xf numFmtId="49" fontId="2" fillId="12" borderId="78" xfId="2" applyNumberFormat="1" applyFont="1" applyFill="1" applyBorder="1" applyAlignment="1">
      <alignment horizontal="center" vertical="center"/>
    </xf>
    <xf numFmtId="0" fontId="2" fillId="12" borderId="78" xfId="0" applyFont="1" applyFill="1" applyBorder="1" applyAlignment="1">
      <alignment horizontal="center" vertical="center" shrinkToFit="1"/>
    </xf>
    <xf numFmtId="164" fontId="2" fillId="12" borderId="78" xfId="0" applyNumberFormat="1" applyFont="1" applyFill="1" applyBorder="1" applyAlignment="1">
      <alignment horizontal="center" vertical="center"/>
    </xf>
    <xf numFmtId="1" fontId="2" fillId="12" borderId="78" xfId="0" applyNumberFormat="1" applyFont="1" applyFill="1" applyBorder="1" applyAlignment="1">
      <alignment horizontal="center" vertical="center"/>
    </xf>
    <xf numFmtId="1" fontId="2" fillId="12" borderId="79" xfId="0" applyNumberFormat="1" applyFont="1" applyFill="1" applyBorder="1" applyAlignment="1">
      <alignment horizontal="center" vertical="center"/>
    </xf>
    <xf numFmtId="0" fontId="2" fillId="12" borderId="80" xfId="0" quotePrefix="1" applyFont="1" applyFill="1" applyBorder="1" applyAlignment="1">
      <alignment horizontal="center" vertical="center"/>
    </xf>
    <xf numFmtId="1" fontId="2" fillId="12" borderId="53" xfId="0" applyNumberFormat="1" applyFont="1" applyFill="1" applyBorder="1" applyAlignment="1">
      <alignment horizontal="center" vertical="center"/>
    </xf>
    <xf numFmtId="0" fontId="39" fillId="0" borderId="113" xfId="0" applyFont="1" applyBorder="1" applyAlignment="1">
      <alignment horizontal="center" shrinkToFit="1"/>
    </xf>
    <xf numFmtId="164" fontId="2" fillId="0" borderId="38" xfId="0" applyNumberFormat="1" applyFont="1" applyBorder="1" applyAlignment="1">
      <alignment horizontal="center" vertical="center" shrinkToFit="1"/>
    </xf>
    <xf numFmtId="0" fontId="5" fillId="0" borderId="38" xfId="0" applyFont="1" applyBorder="1" applyAlignment="1">
      <alignment horizontal="left" vertical="center"/>
    </xf>
    <xf numFmtId="1" fontId="2" fillId="0" borderId="34" xfId="0" applyNumberFormat="1" applyFont="1" applyBorder="1" applyAlignment="1">
      <alignment horizontal="center" vertical="center" shrinkToFit="1"/>
    </xf>
    <xf numFmtId="0" fontId="2" fillId="0" borderId="0" xfId="0" applyFont="1" applyAlignment="1">
      <alignment horizontal="center" vertical="center" shrinkToFit="1"/>
    </xf>
    <xf numFmtId="0" fontId="73" fillId="0" borderId="0" xfId="0" applyFont="1" applyAlignment="1">
      <alignment vertical="center"/>
    </xf>
    <xf numFmtId="0" fontId="2" fillId="0" borderId="0" xfId="0" applyFont="1" applyAlignment="1">
      <alignment horizontal="left" vertical="center" shrinkToFit="1"/>
    </xf>
    <xf numFmtId="1" fontId="2" fillId="0" borderId="74" xfId="0" applyNumberFormat="1" applyFont="1" applyBorder="1" applyAlignment="1">
      <alignment horizontal="center" vertical="center" shrinkToFit="1"/>
    </xf>
    <xf numFmtId="0" fontId="2" fillId="0" borderId="147" xfId="0" applyFont="1" applyBorder="1" applyAlignment="1">
      <alignment horizontal="center" vertical="center" shrinkToFit="1"/>
    </xf>
    <xf numFmtId="1" fontId="2" fillId="0" borderId="38" xfId="0" applyNumberFormat="1" applyFont="1" applyBorder="1" applyAlignment="1">
      <alignment horizontal="center" vertical="center" shrinkToFit="1"/>
    </xf>
    <xf numFmtId="0" fontId="2" fillId="0" borderId="148" xfId="0" applyFont="1" applyBorder="1" applyAlignment="1">
      <alignment horizontal="left" vertical="center"/>
    </xf>
    <xf numFmtId="0" fontId="2" fillId="0" borderId="39" xfId="0" applyFont="1" applyBorder="1" applyAlignment="1">
      <alignment horizontal="left" vertical="center" shrinkToFit="1"/>
    </xf>
    <xf numFmtId="0" fontId="2" fillId="0" borderId="96" xfId="0" applyFont="1" applyBorder="1" applyAlignment="1">
      <alignment horizontal="center" vertical="center" shrinkToFit="1"/>
    </xf>
    <xf numFmtId="1" fontId="2" fillId="0" borderId="40" xfId="0" applyNumberFormat="1" applyFont="1" applyBorder="1" applyAlignment="1">
      <alignment horizontal="center" vertical="center" shrinkToFit="1"/>
    </xf>
    <xf numFmtId="164" fontId="2" fillId="0" borderId="40" xfId="0" applyNumberFormat="1" applyFont="1" applyBorder="1" applyAlignment="1">
      <alignment horizontal="center" vertical="center" shrinkToFit="1"/>
    </xf>
    <xf numFmtId="0" fontId="2" fillId="0" borderId="149" xfId="0" applyFont="1" applyBorder="1" applyAlignment="1">
      <alignment horizontal="left" vertical="center"/>
    </xf>
    <xf numFmtId="0" fontId="2" fillId="0" borderId="41" xfId="0" applyFont="1" applyBorder="1" applyAlignment="1">
      <alignment horizontal="left" vertical="center" shrinkToFit="1"/>
    </xf>
    <xf numFmtId="1" fontId="2" fillId="0" borderId="46" xfId="0" applyNumberFormat="1" applyFont="1" applyBorder="1" applyAlignment="1">
      <alignment horizontal="center" vertical="center" shrinkToFit="1"/>
    </xf>
    <xf numFmtId="0" fontId="33" fillId="0" borderId="38" xfId="1" applyBorder="1" applyAlignment="1" applyProtection="1">
      <alignment horizontal="left" vertical="center"/>
    </xf>
    <xf numFmtId="165" fontId="2" fillId="0" borderId="0" xfId="0" applyNumberFormat="1" applyFont="1" applyAlignment="1">
      <alignment horizontal="center" vertical="center"/>
    </xf>
    <xf numFmtId="0" fontId="21" fillId="3" borderId="22" xfId="0" applyFont="1" applyFill="1" applyBorder="1" applyAlignment="1">
      <alignment horizontal="center" vertical="center"/>
    </xf>
    <xf numFmtId="9" fontId="21" fillId="3" borderId="21" xfId="2" applyFont="1" applyFill="1" applyBorder="1" applyAlignment="1">
      <alignment horizontal="center" vertical="center"/>
    </xf>
    <xf numFmtId="0" fontId="75" fillId="0" borderId="17" xfId="0" applyFont="1" applyBorder="1" applyAlignment="1">
      <alignment horizontal="center"/>
    </xf>
    <xf numFmtId="0" fontId="75" fillId="0" borderId="150" xfId="0" applyFont="1" applyBorder="1" applyAlignment="1">
      <alignment horizontal="center"/>
    </xf>
    <xf numFmtId="0" fontId="75" fillId="0" borderId="151" xfId="0" applyFont="1" applyBorder="1" applyAlignment="1">
      <alignment horizontal="center"/>
    </xf>
    <xf numFmtId="0" fontId="75" fillId="0" borderId="152" xfId="0" applyFont="1" applyBorder="1" applyAlignment="1">
      <alignment horizontal="center"/>
    </xf>
    <xf numFmtId="0" fontId="0" fillId="8" borderId="121" xfId="0" applyFill="1" applyBorder="1" applyAlignment="1">
      <alignment horizontal="center"/>
    </xf>
    <xf numFmtId="0" fontId="0" fillId="8" borderId="122" xfId="0" applyFill="1" applyBorder="1" applyAlignment="1">
      <alignment horizontal="center"/>
    </xf>
    <xf numFmtId="0" fontId="0" fillId="0" borderId="137" xfId="0" applyBorder="1" applyAlignment="1">
      <alignment horizontal="center"/>
    </xf>
    <xf numFmtId="0" fontId="0" fillId="0" borderId="65" xfId="0"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0" borderId="38" xfId="0" applyBorder="1" applyAlignment="1">
      <alignment horizontal="center"/>
    </xf>
    <xf numFmtId="0" fontId="0" fillId="0" borderId="154" xfId="0" applyBorder="1" applyAlignment="1">
      <alignment horizontal="center"/>
    </xf>
    <xf numFmtId="0" fontId="2" fillId="0" borderId="66" xfId="0" applyFont="1"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74" fillId="0" borderId="0" xfId="0" applyFont="1" applyAlignment="1">
      <alignment horizontal="centerContinuous" vertical="center"/>
    </xf>
    <xf numFmtId="0" fontId="55" fillId="0" borderId="58" xfId="0" applyFont="1" applyBorder="1" applyAlignment="1">
      <alignment horizontal="centerContinuous" vertical="center"/>
    </xf>
    <xf numFmtId="0" fontId="76" fillId="0" borderId="0" xfId="0" applyFont="1" applyAlignment="1">
      <alignment horizontal="centerContinuous" vertical="center"/>
    </xf>
    <xf numFmtId="0" fontId="76" fillId="0" borderId="0" xfId="0" applyFont="1" applyAlignment="1">
      <alignment horizontal="right" vertical="center"/>
    </xf>
    <xf numFmtId="0" fontId="45" fillId="11" borderId="22" xfId="0" applyFont="1" applyFill="1" applyBorder="1" applyAlignment="1">
      <alignment horizontal="center" vertical="center"/>
    </xf>
    <xf numFmtId="1" fontId="46" fillId="11" borderId="105" xfId="0" applyNumberFormat="1" applyFont="1" applyFill="1" applyBorder="1" applyAlignment="1">
      <alignment horizontal="center" vertical="center"/>
    </xf>
    <xf numFmtId="1" fontId="46" fillId="11" borderId="75" xfId="0" applyNumberFormat="1" applyFont="1" applyFill="1" applyBorder="1" applyAlignment="1">
      <alignment horizontal="center" vertical="center"/>
    </xf>
    <xf numFmtId="0" fontId="2" fillId="12" borderId="155" xfId="0" applyFont="1" applyFill="1" applyBorder="1" applyAlignment="1">
      <alignment horizontal="center" vertical="center"/>
    </xf>
    <xf numFmtId="0" fontId="2" fillId="12" borderId="104" xfId="0" applyFont="1" applyFill="1" applyBorder="1" applyAlignment="1">
      <alignment horizontal="center" vertical="center"/>
    </xf>
    <xf numFmtId="0" fontId="2" fillId="12" borderId="104" xfId="0" quotePrefix="1" applyFont="1" applyFill="1" applyBorder="1" applyAlignment="1">
      <alignment horizontal="center" vertical="center" wrapText="1"/>
    </xf>
    <xf numFmtId="49" fontId="2" fillId="12" borderId="104" xfId="2" applyNumberFormat="1" applyFont="1" applyFill="1" applyBorder="1" applyAlignment="1">
      <alignment horizontal="center" vertical="center"/>
    </xf>
    <xf numFmtId="0" fontId="2" fillId="12" borderId="104" xfId="0" applyFont="1" applyFill="1" applyBorder="1" applyAlignment="1">
      <alignment horizontal="center" vertical="center" shrinkToFit="1"/>
    </xf>
    <xf numFmtId="164" fontId="2" fillId="12" borderId="104" xfId="0" applyNumberFormat="1" applyFont="1" applyFill="1" applyBorder="1" applyAlignment="1">
      <alignment horizontal="center" vertical="center"/>
    </xf>
    <xf numFmtId="1" fontId="2" fillId="12" borderId="105" xfId="0" applyNumberFormat="1" applyFont="1" applyFill="1" applyBorder="1" applyAlignment="1">
      <alignment horizontal="center" vertical="center"/>
    </xf>
    <xf numFmtId="0" fontId="2" fillId="12" borderId="156" xfId="0" quotePrefix="1" applyFont="1" applyFill="1" applyBorder="1" applyAlignment="1">
      <alignment horizontal="center" vertical="center"/>
    </xf>
    <xf numFmtId="1" fontId="2" fillId="12" borderId="74" xfId="0" applyNumberFormat="1" applyFont="1" applyFill="1" applyBorder="1" applyAlignment="1">
      <alignment horizontal="center" vertical="center"/>
    </xf>
    <xf numFmtId="0" fontId="7" fillId="0" borderId="62" xfId="0" quotePrefix="1" applyFont="1" applyBorder="1" applyAlignment="1">
      <alignment horizontal="center" vertical="center"/>
    </xf>
    <xf numFmtId="0" fontId="2" fillId="12" borderId="104" xfId="2" applyNumberFormat="1" applyFont="1" applyFill="1" applyBorder="1" applyAlignment="1">
      <alignment horizontal="center" vertical="center"/>
    </xf>
    <xf numFmtId="0" fontId="39" fillId="0" borderId="113" xfId="0" applyFont="1" applyBorder="1" applyAlignment="1">
      <alignment horizontal="centerContinuous" vertical="center"/>
    </xf>
    <xf numFmtId="0" fontId="59" fillId="0" borderId="31" xfId="0" applyFont="1" applyBorder="1" applyAlignment="1">
      <alignment horizontal="centerContinuous" vertical="center" wrapText="1"/>
    </xf>
    <xf numFmtId="0" fontId="77" fillId="0" borderId="34" xfId="0" applyFont="1" applyBorder="1" applyAlignment="1">
      <alignment horizontal="centerContinuous" vertical="center"/>
    </xf>
    <xf numFmtId="0" fontId="2" fillId="12" borderId="81" xfId="0" applyFont="1" applyFill="1" applyBorder="1" applyAlignment="1">
      <alignment horizontal="center" vertical="center"/>
    </xf>
    <xf numFmtId="0" fontId="2" fillId="12" borderId="82" xfId="0" applyFont="1" applyFill="1" applyBorder="1" applyAlignment="1">
      <alignment horizontal="center" vertical="center"/>
    </xf>
    <xf numFmtId="0" fontId="2" fillId="12" borderId="82" xfId="0" quotePrefix="1" applyFont="1" applyFill="1" applyBorder="1" applyAlignment="1">
      <alignment horizontal="center" vertical="center"/>
    </xf>
    <xf numFmtId="9" fontId="2" fillId="12" borderId="82" xfId="0" applyNumberFormat="1" applyFont="1" applyFill="1" applyBorder="1" applyAlignment="1">
      <alignment horizontal="center" vertical="center"/>
    </xf>
    <xf numFmtId="164" fontId="2" fillId="12" borderId="82" xfId="0" applyNumberFormat="1" applyFont="1" applyFill="1" applyBorder="1" applyAlignment="1">
      <alignment horizontal="center" vertical="center"/>
    </xf>
    <xf numFmtId="164" fontId="2" fillId="12" borderId="83" xfId="0" applyNumberFormat="1" applyFont="1" applyFill="1" applyBorder="1" applyAlignment="1">
      <alignment horizontal="centerContinuous" vertical="center"/>
    </xf>
    <xf numFmtId="164" fontId="2" fillId="12" borderId="86" xfId="0" applyNumberFormat="1" applyFont="1" applyFill="1" applyBorder="1" applyAlignment="1">
      <alignment horizontal="centerContinuous" vertical="center"/>
    </xf>
    <xf numFmtId="0" fontId="5" fillId="12" borderId="84" xfId="0" applyFont="1" applyFill="1" applyBorder="1" applyAlignment="1">
      <alignment horizontal="centerContinuous" vertical="center"/>
    </xf>
    <xf numFmtId="1" fontId="2" fillId="12" borderId="46" xfId="0" applyNumberFormat="1" applyFont="1" applyFill="1" applyBorder="1" applyAlignment="1">
      <alignment horizontal="center" vertical="center"/>
    </xf>
    <xf numFmtId="0" fontId="2" fillId="0" borderId="111" xfId="0" applyFont="1" applyBorder="1" applyAlignment="1">
      <alignment horizontal="center" vertical="center" shrinkToFit="1"/>
    </xf>
    <xf numFmtId="0" fontId="2" fillId="0" borderId="75" xfId="0" quotePrefix="1" applyFont="1" applyBorder="1" applyAlignment="1">
      <alignment horizontal="center" vertical="center"/>
    </xf>
    <xf numFmtId="9" fontId="2" fillId="0" borderId="75" xfId="0" applyNumberFormat="1" applyFont="1" applyBorder="1" applyAlignment="1">
      <alignment horizontal="center" vertical="center"/>
    </xf>
    <xf numFmtId="49" fontId="2" fillId="0" borderId="75" xfId="0" quotePrefix="1" applyNumberFormat="1" applyFont="1" applyBorder="1" applyAlignment="1">
      <alignment horizontal="center" vertical="center"/>
    </xf>
    <xf numFmtId="164" fontId="2" fillId="0" borderId="76" xfId="0" applyNumberFormat="1" applyFont="1" applyBorder="1" applyAlignment="1">
      <alignment horizontal="centerContinuous" vertical="center"/>
    </xf>
    <xf numFmtId="164" fontId="2" fillId="0" borderId="117" xfId="0" applyNumberFormat="1" applyFont="1" applyBorder="1" applyAlignment="1">
      <alignment horizontal="centerContinuous" vertical="center"/>
    </xf>
    <xf numFmtId="0" fontId="5" fillId="0" borderId="118" xfId="0" quotePrefix="1" applyFont="1" applyBorder="1" applyAlignment="1">
      <alignment horizontal="centerContinuous" vertical="center"/>
    </xf>
    <xf numFmtId="0" fontId="2" fillId="0" borderId="0" xfId="9" applyAlignment="1">
      <alignment vertical="center"/>
    </xf>
    <xf numFmtId="0" fontId="2" fillId="0" borderId="0" xfId="9" applyAlignment="1">
      <alignment horizontal="left" vertical="center"/>
    </xf>
    <xf numFmtId="0" fontId="4" fillId="0" borderId="0" xfId="9" applyFont="1" applyAlignment="1">
      <alignment horizontal="right" vertical="center"/>
    </xf>
    <xf numFmtId="0" fontId="7" fillId="0" borderId="10" xfId="9" applyFont="1" applyBorder="1" applyAlignment="1">
      <alignment vertical="center"/>
    </xf>
    <xf numFmtId="0" fontId="7" fillId="0" borderId="9" xfId="9" applyFont="1" applyBorder="1" applyAlignment="1">
      <alignment vertical="center"/>
    </xf>
    <xf numFmtId="0" fontId="7" fillId="0" borderId="8" xfId="9" applyFont="1" applyBorder="1" applyAlignment="1">
      <alignment vertical="center"/>
    </xf>
    <xf numFmtId="0" fontId="7" fillId="0" borderId="2" xfId="9" applyFont="1" applyBorder="1" applyAlignment="1">
      <alignment horizontal="left" vertical="center"/>
    </xf>
    <xf numFmtId="0" fontId="7" fillId="0" borderId="0" xfId="9" applyFont="1" applyAlignment="1">
      <alignment horizontal="left" vertical="center"/>
    </xf>
    <xf numFmtId="0" fontId="7" fillId="0" borderId="1" xfId="9" applyFont="1" applyBorder="1" applyAlignment="1">
      <alignment vertical="center"/>
    </xf>
    <xf numFmtId="0" fontId="7" fillId="0" borderId="2" xfId="9" applyFont="1" applyBorder="1" applyAlignment="1">
      <alignment horizontal="center" vertical="center"/>
    </xf>
    <xf numFmtId="0" fontId="11" fillId="0" borderId="0" xfId="9" applyFont="1" applyAlignment="1">
      <alignment horizontal="right" vertical="center"/>
    </xf>
    <xf numFmtId="0" fontId="6" fillId="0" borderId="1" xfId="9" applyFont="1" applyBorder="1" applyAlignment="1">
      <alignment horizontal="right" vertical="center"/>
    </xf>
    <xf numFmtId="0" fontId="11" fillId="0" borderId="1" xfId="9" applyFont="1" applyBorder="1" applyAlignment="1">
      <alignment horizontal="right" vertical="center"/>
    </xf>
    <xf numFmtId="0" fontId="7" fillId="0" borderId="12" xfId="9" applyFont="1" applyBorder="1" applyAlignment="1">
      <alignment horizontal="center" vertical="center"/>
    </xf>
    <xf numFmtId="0" fontId="10" fillId="4" borderId="157" xfId="9" applyFont="1" applyFill="1" applyBorder="1" applyAlignment="1">
      <alignment horizontal="right" vertical="center"/>
    </xf>
    <xf numFmtId="0" fontId="26" fillId="0" borderId="24" xfId="9" applyFont="1" applyBorder="1" applyAlignment="1">
      <alignment horizontal="center" vertical="center"/>
    </xf>
    <xf numFmtId="0" fontId="7" fillId="0" borderId="24" xfId="9" applyFont="1" applyBorder="1" applyAlignment="1">
      <alignment horizontal="center" vertical="center"/>
    </xf>
    <xf numFmtId="0" fontId="14" fillId="2" borderId="16" xfId="9" applyFont="1" applyFill="1" applyBorder="1" applyAlignment="1">
      <alignment horizontal="right" vertical="center"/>
    </xf>
    <xf numFmtId="49" fontId="7" fillId="0" borderId="28" xfId="9" applyNumberFormat="1" applyFont="1" applyBorder="1" applyAlignment="1">
      <alignment horizontal="center" vertical="center"/>
    </xf>
    <xf numFmtId="0" fontId="78" fillId="4" borderId="158" xfId="9" applyFont="1" applyFill="1" applyBorder="1" applyAlignment="1">
      <alignment horizontal="right" vertical="center"/>
    </xf>
    <xf numFmtId="0" fontId="26" fillId="0" borderId="3" xfId="9" applyFont="1" applyBorder="1" applyAlignment="1">
      <alignment horizontal="center" vertical="center"/>
    </xf>
    <xf numFmtId="0" fontId="7" fillId="0" borderId="3" xfId="9" applyFont="1" applyBorder="1" applyAlignment="1">
      <alignment horizontal="center" vertical="center"/>
    </xf>
    <xf numFmtId="0" fontId="22" fillId="2" borderId="4" xfId="9" applyFont="1" applyFill="1" applyBorder="1" applyAlignment="1">
      <alignment horizontal="right" vertical="center"/>
    </xf>
    <xf numFmtId="0" fontId="7" fillId="0" borderId="28" xfId="9" applyFont="1" applyBorder="1" applyAlignment="1">
      <alignment horizontal="center" vertical="center"/>
    </xf>
    <xf numFmtId="0" fontId="8" fillId="4" borderId="159" xfId="9" applyFont="1" applyFill="1" applyBorder="1" applyAlignment="1">
      <alignment horizontal="right" vertical="center"/>
    </xf>
    <xf numFmtId="0" fontId="26" fillId="0" borderId="160" xfId="9" applyFont="1" applyBorder="1" applyAlignment="1">
      <alignment horizontal="center" vertical="center"/>
    </xf>
    <xf numFmtId="0" fontId="11" fillId="2" borderId="4" xfId="9" applyFont="1" applyFill="1" applyBorder="1" applyAlignment="1">
      <alignment horizontal="right" vertical="center"/>
    </xf>
    <xf numFmtId="0" fontId="8" fillId="0" borderId="1" xfId="9" applyFont="1" applyBorder="1" applyAlignment="1">
      <alignment horizontal="right" vertical="center"/>
    </xf>
    <xf numFmtId="0" fontId="10" fillId="2" borderId="4" xfId="9" applyFont="1" applyFill="1" applyBorder="1" applyAlignment="1">
      <alignment horizontal="right" vertical="center"/>
    </xf>
    <xf numFmtId="0" fontId="11" fillId="4" borderId="159" xfId="9" applyFont="1" applyFill="1" applyBorder="1" applyAlignment="1">
      <alignment horizontal="right" vertical="center"/>
    </xf>
    <xf numFmtId="0" fontId="13" fillId="2" borderId="4" xfId="9" applyFont="1" applyFill="1" applyBorder="1" applyAlignment="1">
      <alignment horizontal="right" vertical="center"/>
    </xf>
    <xf numFmtId="0" fontId="7" fillId="0" borderId="7" xfId="9" applyFont="1" applyBorder="1" applyAlignment="1">
      <alignment horizontal="center" vertical="center"/>
    </xf>
    <xf numFmtId="0" fontId="6" fillId="13" borderId="28" xfId="9" applyFont="1" applyFill="1" applyBorder="1" applyAlignment="1">
      <alignment horizontal="center" vertical="center"/>
    </xf>
    <xf numFmtId="1" fontId="7" fillId="0" borderId="28" xfId="9" applyNumberFormat="1" applyFont="1" applyBorder="1" applyAlignment="1">
      <alignment horizontal="center" vertical="center"/>
    </xf>
    <xf numFmtId="0" fontId="26" fillId="0" borderId="68" xfId="9" applyFont="1" applyBorder="1" applyAlignment="1">
      <alignment horizontal="center" vertical="center"/>
    </xf>
    <xf numFmtId="0" fontId="7" fillId="0" borderId="15" xfId="9" applyFont="1" applyBorder="1" applyAlignment="1">
      <alignment horizontal="center" vertical="center"/>
    </xf>
    <xf numFmtId="0" fontId="8" fillId="2" borderId="14" xfId="9" applyFont="1" applyFill="1" applyBorder="1" applyAlignment="1">
      <alignment horizontal="right" vertical="center"/>
    </xf>
    <xf numFmtId="0" fontId="7" fillId="0" borderId="10" xfId="9" applyFont="1" applyBorder="1" applyAlignment="1">
      <alignment horizontal="center" vertical="center"/>
    </xf>
    <xf numFmtId="0" fontId="6" fillId="0" borderId="9" xfId="9" applyFont="1" applyBorder="1" applyAlignment="1">
      <alignment horizontal="right" vertical="center"/>
    </xf>
    <xf numFmtId="0" fontId="7" fillId="0" borderId="9" xfId="9" applyFont="1" applyBorder="1" applyAlignment="1">
      <alignment horizontal="center" vertical="center"/>
    </xf>
    <xf numFmtId="0" fontId="7" fillId="0" borderId="9" xfId="9" applyFont="1" applyBorder="1" applyAlignment="1">
      <alignment horizontal="centerContinuous" vertical="center"/>
    </xf>
    <xf numFmtId="0" fontId="79" fillId="0" borderId="9" xfId="9" applyFont="1" applyBorder="1" applyAlignment="1">
      <alignment horizontal="centerContinuous" vertical="center"/>
    </xf>
    <xf numFmtId="0" fontId="6" fillId="0" borderId="8" xfId="9" applyFont="1" applyBorder="1" applyAlignment="1">
      <alignment horizontal="right" vertical="center"/>
    </xf>
    <xf numFmtId="49" fontId="7" fillId="0" borderId="2" xfId="9" quotePrefix="1" applyNumberFormat="1" applyFont="1" applyBorder="1" applyAlignment="1">
      <alignment horizontal="center" vertical="center"/>
    </xf>
    <xf numFmtId="0" fontId="6" fillId="0" borderId="0" xfId="9" applyFont="1" applyAlignment="1">
      <alignment horizontal="right" vertical="center"/>
    </xf>
    <xf numFmtId="0" fontId="7" fillId="0" borderId="0" xfId="9" applyFont="1" applyAlignment="1">
      <alignment horizontal="center" vertical="center"/>
    </xf>
    <xf numFmtId="0" fontId="7" fillId="0" borderId="0" xfId="9" applyFont="1" applyAlignment="1">
      <alignment horizontal="centerContinuous" vertical="center"/>
    </xf>
    <xf numFmtId="0" fontId="80" fillId="2" borderId="161" xfId="9" applyFont="1" applyFill="1" applyBorder="1" applyAlignment="1">
      <alignment horizontal="right" vertical="center"/>
    </xf>
    <xf numFmtId="0" fontId="4" fillId="2" borderId="162" xfId="9" applyFont="1" applyFill="1" applyBorder="1" applyAlignment="1">
      <alignment horizontal="centerContinuous" vertical="center"/>
    </xf>
    <xf numFmtId="0" fontId="2" fillId="2" borderId="162" xfId="9" applyFill="1" applyBorder="1" applyAlignment="1">
      <alignment horizontal="left" vertical="center"/>
    </xf>
    <xf numFmtId="0" fontId="20" fillId="2" borderId="162" xfId="9" applyFont="1" applyFill="1" applyBorder="1" applyAlignment="1">
      <alignment horizontal="left" vertical="center"/>
    </xf>
    <xf numFmtId="0" fontId="81" fillId="2" borderId="163" xfId="9" applyFont="1" applyFill="1" applyBorder="1" applyAlignment="1">
      <alignment horizontal="right" vertical="center"/>
    </xf>
    <xf numFmtId="1" fontId="21" fillId="3" borderId="31" xfId="0" applyNumberFormat="1" applyFont="1" applyFill="1" applyBorder="1" applyAlignment="1">
      <alignment horizontal="center" vertical="center"/>
    </xf>
    <xf numFmtId="0" fontId="2" fillId="0" borderId="38" xfId="0" applyFont="1" applyBorder="1" applyAlignment="1">
      <alignment horizontal="center" vertical="center" shrinkToFit="1"/>
    </xf>
    <xf numFmtId="0" fontId="2" fillId="0" borderId="102" xfId="0" applyFont="1" applyBorder="1" applyAlignment="1">
      <alignment horizontal="center" vertical="center" shrinkToFit="1"/>
    </xf>
    <xf numFmtId="0" fontId="2" fillId="0" borderId="121" xfId="0" applyFont="1" applyBorder="1" applyAlignment="1">
      <alignment horizontal="center" vertical="center" shrinkToFit="1"/>
    </xf>
    <xf numFmtId="164" fontId="2" fillId="0" borderId="121" xfId="0" applyNumberFormat="1" applyFont="1" applyBorder="1" applyAlignment="1">
      <alignment horizontal="center" vertical="center" shrinkToFit="1"/>
    </xf>
    <xf numFmtId="0" fontId="2" fillId="0" borderId="164" xfId="0" applyFont="1" applyBorder="1" applyAlignment="1">
      <alignment horizontal="left" vertical="center"/>
    </xf>
    <xf numFmtId="0" fontId="2" fillId="0" borderId="122" xfId="0" applyFont="1" applyBorder="1" applyAlignment="1">
      <alignment horizontal="left" vertical="center" shrinkToFit="1"/>
    </xf>
    <xf numFmtId="2" fontId="2" fillId="0" borderId="74" xfId="0" applyNumberFormat="1"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40" xfId="0" applyFont="1" applyBorder="1" applyAlignment="1">
      <alignment horizontal="left" vertical="center"/>
    </xf>
    <xf numFmtId="164" fontId="2" fillId="0" borderId="46" xfId="0" applyNumberFormat="1" applyFont="1" applyBorder="1" applyAlignment="1">
      <alignment horizontal="center" vertical="center" shrinkToFit="1"/>
    </xf>
    <xf numFmtId="0" fontId="21" fillId="3" borderId="21" xfId="0" applyFont="1" applyFill="1" applyBorder="1" applyAlignment="1">
      <alignment horizontal="center" vertical="center"/>
    </xf>
    <xf numFmtId="1" fontId="2" fillId="0" borderId="0" xfId="0" applyNumberFormat="1" applyFont="1" applyAlignment="1">
      <alignment horizontal="center" vertical="center"/>
    </xf>
    <xf numFmtId="0" fontId="7" fillId="0" borderId="2" xfId="0" applyFont="1" applyBorder="1" applyAlignment="1">
      <alignment horizontal="center" vertical="center"/>
    </xf>
    <xf numFmtId="0" fontId="11" fillId="0" borderId="1" xfId="0" applyFont="1" applyBorder="1" applyAlignment="1">
      <alignment horizontal="right" vertical="center"/>
    </xf>
    <xf numFmtId="0" fontId="7" fillId="0" borderId="33" xfId="9" applyFont="1" applyBorder="1" applyAlignment="1">
      <alignment horizontal="center" vertical="center"/>
    </xf>
    <xf numFmtId="0" fontId="10" fillId="4" borderId="16" xfId="9" applyFont="1" applyFill="1" applyBorder="1" applyAlignment="1">
      <alignment horizontal="right" vertical="center"/>
    </xf>
    <xf numFmtId="0" fontId="7" fillId="0" borderId="24" xfId="0" applyFont="1" applyBorder="1" applyAlignment="1">
      <alignment horizontal="center" vertical="center"/>
    </xf>
    <xf numFmtId="0" fontId="7" fillId="0" borderId="112" xfId="9" applyFont="1" applyBorder="1" applyAlignment="1">
      <alignment horizontal="center" vertical="center"/>
    </xf>
    <xf numFmtId="0" fontId="78" fillId="4" borderId="111" xfId="9" applyFont="1" applyFill="1" applyBorder="1" applyAlignment="1">
      <alignment horizontal="right" vertical="center"/>
    </xf>
    <xf numFmtId="0" fontId="7" fillId="0" borderId="3" xfId="0" applyFont="1" applyBorder="1" applyAlignment="1">
      <alignment horizontal="center" vertical="center"/>
    </xf>
    <xf numFmtId="0" fontId="8" fillId="4" borderId="147" xfId="9" applyFont="1" applyFill="1" applyBorder="1" applyAlignment="1">
      <alignment horizontal="right" vertical="center"/>
    </xf>
    <xf numFmtId="0" fontId="11" fillId="2" borderId="4" xfId="0" applyFont="1" applyFill="1" applyBorder="1" applyAlignment="1">
      <alignment horizontal="right" vertical="center"/>
    </xf>
    <xf numFmtId="0" fontId="7" fillId="0" borderId="112" xfId="9" quotePrefix="1" applyFont="1" applyBorder="1" applyAlignment="1">
      <alignment horizontal="center" vertical="center"/>
    </xf>
    <xf numFmtId="1" fontId="7" fillId="0" borderId="12" xfId="9" applyNumberFormat="1" applyFont="1" applyBorder="1" applyAlignment="1">
      <alignment horizontal="center" vertical="center"/>
    </xf>
    <xf numFmtId="0" fontId="11" fillId="4" borderId="147" xfId="9" applyFont="1" applyFill="1" applyBorder="1" applyAlignment="1">
      <alignment horizontal="right" vertical="center"/>
    </xf>
    <xf numFmtId="0" fontId="7" fillId="0" borderId="7" xfId="0" applyFont="1" applyBorder="1" applyAlignment="1">
      <alignment horizontal="center" vertical="center"/>
    </xf>
    <xf numFmtId="1" fontId="7" fillId="0" borderId="6" xfId="9" applyNumberFormat="1" applyFont="1" applyBorder="1" applyAlignment="1">
      <alignment horizontal="center" vertical="center"/>
    </xf>
    <xf numFmtId="0" fontId="8" fillId="4" borderId="165" xfId="9" applyFont="1" applyFill="1" applyBorder="1" applyAlignment="1">
      <alignment horizontal="right"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9" xfId="0" applyFont="1" applyBorder="1" applyAlignment="1">
      <alignment horizontal="centerContinuous" vertical="center"/>
    </xf>
    <xf numFmtId="0" fontId="82" fillId="0" borderId="9" xfId="0" applyFont="1" applyBorder="1" applyAlignment="1">
      <alignment horizontal="centerContinuous" vertical="center"/>
    </xf>
    <xf numFmtId="0" fontId="6" fillId="0" borderId="8" xfId="0" applyFont="1" applyBorder="1" applyAlignment="1">
      <alignment horizontal="right" vertical="center"/>
    </xf>
    <xf numFmtId="49" fontId="7" fillId="0" borderId="2" xfId="0" quotePrefix="1" applyNumberFormat="1" applyFont="1" applyBorder="1" applyAlignment="1">
      <alignment horizontal="center" vertical="center"/>
    </xf>
    <xf numFmtId="0" fontId="82" fillId="0" borderId="0" xfId="0" applyFont="1" applyAlignment="1">
      <alignment horizontal="centerContinuous" vertical="center"/>
    </xf>
    <xf numFmtId="0" fontId="80" fillId="2" borderId="161" xfId="0" applyFont="1" applyFill="1" applyBorder="1" applyAlignment="1">
      <alignment horizontal="right" vertical="center"/>
    </xf>
    <xf numFmtId="0" fontId="4" fillId="2" borderId="162" xfId="0" applyFont="1" applyFill="1" applyBorder="1" applyAlignment="1">
      <alignment horizontal="centerContinuous" vertical="center"/>
    </xf>
    <xf numFmtId="0" fontId="2" fillId="2" borderId="162" xfId="0" applyFont="1" applyFill="1" applyBorder="1" applyAlignment="1">
      <alignment horizontal="left" vertical="center"/>
    </xf>
    <xf numFmtId="0" fontId="83" fillId="2" borderId="162" xfId="0" applyFont="1" applyFill="1" applyBorder="1" applyAlignment="1">
      <alignment horizontal="centerContinuous" vertical="center"/>
    </xf>
    <xf numFmtId="0" fontId="20" fillId="2" borderId="162" xfId="0" applyFont="1" applyFill="1" applyBorder="1" applyAlignment="1">
      <alignment horizontal="left" vertical="center"/>
    </xf>
    <xf numFmtId="0" fontId="84" fillId="2" borderId="163" xfId="0" applyFont="1" applyFill="1" applyBorder="1" applyAlignment="1">
      <alignment horizontal="right" vertical="center"/>
    </xf>
    <xf numFmtId="0" fontId="7" fillId="0" borderId="75" xfId="9" quotePrefix="1" applyFont="1" applyBorder="1" applyAlignment="1">
      <alignment horizontal="center" vertical="center"/>
    </xf>
    <xf numFmtId="1" fontId="6" fillId="13" borderId="69" xfId="9" applyNumberFormat="1" applyFont="1" applyFill="1" applyBorder="1" applyAlignment="1">
      <alignment horizontal="center" vertical="center"/>
    </xf>
    <xf numFmtId="9" fontId="7" fillId="0" borderId="13" xfId="2" applyFont="1" applyBorder="1" applyAlignment="1">
      <alignment horizontal="center" shrinkToFit="1"/>
    </xf>
    <xf numFmtId="0" fontId="7" fillId="0" borderId="25" xfId="5" applyFont="1" applyBorder="1" applyAlignment="1">
      <alignment horizontal="center" vertical="center" shrinkToFit="1"/>
    </xf>
    <xf numFmtId="9" fontId="7" fillId="0" borderId="57" xfId="2" applyFont="1" applyFill="1" applyBorder="1" applyAlignment="1">
      <alignment horizontal="center" vertical="center" shrinkToFit="1"/>
    </xf>
    <xf numFmtId="9" fontId="7" fillId="0" borderId="44" xfId="2" applyFont="1" applyFill="1" applyBorder="1" applyAlignment="1">
      <alignment horizontal="center" shrinkToFit="1"/>
    </xf>
    <xf numFmtId="9" fontId="7" fillId="0" borderId="15" xfId="2" applyFont="1" applyFill="1" applyBorder="1" applyAlignment="1">
      <alignment horizontal="center" vertical="center" shrinkToFit="1"/>
    </xf>
    <xf numFmtId="0" fontId="7" fillId="0" borderId="51" xfId="2" applyNumberFormat="1" applyFont="1" applyBorder="1" applyAlignment="1">
      <alignment horizontal="center" shrinkToFit="1"/>
    </xf>
    <xf numFmtId="0" fontId="7" fillId="0" borderId="15" xfId="5" applyFont="1" applyBorder="1" applyAlignment="1">
      <alignment horizontal="center" vertical="center" shrinkToFit="1"/>
    </xf>
    <xf numFmtId="0" fontId="7" fillId="0" borderId="45" xfId="2" applyNumberFormat="1" applyFont="1" applyFill="1" applyBorder="1" applyAlignment="1">
      <alignment horizontal="center" shrinkToFit="1"/>
    </xf>
    <xf numFmtId="0" fontId="2" fillId="0" borderId="166" xfId="0" applyFont="1" applyBorder="1" applyAlignment="1">
      <alignment horizontal="center" vertical="center" shrinkToFit="1"/>
    </xf>
    <xf numFmtId="0" fontId="2" fillId="0" borderId="167" xfId="0" applyFont="1" applyBorder="1" applyAlignment="1">
      <alignment horizontal="center" vertical="center" shrinkToFit="1"/>
    </xf>
    <xf numFmtId="0" fontId="2" fillId="0" borderId="168" xfId="0" applyFont="1" applyBorder="1" applyAlignment="1">
      <alignment horizontal="left" vertical="center"/>
    </xf>
    <xf numFmtId="0" fontId="2" fillId="0" borderId="170" xfId="0" applyFont="1" applyBorder="1" applyAlignment="1">
      <alignment horizontal="center" vertical="center" shrinkToFit="1"/>
    </xf>
    <xf numFmtId="1" fontId="2" fillId="0" borderId="168" xfId="0" applyNumberFormat="1" applyFont="1" applyBorder="1" applyAlignment="1">
      <alignment horizontal="center" vertical="center" shrinkToFit="1"/>
    </xf>
    <xf numFmtId="164" fontId="2" fillId="0" borderId="168" xfId="0" applyNumberFormat="1" applyFont="1" applyBorder="1" applyAlignment="1">
      <alignment horizontal="center" vertical="center" shrinkToFit="1"/>
    </xf>
    <xf numFmtId="0" fontId="2" fillId="0" borderId="171" xfId="0" applyFont="1" applyBorder="1" applyAlignment="1">
      <alignment horizontal="left" vertical="center"/>
    </xf>
    <xf numFmtId="0" fontId="2" fillId="0" borderId="169" xfId="0" applyFont="1" applyBorder="1" applyAlignment="1">
      <alignment horizontal="left" vertical="center" shrinkToFit="1"/>
    </xf>
    <xf numFmtId="1" fontId="2" fillId="0" borderId="113" xfId="0" applyNumberFormat="1" applyFont="1" applyBorder="1" applyAlignment="1">
      <alignment horizontal="center" vertical="center" shrinkToFit="1"/>
    </xf>
    <xf numFmtId="49" fontId="7" fillId="0" borderId="24" xfId="0" applyNumberFormat="1" applyFont="1" applyBorder="1" applyAlignment="1">
      <alignment horizontal="centerContinuous" vertical="center"/>
    </xf>
    <xf numFmtId="0" fontId="2" fillId="0" borderId="99" xfId="0" applyFont="1" applyBorder="1" applyAlignment="1">
      <alignment horizontal="centerContinuous" vertical="center"/>
    </xf>
    <xf numFmtId="0" fontId="26" fillId="0" borderId="15" xfId="0" applyFont="1" applyBorder="1" applyAlignment="1">
      <alignment horizontal="center" vertical="center"/>
    </xf>
    <xf numFmtId="0" fontId="67" fillId="0" borderId="137" xfId="0" applyFont="1" applyBorder="1" applyAlignment="1">
      <alignment horizontal="center"/>
    </xf>
    <xf numFmtId="0" fontId="67" fillId="0" borderId="65" xfId="0" applyFont="1" applyBorder="1" applyAlignment="1">
      <alignment horizontal="center"/>
    </xf>
    <xf numFmtId="0" fontId="2" fillId="0" borderId="153" xfId="0" applyFont="1" applyBorder="1" applyAlignment="1">
      <alignment horizontal="center"/>
    </xf>
    <xf numFmtId="0" fontId="2" fillId="0" borderId="120" xfId="0" applyFont="1" applyBorder="1" applyAlignment="1">
      <alignment horizontal="center"/>
    </xf>
    <xf numFmtId="164" fontId="5" fillId="0" borderId="168" xfId="0" applyNumberFormat="1" applyFont="1" applyBorder="1" applyAlignment="1">
      <alignment horizontal="center" vertical="center" shrinkToFit="1"/>
    </xf>
    <xf numFmtId="1" fontId="2" fillId="11" borderId="75" xfId="0" applyNumberFormat="1" applyFont="1" applyFill="1" applyBorder="1" applyAlignment="1">
      <alignment horizontal="center" vertical="center"/>
    </xf>
    <xf numFmtId="0" fontId="6" fillId="14" borderId="28" xfId="0" applyFont="1" applyFill="1" applyBorder="1" applyAlignment="1">
      <alignment horizontal="center" vertical="center"/>
    </xf>
    <xf numFmtId="0" fontId="2" fillId="0" borderId="172" xfId="0" applyFont="1" applyBorder="1" applyAlignment="1">
      <alignment horizontal="center" vertical="center" shrinkToFit="1"/>
    </xf>
    <xf numFmtId="0" fontId="2" fillId="0" borderId="173" xfId="0" applyFont="1" applyBorder="1" applyAlignment="1">
      <alignment horizontal="center" vertical="center"/>
    </xf>
    <xf numFmtId="0" fontId="2" fillId="0" borderId="173" xfId="0" quotePrefix="1" applyFont="1" applyBorder="1" applyAlignment="1">
      <alignment horizontal="center" vertical="center"/>
    </xf>
    <xf numFmtId="9" fontId="2" fillId="0" borderId="173" xfId="0" applyNumberFormat="1" applyFont="1" applyBorder="1" applyAlignment="1">
      <alignment horizontal="center" vertical="center"/>
    </xf>
    <xf numFmtId="49" fontId="2" fillId="0" borderId="173" xfId="0" quotePrefix="1" applyNumberFormat="1" applyFont="1" applyBorder="1" applyAlignment="1">
      <alignment horizontal="center" vertical="center"/>
    </xf>
    <xf numFmtId="164" fontId="2" fillId="0" borderId="173" xfId="0" applyNumberFormat="1" applyFont="1" applyBorder="1" applyAlignment="1">
      <alignment horizontal="center" vertical="center"/>
    </xf>
    <xf numFmtId="164" fontId="2" fillId="0" borderId="174" xfId="0" applyNumberFormat="1" applyFont="1" applyBorder="1" applyAlignment="1">
      <alignment horizontal="centerContinuous" vertical="center"/>
    </xf>
    <xf numFmtId="164" fontId="2" fillId="0" borderId="175" xfId="0" applyNumberFormat="1" applyFont="1" applyBorder="1" applyAlignment="1">
      <alignment horizontal="centerContinuous" vertical="center"/>
    </xf>
    <xf numFmtId="0" fontId="5" fillId="0" borderId="176" xfId="0" quotePrefix="1" applyFont="1" applyBorder="1" applyAlignment="1">
      <alignment horizontal="centerContinuous" vertical="center"/>
    </xf>
    <xf numFmtId="1" fontId="2" fillId="0" borderId="113" xfId="0" applyNumberFormat="1" applyFont="1" applyBorder="1" applyAlignment="1">
      <alignment horizontal="center" vertical="center"/>
    </xf>
    <xf numFmtId="0" fontId="2" fillId="15" borderId="55" xfId="0" applyFont="1" applyFill="1" applyBorder="1" applyAlignment="1">
      <alignment horizontal="center" vertical="center" shrinkToFit="1"/>
    </xf>
    <xf numFmtId="0" fontId="2" fillId="15" borderId="38" xfId="0" applyFont="1" applyFill="1" applyBorder="1" applyAlignment="1">
      <alignment horizontal="center" vertical="center" shrinkToFit="1"/>
    </xf>
    <xf numFmtId="164" fontId="2" fillId="15" borderId="38" xfId="0" applyNumberFormat="1" applyFont="1" applyFill="1" applyBorder="1" applyAlignment="1">
      <alignment horizontal="center" vertical="center" shrinkToFit="1"/>
    </xf>
    <xf numFmtId="0" fontId="2" fillId="15" borderId="38" xfId="0" applyFont="1" applyFill="1" applyBorder="1" applyAlignment="1">
      <alignment horizontal="left" vertical="center"/>
    </xf>
    <xf numFmtId="0" fontId="2" fillId="15" borderId="39" xfId="0" applyFont="1" applyFill="1" applyBorder="1" applyAlignment="1">
      <alignment horizontal="left" vertical="center" shrinkToFit="1"/>
    </xf>
    <xf numFmtId="1" fontId="2" fillId="15" borderId="74" xfId="0" applyNumberFormat="1" applyFont="1" applyFill="1" applyBorder="1" applyAlignment="1">
      <alignment horizontal="center" vertical="center" shrinkToFit="1"/>
    </xf>
    <xf numFmtId="0" fontId="2" fillId="15" borderId="147" xfId="0" applyFont="1" applyFill="1" applyBorder="1" applyAlignment="1">
      <alignment horizontal="center" vertical="center" shrinkToFit="1"/>
    </xf>
    <xf numFmtId="1" fontId="2" fillId="15" borderId="38" xfId="0" applyNumberFormat="1" applyFont="1" applyFill="1" applyBorder="1" applyAlignment="1">
      <alignment horizontal="center" vertical="center" shrinkToFit="1"/>
    </xf>
    <xf numFmtId="0" fontId="2" fillId="0" borderId="168" xfId="0" applyFont="1" applyBorder="1" applyAlignment="1">
      <alignment horizontal="center" vertical="center" shrinkToFit="1"/>
    </xf>
    <xf numFmtId="0" fontId="2" fillId="15" borderId="148" xfId="0" applyFont="1" applyFill="1" applyBorder="1" applyAlignment="1">
      <alignment horizontal="left" vertical="center"/>
    </xf>
    <xf numFmtId="0" fontId="7" fillId="0" borderId="68" xfId="0" applyFont="1" applyBorder="1" applyAlignment="1">
      <alignment horizontal="centerContinuous" vertical="center"/>
    </xf>
    <xf numFmtId="0" fontId="2" fillId="0" borderId="70" xfId="0" applyFont="1" applyBorder="1" applyAlignment="1">
      <alignment horizontal="centerContinuous" vertical="center"/>
    </xf>
    <xf numFmtId="0" fontId="2" fillId="0" borderId="155" xfId="0" applyFont="1" applyBorder="1" applyAlignment="1">
      <alignment horizontal="center" vertical="center"/>
    </xf>
    <xf numFmtId="0" fontId="2" fillId="0" borderId="104" xfId="0" quotePrefix="1" applyFont="1" applyBorder="1" applyAlignment="1">
      <alignment horizontal="center" vertical="center" wrapText="1"/>
    </xf>
    <xf numFmtId="0" fontId="2" fillId="0" borderId="104" xfId="0" applyFont="1" applyBorder="1" applyAlignment="1">
      <alignment horizontal="center" vertical="center" shrinkToFit="1"/>
    </xf>
    <xf numFmtId="164" fontId="2" fillId="0" borderId="104" xfId="0" applyNumberFormat="1" applyFont="1" applyBorder="1" applyAlignment="1">
      <alignment horizontal="center" vertical="center"/>
    </xf>
    <xf numFmtId="0" fontId="2" fillId="0" borderId="156" xfId="0" quotePrefix="1" applyFont="1" applyBorder="1" applyAlignment="1">
      <alignment horizontal="center" vertical="center"/>
    </xf>
    <xf numFmtId="49" fontId="2" fillId="0" borderId="104" xfId="2" applyNumberFormat="1" applyFont="1" applyFill="1" applyBorder="1" applyAlignment="1">
      <alignment horizontal="center" vertical="center"/>
    </xf>
    <xf numFmtId="0" fontId="2" fillId="0" borderId="178" xfId="0" applyFont="1" applyBorder="1" applyAlignment="1">
      <alignment horizontal="center" vertical="center"/>
    </xf>
    <xf numFmtId="0" fontId="2" fillId="0" borderId="179" xfId="0" applyFont="1" applyBorder="1" applyAlignment="1">
      <alignment horizontal="center" vertical="center"/>
    </xf>
    <xf numFmtId="0" fontId="2" fillId="0" borderId="179" xfId="0" quotePrefix="1" applyFont="1" applyBorder="1" applyAlignment="1">
      <alignment horizontal="center" vertical="center" wrapText="1"/>
    </xf>
    <xf numFmtId="49" fontId="2" fillId="0" borderId="179" xfId="2" applyNumberFormat="1" applyFont="1" applyFill="1" applyBorder="1" applyAlignment="1">
      <alignment horizontal="center" vertical="center"/>
    </xf>
    <xf numFmtId="0" fontId="2" fillId="0" borderId="179" xfId="0" applyFont="1" applyBorder="1" applyAlignment="1">
      <alignment horizontal="center" vertical="center" shrinkToFit="1"/>
    </xf>
    <xf numFmtId="164" fontId="2" fillId="0" borderId="179" xfId="0" applyNumberFormat="1" applyFont="1" applyBorder="1" applyAlignment="1">
      <alignment horizontal="center" vertical="center"/>
    </xf>
    <xf numFmtId="1" fontId="5" fillId="0" borderId="180" xfId="0" applyNumberFormat="1" applyFont="1" applyBorder="1" applyAlignment="1">
      <alignment horizontal="center" vertical="center"/>
    </xf>
    <xf numFmtId="1" fontId="46" fillId="11" borderId="180" xfId="0" applyNumberFormat="1" applyFont="1" applyFill="1" applyBorder="1" applyAlignment="1">
      <alignment horizontal="center" vertical="center"/>
    </xf>
    <xf numFmtId="1" fontId="2" fillId="0" borderId="180" xfId="0" applyNumberFormat="1" applyFont="1" applyBorder="1" applyAlignment="1">
      <alignment horizontal="center" vertical="center"/>
    </xf>
    <xf numFmtId="0" fontId="2" fillId="0" borderId="181" xfId="0" quotePrefix="1" applyFont="1" applyBorder="1" applyAlignment="1">
      <alignment horizontal="center" vertical="center"/>
    </xf>
    <xf numFmtId="0" fontId="2" fillId="0" borderId="16" xfId="0" applyFont="1" applyBorder="1" applyAlignment="1">
      <alignment horizontal="center" vertical="center"/>
    </xf>
    <xf numFmtId="0" fontId="2" fillId="0" borderId="44" xfId="0" applyFont="1" applyBorder="1" applyAlignment="1">
      <alignment horizontal="center" vertical="center"/>
    </xf>
    <xf numFmtId="0" fontId="5" fillId="0" borderId="44" xfId="0" quotePrefix="1" applyFont="1" applyBorder="1" applyAlignment="1">
      <alignment horizontal="center" vertical="center" wrapText="1"/>
    </xf>
    <xf numFmtId="49" fontId="2" fillId="0" borderId="44" xfId="2" applyNumberFormat="1" applyFont="1" applyFill="1" applyBorder="1" applyAlignment="1">
      <alignment horizontal="center" vertical="center"/>
    </xf>
    <xf numFmtId="0" fontId="2" fillId="0" borderId="44" xfId="0" applyFont="1" applyBorder="1" applyAlignment="1">
      <alignment horizontal="center" vertical="center" shrinkToFit="1"/>
    </xf>
    <xf numFmtId="164" fontId="2" fillId="0" borderId="44" xfId="0" applyNumberFormat="1" applyFont="1" applyBorder="1" applyAlignment="1">
      <alignment horizontal="center" vertical="center"/>
    </xf>
    <xf numFmtId="1" fontId="5" fillId="0" borderId="45" xfId="0" applyNumberFormat="1" applyFont="1" applyBorder="1" applyAlignment="1">
      <alignment horizontal="center" vertical="center"/>
    </xf>
    <xf numFmtId="1" fontId="46" fillId="11" borderId="45" xfId="0" applyNumberFormat="1" applyFont="1" applyFill="1" applyBorder="1" applyAlignment="1">
      <alignment horizontal="center" vertical="center"/>
    </xf>
    <xf numFmtId="1" fontId="2" fillId="0" borderId="45" xfId="0" applyNumberFormat="1" applyFont="1" applyBorder="1" applyAlignment="1">
      <alignment horizontal="center" vertical="center"/>
    </xf>
    <xf numFmtId="0" fontId="2" fillId="0" borderId="33" xfId="0" quotePrefix="1" applyFont="1" applyBorder="1" applyAlignment="1">
      <alignment horizontal="center" vertical="center"/>
    </xf>
    <xf numFmtId="49" fontId="2" fillId="0" borderId="44" xfId="0" applyNumberFormat="1" applyFont="1" applyBorder="1" applyAlignment="1">
      <alignment horizontal="center" vertical="center"/>
    </xf>
    <xf numFmtId="1" fontId="46" fillId="11" borderId="44" xfId="0" applyNumberFormat="1" applyFont="1" applyFill="1" applyBorder="1" applyAlignment="1">
      <alignment horizontal="center" vertical="center"/>
    </xf>
    <xf numFmtId="0" fontId="2" fillId="0" borderId="33" xfId="0" applyFont="1" applyBorder="1" applyAlignment="1">
      <alignment horizontal="center" vertical="center"/>
    </xf>
    <xf numFmtId="1" fontId="46" fillId="11" borderId="179" xfId="0" applyNumberFormat="1" applyFont="1" applyFill="1" applyBorder="1" applyAlignment="1">
      <alignment horizontal="center" vertical="center"/>
    </xf>
    <xf numFmtId="1" fontId="46" fillId="11" borderId="104" xfId="0" applyNumberFormat="1" applyFont="1" applyFill="1" applyBorder="1" applyAlignment="1">
      <alignment horizontal="center" vertical="center"/>
    </xf>
    <xf numFmtId="1" fontId="2" fillId="0" borderId="177" xfId="0" applyNumberFormat="1" applyFont="1" applyBorder="1" applyAlignment="1">
      <alignment horizontal="center" vertical="center"/>
    </xf>
    <xf numFmtId="1" fontId="2" fillId="8" borderId="54" xfId="0" applyNumberFormat="1" applyFont="1" applyFill="1" applyBorder="1" applyAlignment="1">
      <alignment horizontal="center" vertical="center"/>
    </xf>
    <xf numFmtId="1" fontId="2" fillId="0" borderId="54" xfId="0" applyNumberFormat="1" applyFont="1" applyBorder="1" applyAlignment="1">
      <alignment horizontal="center" vertical="center"/>
    </xf>
    <xf numFmtId="0" fontId="77" fillId="0" borderId="53" xfId="0" applyFont="1" applyBorder="1" applyAlignment="1">
      <alignment horizontal="centerContinuous" vertical="center"/>
    </xf>
    <xf numFmtId="0" fontId="77" fillId="0" borderId="34" xfId="0" applyFont="1" applyBorder="1" applyAlignment="1">
      <alignment horizontal="center" shrinkToFit="1"/>
    </xf>
    <xf numFmtId="0" fontId="77" fillId="0" borderId="46" xfId="0" quotePrefix="1" applyFont="1" applyBorder="1" applyAlignment="1">
      <alignment horizontal="centerContinuous" vertical="center"/>
    </xf>
    <xf numFmtId="1" fontId="2" fillId="11" borderId="104" xfId="0" applyNumberFormat="1" applyFont="1" applyFill="1" applyBorder="1" applyAlignment="1">
      <alignment horizontal="center" vertical="center"/>
    </xf>
    <xf numFmtId="1" fontId="85" fillId="16" borderId="28" xfId="0" applyNumberFormat="1" applyFont="1" applyFill="1" applyBorder="1" applyAlignment="1">
      <alignment horizontal="center" vertical="center"/>
    </xf>
    <xf numFmtId="165" fontId="5" fillId="0" borderId="0" xfId="0" applyNumberFormat="1" applyFont="1" applyAlignment="1">
      <alignment vertical="center"/>
    </xf>
    <xf numFmtId="0" fontId="2" fillId="17" borderId="168" xfId="0" quotePrefix="1" applyFont="1" applyFill="1" applyBorder="1" applyAlignment="1">
      <alignment horizontal="center" vertical="center"/>
    </xf>
    <xf numFmtId="0" fontId="2" fillId="0" borderId="168" xfId="0" quotePrefix="1" applyFont="1" applyBorder="1" applyAlignment="1">
      <alignment horizontal="center" vertical="center"/>
    </xf>
    <xf numFmtId="0" fontId="2" fillId="0" borderId="168" xfId="0" applyFont="1" applyBorder="1" applyAlignment="1">
      <alignment horizontal="center" vertical="center"/>
    </xf>
    <xf numFmtId="9" fontId="2" fillId="15" borderId="182" xfId="0" applyNumberFormat="1" applyFont="1" applyFill="1" applyBorder="1" applyAlignment="1">
      <alignment horizontal="center" vertical="center"/>
    </xf>
    <xf numFmtId="164" fontId="2" fillId="0" borderId="168" xfId="0" applyNumberFormat="1" applyFont="1" applyBorder="1" applyAlignment="1">
      <alignment horizontal="center" vertical="center"/>
    </xf>
    <xf numFmtId="164" fontId="2" fillId="0" borderId="171" xfId="0" applyNumberFormat="1" applyFont="1" applyBorder="1" applyAlignment="1">
      <alignment horizontal="centerContinuous" vertical="center"/>
    </xf>
    <xf numFmtId="0" fontId="2" fillId="0" borderId="176" xfId="0" applyFont="1" applyBorder="1" applyAlignment="1">
      <alignment horizontal="centerContinuous" vertical="center"/>
    </xf>
    <xf numFmtId="0" fontId="86" fillId="2" borderId="4" xfId="0" applyFont="1" applyFill="1" applyBorder="1" applyAlignment="1">
      <alignment horizontal="right" vertical="center"/>
    </xf>
    <xf numFmtId="0" fontId="7" fillId="6" borderId="26" xfId="0" applyFont="1" applyFill="1" applyBorder="1" applyAlignment="1">
      <alignment horizontal="center" vertical="center"/>
    </xf>
    <xf numFmtId="0" fontId="87" fillId="18" borderId="78" xfId="0" quotePrefix="1" applyFont="1" applyFill="1" applyBorder="1" applyAlignment="1">
      <alignment horizontal="center" vertical="center" wrapText="1"/>
    </xf>
    <xf numFmtId="0" fontId="87" fillId="18" borderId="179" xfId="0" quotePrefix="1" applyFont="1" applyFill="1" applyBorder="1" applyAlignment="1">
      <alignment horizontal="center" vertical="center" wrapText="1"/>
    </xf>
    <xf numFmtId="0" fontId="87" fillId="18" borderId="104" xfId="0" quotePrefix="1" applyFont="1" applyFill="1" applyBorder="1" applyAlignment="1">
      <alignment horizontal="center" vertical="center" wrapText="1"/>
    </xf>
    <xf numFmtId="0" fontId="87" fillId="18" borderId="44" xfId="0" quotePrefix="1" applyFont="1" applyFill="1" applyBorder="1" applyAlignment="1">
      <alignment horizontal="center" vertical="center" wrapText="1"/>
    </xf>
    <xf numFmtId="0" fontId="87" fillId="18" borderId="104" xfId="2" applyNumberFormat="1" applyFont="1" applyFill="1" applyBorder="1" applyAlignment="1">
      <alignment horizontal="center" vertical="center"/>
    </xf>
    <xf numFmtId="0" fontId="87" fillId="18" borderId="179" xfId="2" applyNumberFormat="1" applyFont="1" applyFill="1" applyBorder="1" applyAlignment="1">
      <alignment horizontal="center" vertical="center"/>
    </xf>
    <xf numFmtId="0" fontId="87" fillId="18" borderId="44" xfId="0" applyFont="1" applyFill="1" applyBorder="1" applyAlignment="1">
      <alignment horizontal="center" vertical="center"/>
    </xf>
    <xf numFmtId="0" fontId="87" fillId="18" borderId="78" xfId="2" applyNumberFormat="1" applyFont="1" applyFill="1" applyBorder="1" applyAlignment="1">
      <alignment horizontal="center" vertical="center"/>
    </xf>
    <xf numFmtId="1" fontId="7" fillId="0" borderId="28" xfId="0" applyNumberFormat="1" applyFont="1" applyBorder="1" applyAlignment="1">
      <alignment horizontal="center" vertical="center"/>
    </xf>
    <xf numFmtId="9" fontId="7" fillId="0" borderId="57" xfId="2" applyFont="1" applyFill="1" applyBorder="1" applyAlignment="1">
      <alignment horizontal="center" shrinkToFit="1"/>
    </xf>
    <xf numFmtId="9" fontId="7" fillId="0" borderId="15" xfId="2" applyFont="1" applyFill="1" applyBorder="1" applyAlignment="1">
      <alignment horizontal="center" shrinkToFit="1"/>
    </xf>
    <xf numFmtId="0" fontId="7" fillId="0" borderId="15" xfId="2" applyNumberFormat="1" applyFont="1" applyFill="1" applyBorder="1" applyAlignment="1">
      <alignment horizontal="center" shrinkToFit="1"/>
    </xf>
    <xf numFmtId="0" fontId="63" fillId="0" borderId="183" xfId="5" applyFont="1" applyBorder="1" applyAlignment="1">
      <alignment horizontal="center" shrinkToFit="1"/>
    </xf>
    <xf numFmtId="0" fontId="7" fillId="0" borderId="160" xfId="5" applyFont="1" applyBorder="1" applyAlignment="1">
      <alignment horizontal="center"/>
    </xf>
    <xf numFmtId="9" fontId="7" fillId="0" borderId="160" xfId="2" applyFont="1" applyFill="1" applyBorder="1" applyAlignment="1">
      <alignment horizontal="center" shrinkToFit="1"/>
    </xf>
    <xf numFmtId="9" fontId="7" fillId="0" borderId="3" xfId="2" applyFont="1" applyFill="1" applyBorder="1" applyAlignment="1">
      <alignment horizontal="center" shrinkToFit="1"/>
    </xf>
    <xf numFmtId="0" fontId="7" fillId="0" borderId="3" xfId="2" applyNumberFormat="1" applyFont="1" applyFill="1" applyBorder="1" applyAlignment="1">
      <alignment horizontal="center" shrinkToFit="1"/>
    </xf>
    <xf numFmtId="0" fontId="7" fillId="0" borderId="3" xfId="2" applyNumberFormat="1" applyFont="1" applyFill="1" applyBorder="1" applyAlignment="1">
      <alignment horizontal="center" vertical="center" shrinkToFit="1"/>
    </xf>
    <xf numFmtId="0" fontId="7" fillId="0" borderId="184" xfId="5" applyFont="1" applyBorder="1" applyAlignment="1">
      <alignment horizontal="center" vertical="center"/>
    </xf>
    <xf numFmtId="0" fontId="7" fillId="0" borderId="26" xfId="0" applyNumberFormat="1" applyFont="1" applyBorder="1" applyAlignment="1">
      <alignment horizontal="center" vertical="center"/>
    </xf>
  </cellXfs>
  <cellStyles count="12">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2 3" xfId="11" xr:uid="{00000000-0005-0000-0000-000005000000}"/>
    <cellStyle name="Normal 3" xfId="8" xr:uid="{00000000-0005-0000-0000-000006000000}"/>
    <cellStyle name="Normal 4" xfId="9" xr:uid="{00000000-0005-0000-0000-000007000000}"/>
    <cellStyle name="Normal 5" xfId="7" xr:uid="{00000000-0005-0000-0000-000008000000}"/>
    <cellStyle name="Percent" xfId="2" builtinId="5"/>
    <cellStyle name="Percent 2" xfId="3" xr:uid="{00000000-0005-0000-0000-00000A000000}"/>
    <cellStyle name="Percent 2 2" xfId="10" xr:uid="{00000000-0005-0000-0000-00000B000000}"/>
  </cellStyles>
  <dxfs count="12">
    <dxf>
      <font>
        <b/>
        <i val="0"/>
        <condense val="0"/>
        <extend val="0"/>
      </font>
      <fill>
        <patternFill>
          <bgColor indexed="51"/>
        </patternFill>
      </fill>
    </dxf>
    <dxf>
      <font>
        <b/>
        <i val="0"/>
        <condense val="0"/>
        <extend val="0"/>
      </font>
      <fill>
        <patternFill>
          <bgColor indexed="11"/>
        </patternFill>
      </fill>
    </dxf>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CC00FF"/>
      <color rgb="FF00FF00"/>
      <color rgb="FF6600CC"/>
      <color rgb="FF6600FF"/>
      <color rgb="FF0000FF"/>
      <color rgb="FF009900"/>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5</xdr:col>
      <xdr:colOff>60960</xdr:colOff>
      <xdr:row>17</xdr:row>
      <xdr:rowOff>1904</xdr:rowOff>
    </xdr:from>
    <xdr:to>
      <xdr:col>6</xdr:col>
      <xdr:colOff>982980</xdr:colOff>
      <xdr:row>18</xdr:row>
      <xdr:rowOff>243840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305300" y="3613784"/>
          <a:ext cx="1965960" cy="462916"/>
        </a:xfrm>
        <a:prstGeom prst="rect">
          <a:avLst/>
        </a:prstGeom>
        <a:solidFill>
          <a:srgbClr xmlns:mc="http://schemas.openxmlformats.org/markup-compatibility/2006" xmlns:a14="http://schemas.microsoft.com/office/drawing/2010/main" val="CCFFFF" mc:Ignorable="a14" a14:legacySpreadsheetColorIndex="41">
            <a:alpha val="64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l" rtl="0"/>
          <a:r>
            <a:rPr lang="en-US" sz="1200" b="1" i="0" baseline="0">
              <a:effectLst/>
              <a:latin typeface="Times New Roman" panose="02020603050405020304" pitchFamily="18" charset="0"/>
              <a:ea typeface="+mn-ea"/>
              <a:cs typeface="Times New Roman" panose="02020603050405020304" pitchFamily="18" charset="0"/>
            </a:rPr>
            <a:t>Current Effects:</a:t>
          </a:r>
          <a:endParaRPr lang="en-US" sz="1200" b="0" i="1" baseline="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19050</xdr:colOff>
      <xdr:row>19</xdr:row>
      <xdr:rowOff>51434</xdr:rowOff>
    </xdr:from>
    <xdr:to>
      <xdr:col>6</xdr:col>
      <xdr:colOff>1017270</xdr:colOff>
      <xdr:row>43</xdr:row>
      <xdr:rowOff>190499</xdr:rowOff>
    </xdr:to>
    <xdr:sp macro="" textlink="">
      <xdr:nvSpPr>
        <xdr:cNvPr id="5" name="Text 6">
          <a:extLst>
            <a:ext uri="{FF2B5EF4-FFF2-40B4-BE49-F238E27FC236}">
              <a16:creationId xmlns:a16="http://schemas.microsoft.com/office/drawing/2014/main" id="{A1E6F62E-C980-4693-83FE-BA392389D585}"/>
            </a:ext>
          </a:extLst>
        </xdr:cNvPr>
        <xdr:cNvSpPr txBox="1">
          <a:spLocks noChangeArrowheads="1"/>
        </xdr:cNvSpPr>
      </xdr:nvSpPr>
      <xdr:spPr bwMode="auto">
        <a:xfrm>
          <a:off x="19050" y="4189094"/>
          <a:ext cx="6286500" cy="52673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Medium brown skin, green pixie cut hair, blue eyes, curvy, considered tall for a gnome.</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Saradette is Tassaran, from Tasseldale, the tassel (or town) of Tasselheart, located in the Dalelands near Sembria. Gnomes are a tiny minority among the mostly human Dalelanders, but they are well respected as craftsmen. Saradette's parents were gemcutters, supplying other craftsman in Tasseldale with superior gemstones for jewelry and magical uses. Her favorite uncle was a inveterate tinkerer, and Saradette became fascinated with his avocation. Her mother, who taught her how to use weapons, pick locks, and other tradecraft, was also an investigator for the Mairshars (local constabulary). Her father taught her about metalcraft and gemcutting.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Her mother became embroiled in a case against the Zhentarim, one of the Dale's bitter enemies. Saradette knew nothing of this until one evening when she and her mother were staying in Tegal’s</a:t>
          </a:r>
          <a:r>
            <a:rPr lang="en-US" sz="1200" baseline="0">
              <a:effectLst/>
              <a:latin typeface="Times New Roman" panose="02020603050405020304" pitchFamily="18" charset="0"/>
              <a:ea typeface="+mn-ea"/>
              <a:cs typeface="Times New Roman" panose="02020603050405020304" pitchFamily="18" charset="0"/>
            </a:rPr>
            <a:t> </a:t>
          </a:r>
          <a:r>
            <a:rPr lang="en-US" sz="1200">
              <a:effectLst/>
              <a:latin typeface="Times New Roman" panose="02020603050405020304" pitchFamily="18" charset="0"/>
              <a:ea typeface="+mn-ea"/>
              <a:cs typeface="Times New Roman" panose="02020603050405020304" pitchFamily="18" charset="0"/>
            </a:rPr>
            <a:t>Mark, Tasseldale's administrative center. Her mother awakened her in the dead of night, bid her to dress, and pressed a small linen pouch into her hands. "You must flee," her mother said. "The Zhentarim and some within the Mairshars are conspiring to kill me, your father, and you. I will send for you when it is safe for you to return."</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So, Saradette fled, heading away from her home. Along the way, she bought weapons, armor, and other supplies, being careful to not display her wealth. She hasn't dared stay in one place for more than a single night since she left home.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Saradette has the optimism of the young, though it has been tempered with a deep concern for her parents. To the dismay of her family and her fellow Tassarans, Saradette believes strongly in the individual's right to choose their own path over devotion to law and order. A year ago, she became a follower of Mayaheine, as the goddess' message of helping the downtrodden and protecting the helpless appealed to her. Normally of cheerful demeanor and given to light conversation, Saradette has kept to herself in her travels, avoiding conversations and interactions with strangers.</a:t>
          </a:r>
        </a:p>
      </xdr:txBody>
    </xdr:sp>
    <xdr:clientData/>
  </xdr:twoCellAnchor>
  <xdr:twoCellAnchor editAs="oneCell">
    <xdr:from>
      <xdr:col>5</xdr:col>
      <xdr:colOff>83347</xdr:colOff>
      <xdr:row>1</xdr:row>
      <xdr:rowOff>198120</xdr:rowOff>
    </xdr:from>
    <xdr:to>
      <xdr:col>6</xdr:col>
      <xdr:colOff>1080153</xdr:colOff>
      <xdr:row>14</xdr:row>
      <xdr:rowOff>206782</xdr:rowOff>
    </xdr:to>
    <xdr:pic>
      <xdr:nvPicPr>
        <xdr:cNvPr id="3" name="Picture 2">
          <a:extLst>
            <a:ext uri="{FF2B5EF4-FFF2-40B4-BE49-F238E27FC236}">
              <a16:creationId xmlns:a16="http://schemas.microsoft.com/office/drawing/2014/main" id="{72F773AF-BDB0-4977-B897-532C2E06CDA2}"/>
            </a:ext>
          </a:extLst>
        </xdr:cNvPr>
        <xdr:cNvPicPr>
          <a:picLocks noChangeAspect="1"/>
        </xdr:cNvPicPr>
      </xdr:nvPicPr>
      <xdr:blipFill>
        <a:blip xmlns:r="http://schemas.openxmlformats.org/officeDocument/2006/relationships" r:embed="rId1"/>
        <a:stretch>
          <a:fillRect/>
        </a:stretch>
      </xdr:blipFill>
      <xdr:spPr>
        <a:xfrm>
          <a:off x="4327687" y="571500"/>
          <a:ext cx="2147426" cy="2820442"/>
        </a:xfrm>
        <a:prstGeom prst="rect">
          <a:avLst/>
        </a:prstGeom>
        <a:ln w="38100" cmpd="dbl">
          <a:solidFill>
            <a:srgbClr val="FFC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46326E9C-FC6F-41D6-95A9-6FC90734537C}"/>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281940</xdr:colOff>
      <xdr:row>14</xdr:row>
      <xdr:rowOff>114300</xdr:rowOff>
    </xdr:from>
    <xdr:to>
      <xdr:col>29</xdr:col>
      <xdr:colOff>68580</xdr:colOff>
      <xdr:row>15</xdr:row>
      <xdr:rowOff>167640</xdr:rowOff>
    </xdr:to>
    <xdr:sp macro="" textlink="">
      <xdr:nvSpPr>
        <xdr:cNvPr id="3" name="TextBox 2">
          <a:extLst>
            <a:ext uri="{FF2B5EF4-FFF2-40B4-BE49-F238E27FC236}">
              <a16:creationId xmlns:a16="http://schemas.microsoft.com/office/drawing/2014/main" id="{4291D626-6ADA-4F9F-BBAF-C8CA9EF4C5A9}"/>
            </a:ext>
          </a:extLst>
        </xdr:cNvPr>
        <xdr:cNvSpPr txBox="1"/>
      </xdr:nvSpPr>
      <xdr:spPr>
        <a:xfrm>
          <a:off x="6995160" y="3345180"/>
          <a:ext cx="6591300" cy="274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500"/>
            <a:t>3rd-level--lightning</a:t>
          </a:r>
          <a:r>
            <a:rPr lang="en-US" sz="1500" baseline="0"/>
            <a:t> bolt</a:t>
          </a:r>
          <a:endParaRPr lang="en-US" sz="1500"/>
        </a:p>
      </xdr:txBody>
    </xdr:sp>
    <xdr:clientData/>
  </xdr:twoCellAnchor>
  <xdr:twoCellAnchor editAs="oneCell">
    <xdr:from>
      <xdr:col>13</xdr:col>
      <xdr:colOff>22860</xdr:colOff>
      <xdr:row>10</xdr:row>
      <xdr:rowOff>220981</xdr:rowOff>
    </xdr:from>
    <xdr:to>
      <xdr:col>29</xdr:col>
      <xdr:colOff>1094</xdr:colOff>
      <xdr:row>14</xdr:row>
      <xdr:rowOff>76201</xdr:rowOff>
    </xdr:to>
    <xdr:pic>
      <xdr:nvPicPr>
        <xdr:cNvPr id="2" name="Picture 1">
          <a:extLst>
            <a:ext uri="{FF2B5EF4-FFF2-40B4-BE49-F238E27FC236}">
              <a16:creationId xmlns:a16="http://schemas.microsoft.com/office/drawing/2014/main" id="{C4E45BE3-539C-4D19-B6C9-7102531F0A7E}"/>
            </a:ext>
          </a:extLst>
        </xdr:cNvPr>
        <xdr:cNvPicPr>
          <a:picLocks noChangeAspect="1"/>
        </xdr:cNvPicPr>
      </xdr:nvPicPr>
      <xdr:blipFill>
        <a:blip xmlns:r="http://schemas.openxmlformats.org/officeDocument/2006/relationships" r:embed="rId1"/>
        <a:stretch>
          <a:fillRect/>
        </a:stretch>
      </xdr:blipFill>
      <xdr:spPr>
        <a:xfrm>
          <a:off x="7033260" y="2583181"/>
          <a:ext cx="6485714"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626745</xdr:colOff>
      <xdr:row>1</xdr:row>
      <xdr:rowOff>123825</xdr:rowOff>
    </xdr:from>
    <xdr:to>
      <xdr:col>3</xdr:col>
      <xdr:colOff>177165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129540</xdr:colOff>
      <xdr:row>1</xdr:row>
      <xdr:rowOff>106679</xdr:rowOff>
    </xdr:from>
    <xdr:to>
      <xdr:col>10</xdr:col>
      <xdr:colOff>594360</xdr:colOff>
      <xdr:row>23</xdr:row>
      <xdr:rowOff>37846</xdr:rowOff>
    </xdr:to>
    <xdr:pic>
      <xdr:nvPicPr>
        <xdr:cNvPr id="2" name="Picture 1">
          <a:extLst>
            <a:ext uri="{FF2B5EF4-FFF2-40B4-BE49-F238E27FC236}">
              <a16:creationId xmlns:a16="http://schemas.microsoft.com/office/drawing/2014/main" id="{F54EED5C-2A8D-4C9F-B631-C019298C7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403859"/>
          <a:ext cx="2430780" cy="4548887"/>
        </a:xfrm>
        <a:prstGeom prst="rect">
          <a:avLst/>
        </a:prstGeom>
        <a:ln w="38100" cmpd="dbl">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144781</xdr:colOff>
      <xdr:row>45</xdr:row>
      <xdr:rowOff>90763</xdr:rowOff>
    </xdr:from>
    <xdr:to>
      <xdr:col>13</xdr:col>
      <xdr:colOff>190500</xdr:colOff>
      <xdr:row>58</xdr:row>
      <xdr:rowOff>25428</xdr:rowOff>
    </xdr:to>
    <xdr:pic>
      <xdr:nvPicPr>
        <xdr:cNvPr id="4" name="Picture 3">
          <a:extLst>
            <a:ext uri="{FF2B5EF4-FFF2-40B4-BE49-F238E27FC236}">
              <a16:creationId xmlns:a16="http://schemas.microsoft.com/office/drawing/2014/main" id="{9D132580-C3EE-4A00-848F-15DDED20EF73}"/>
            </a:ext>
          </a:extLst>
        </xdr:cNvPr>
        <xdr:cNvPicPr>
          <a:picLocks noChangeAspect="1"/>
        </xdr:cNvPicPr>
      </xdr:nvPicPr>
      <xdr:blipFill>
        <a:blip xmlns:r="http://schemas.openxmlformats.org/officeDocument/2006/relationships" r:embed="rId2"/>
        <a:stretch>
          <a:fillRect/>
        </a:stretch>
      </xdr:blipFill>
      <xdr:spPr>
        <a:xfrm>
          <a:off x="7239001" y="9638623"/>
          <a:ext cx="3977639" cy="2517845"/>
        </a:xfrm>
        <a:prstGeom prst="rect">
          <a:avLst/>
        </a:prstGeom>
      </xdr:spPr>
    </xdr:pic>
    <xdr:clientData/>
  </xdr:twoCellAnchor>
  <xdr:twoCellAnchor editAs="oneCell">
    <xdr:from>
      <xdr:col>7</xdr:col>
      <xdr:colOff>129540</xdr:colOff>
      <xdr:row>23</xdr:row>
      <xdr:rowOff>160020</xdr:rowOff>
    </xdr:from>
    <xdr:to>
      <xdr:col>10</xdr:col>
      <xdr:colOff>571500</xdr:colOff>
      <xdr:row>45</xdr:row>
      <xdr:rowOff>31226</xdr:rowOff>
    </xdr:to>
    <xdr:pic>
      <xdr:nvPicPr>
        <xdr:cNvPr id="5" name="Picture 4">
          <a:extLst>
            <a:ext uri="{FF2B5EF4-FFF2-40B4-BE49-F238E27FC236}">
              <a16:creationId xmlns:a16="http://schemas.microsoft.com/office/drawing/2014/main" id="{BFC75BEB-911F-4EDF-B6C8-680519DB23A4}"/>
            </a:ext>
          </a:extLst>
        </xdr:cNvPr>
        <xdr:cNvPicPr>
          <a:picLocks noChangeAspect="1"/>
        </xdr:cNvPicPr>
      </xdr:nvPicPr>
      <xdr:blipFill>
        <a:blip xmlns:r="http://schemas.openxmlformats.org/officeDocument/2006/relationships" r:embed="rId3"/>
        <a:stretch>
          <a:fillRect/>
        </a:stretch>
      </xdr:blipFill>
      <xdr:spPr>
        <a:xfrm>
          <a:off x="7223760" y="5074920"/>
          <a:ext cx="2407920" cy="4504166"/>
        </a:xfrm>
        <a:prstGeom prst="rect">
          <a:avLst/>
        </a:prstGeom>
        <a:ln w="38100" cmpd="dbl">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7CA76307-05B6-494E-87C3-1BE03871D0A1}"/>
            </a:ext>
          </a:extLst>
        </xdr:cNvPr>
        <xdr:cNvSpPr txBox="1">
          <a:spLocks noChangeArrowheads="1"/>
        </xdr:cNvSpPr>
      </xdr:nvSpPr>
      <xdr:spPr bwMode="auto">
        <a:xfrm>
          <a:off x="0" y="1792605"/>
          <a:ext cx="4686300" cy="58483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Balance 10, Climb 10, Hide 11, Move Silently 8, Spot 7, Swim 12.</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Bite +4 melee (1d3-4)</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DDFFF6C0-B0B5-4A13-88A3-9EFD109EB45B}"/>
            </a:ext>
          </a:extLst>
        </xdr:cNvPr>
        <xdr:cNvSpPr txBox="1">
          <a:spLocks noChangeArrowheads="1"/>
        </xdr:cNvSpPr>
      </xdr:nvSpPr>
      <xdr:spPr bwMode="auto">
        <a:xfrm>
          <a:off x="4962525" y="1000125"/>
          <a:ext cx="1971675" cy="137350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Feats and Qualities:  </a:t>
          </a:r>
          <a:r>
            <a:rPr lang="en-US" sz="1200" b="0" i="0" u="none" strike="noStrike" baseline="0">
              <a:solidFill>
                <a:srgbClr val="000000"/>
              </a:solidFill>
              <a:latin typeface="Times New Roman" pitchFamily="18" charset="0"/>
              <a:cs typeface="Times New Roman" pitchFamily="18" charset="0"/>
            </a:rPr>
            <a:t>Low Light Vision, Scent, Weapon Finesse.</a:t>
          </a:r>
        </a:p>
        <a:p>
          <a:pPr algn="just" rtl="0">
            <a:defRPr sz="1000"/>
          </a:pPr>
          <a:endParaRPr lang="en-US" sz="1200" b="0" i="0" u="none" strike="noStrike" baseline="0">
            <a:solidFill>
              <a:srgbClr val="000000"/>
            </a:solidFill>
            <a:latin typeface="Times New Roman" pitchFamily="18" charset="0"/>
            <a:cs typeface="Times New Roman" pitchFamily="18" charset="0"/>
          </a:endParaRPr>
        </a:p>
        <a:p>
          <a:pPr algn="just" rtl="0">
            <a:defRPr sz="1000"/>
          </a:pPr>
          <a:r>
            <a:rPr lang="en-US" sz="1200" b="1" i="0" u="none" strike="noStrike" baseline="0">
              <a:solidFill>
                <a:srgbClr val="000000"/>
              </a:solidFill>
              <a:latin typeface="Times New Roman" pitchFamily="18" charset="0"/>
              <a:cs typeface="Times New Roman" pitchFamily="18" charset="0"/>
            </a:rPr>
            <a:t>Tricks:  </a:t>
          </a:r>
          <a:r>
            <a:rPr lang="en-US" sz="1200" b="0" i="0" u="none" strike="noStrike" baseline="0">
              <a:solidFill>
                <a:srgbClr val="000000"/>
              </a:solidFill>
              <a:latin typeface="Times New Roman" pitchFamily="18" charset="0"/>
              <a:cs typeface="Times New Roman" pitchFamily="18" charset="0"/>
            </a:rPr>
            <a:t>attack, come, defend, down, fetch, heel, seek, stay.</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9</xdr:row>
      <xdr:rowOff>9525</xdr:rowOff>
    </xdr:from>
    <xdr:to>
      <xdr:col>5</xdr:col>
      <xdr:colOff>0</xdr:colOff>
      <xdr:row>13</xdr:row>
      <xdr:rowOff>0</xdr:rowOff>
    </xdr:to>
    <xdr:sp macro="" textlink="">
      <xdr:nvSpPr>
        <xdr:cNvPr id="2" name="Text Box 1">
          <a:extLst>
            <a:ext uri="{FF2B5EF4-FFF2-40B4-BE49-F238E27FC236}">
              <a16:creationId xmlns:a16="http://schemas.microsoft.com/office/drawing/2014/main" id="{39DBFB64-A06C-445D-9FD8-09A6577A2016}"/>
            </a:ext>
          </a:extLst>
        </xdr:cNvPr>
        <xdr:cNvSpPr txBox="1">
          <a:spLocks noChangeArrowheads="1"/>
        </xdr:cNvSpPr>
      </xdr:nvSpPr>
      <xdr:spPr bwMode="auto">
        <a:xfrm>
          <a:off x="9525" y="1792605"/>
          <a:ext cx="4943475" cy="78295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Skills:</a:t>
          </a:r>
          <a:r>
            <a:rPr lang="en-US" sz="1200" b="0" i="0" u="none" strike="noStrike" baseline="0">
              <a:solidFill>
                <a:srgbClr val="000000"/>
              </a:solidFill>
              <a:latin typeface="Times New Roman" pitchFamily="18" charset="0"/>
              <a:cs typeface="Times New Roman" pitchFamily="18" charset="0"/>
            </a:rPr>
            <a:t>  Listen 5, Spot 5</a:t>
          </a:r>
        </a:p>
        <a:p>
          <a:pPr algn="just" rtl="0">
            <a:defRPr sz="1000"/>
          </a:pPr>
          <a:r>
            <a:rPr lang="en-US" sz="1200" b="1" i="0" u="none" strike="noStrike" baseline="0">
              <a:solidFill>
                <a:srgbClr val="000000"/>
              </a:solidFill>
              <a:latin typeface="Times New Roman" pitchFamily="18" charset="0"/>
              <a:cs typeface="Times New Roman" pitchFamily="18" charset="0"/>
            </a:rPr>
            <a:t>Attack:  </a:t>
          </a:r>
          <a:r>
            <a:rPr lang="en-US" sz="1200" b="0" i="0" u="none" strike="noStrike" baseline="0">
              <a:solidFill>
                <a:srgbClr val="000000"/>
              </a:solidFill>
              <a:latin typeface="Times New Roman" pitchFamily="18" charset="0"/>
              <a:cs typeface="Times New Roman" pitchFamily="18" charset="0"/>
            </a:rPr>
            <a:t>2 Hooves -3 melee (1d3)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Times New Roman" pitchFamily="18" charset="0"/>
              <a:ea typeface="+mn-ea"/>
              <a:cs typeface="Times New Roman" pitchFamily="18" charset="0"/>
            </a:rPr>
            <a:t>Feats:  </a:t>
          </a:r>
          <a:r>
            <a:rPr lang="en-US" sz="1200" b="0" i="0" baseline="0">
              <a:effectLst/>
              <a:latin typeface="Times New Roman" pitchFamily="18" charset="0"/>
              <a:ea typeface="+mn-ea"/>
              <a:cs typeface="Times New Roman" pitchFamily="18" charset="0"/>
            </a:rPr>
            <a:t>Endurance</a:t>
          </a:r>
          <a:endParaRPr lang="en-US" sz="1200">
            <a:effectLst/>
            <a:latin typeface="Times New Roman" pitchFamily="18" charset="0"/>
            <a:cs typeface="Times New Roman" pitchFamily="18" charset="0"/>
          </a:endParaRPr>
        </a:p>
      </xdr:txBody>
    </xdr:sp>
    <xdr:clientData/>
  </xdr:twoCellAnchor>
  <xdr:twoCellAnchor>
    <xdr:from>
      <xdr:col>5</xdr:col>
      <xdr:colOff>9525</xdr:colOff>
      <xdr:row>5</xdr:row>
      <xdr:rowOff>1</xdr:rowOff>
    </xdr:from>
    <xdr:to>
      <xdr:col>7</xdr:col>
      <xdr:colOff>0</xdr:colOff>
      <xdr:row>12</xdr:row>
      <xdr:rowOff>209551</xdr:rowOff>
    </xdr:to>
    <xdr:sp macro="" textlink="">
      <xdr:nvSpPr>
        <xdr:cNvPr id="3" name="Text Box 2">
          <a:extLst>
            <a:ext uri="{FF2B5EF4-FFF2-40B4-BE49-F238E27FC236}">
              <a16:creationId xmlns:a16="http://schemas.microsoft.com/office/drawing/2014/main" id="{0A44CD72-0BC7-46FF-B4D8-E722863B7D82}"/>
            </a:ext>
          </a:extLst>
        </xdr:cNvPr>
        <xdr:cNvSpPr txBox="1">
          <a:spLocks noChangeArrowheads="1"/>
        </xdr:cNvSpPr>
      </xdr:nvSpPr>
      <xdr:spPr bwMode="auto">
        <a:xfrm>
          <a:off x="4962525" y="990601"/>
          <a:ext cx="1971675" cy="15811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Load:  </a:t>
          </a:r>
          <a:r>
            <a:rPr lang="en-US" sz="1200" b="0" i="0" u="none" strike="noStrike" baseline="0">
              <a:solidFill>
                <a:srgbClr val="000000"/>
              </a:solidFill>
              <a:latin typeface="Times New Roman" pitchFamily="18" charset="0"/>
              <a:cs typeface="Times New Roman" pitchFamily="18" charset="0"/>
            </a:rPr>
            <a:t>Drags up to 1,125 lbs. on wagon.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656714</xdr:colOff>
      <xdr:row>43</xdr:row>
      <xdr:rowOff>71316</xdr:rowOff>
    </xdr:to>
    <xdr:pic>
      <xdr:nvPicPr>
        <xdr:cNvPr id="2" name="Picture 1">
          <a:extLst>
            <a:ext uri="{FF2B5EF4-FFF2-40B4-BE49-F238E27FC236}">
              <a16:creationId xmlns:a16="http://schemas.microsoft.com/office/drawing/2014/main" id="{94ACD978-978B-453C-A622-B543DBA44D43}"/>
            </a:ext>
          </a:extLst>
        </xdr:cNvPr>
        <xdr:cNvPicPr>
          <a:picLocks noChangeAspect="1"/>
        </xdr:cNvPicPr>
      </xdr:nvPicPr>
      <xdr:blipFill>
        <a:blip xmlns:r="http://schemas.openxmlformats.org/officeDocument/2006/relationships" r:embed="rId1"/>
        <a:stretch>
          <a:fillRect/>
        </a:stretch>
      </xdr:blipFill>
      <xdr:spPr>
        <a:xfrm>
          <a:off x="5996940" y="0"/>
          <a:ext cx="4085714" cy="8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subject=Fist%20of%20Ligh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amazon.com/ghillie-suit/s?k=ghillie+sui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5"/>
  <sheetViews>
    <sheetView showGridLines="0" tabSelected="1" zoomScaleNormal="100" workbookViewId="0"/>
  </sheetViews>
  <sheetFormatPr defaultColWidth="13" defaultRowHeight="15.6" x14ac:dyDescent="0.3"/>
  <cols>
    <col min="1" max="1" width="16.8984375" style="126" bestFit="1" customWidth="1"/>
    <col min="2" max="2" width="10" style="128" customWidth="1"/>
    <col min="3" max="3" width="5.5" style="128" customWidth="1"/>
    <col min="4" max="4" width="13.69921875" style="126" bestFit="1" customWidth="1"/>
    <col min="5" max="5" width="9.59765625" style="128" bestFit="1" customWidth="1"/>
    <col min="6" max="6" width="15.09765625" style="126" customWidth="1"/>
    <col min="7" max="7" width="15.09765625" style="128" customWidth="1"/>
    <col min="8" max="16384" width="13" style="15"/>
  </cols>
  <sheetData>
    <row r="1" spans="1:7" ht="29.4" thickTop="1" thickBot="1" x14ac:dyDescent="0.35">
      <c r="A1" s="130" t="s">
        <v>102</v>
      </c>
      <c r="B1" s="394" t="s">
        <v>276</v>
      </c>
      <c r="C1" s="131"/>
      <c r="D1" s="132"/>
      <c r="E1" s="133"/>
      <c r="F1" s="132"/>
      <c r="G1" s="134" t="s">
        <v>101</v>
      </c>
    </row>
    <row r="2" spans="1:7" ht="17.399999999999999" thickTop="1" x14ac:dyDescent="0.3">
      <c r="A2" s="135" t="s">
        <v>144</v>
      </c>
      <c r="B2" s="136" t="s">
        <v>418</v>
      </c>
      <c r="C2" s="136"/>
      <c r="D2" s="137" t="s">
        <v>145</v>
      </c>
      <c r="E2" s="138" t="s">
        <v>131</v>
      </c>
      <c r="F2" s="139"/>
      <c r="G2" s="140"/>
    </row>
    <row r="3" spans="1:7" ht="16.8" x14ac:dyDescent="0.3">
      <c r="A3" s="135" t="s">
        <v>146</v>
      </c>
      <c r="B3" s="136" t="s">
        <v>111</v>
      </c>
      <c r="C3" s="136"/>
      <c r="D3" s="137" t="s">
        <v>77</v>
      </c>
      <c r="E3" s="138">
        <v>4</v>
      </c>
      <c r="F3" s="137"/>
      <c r="G3" s="140"/>
    </row>
    <row r="4" spans="1:7" ht="16.8" x14ac:dyDescent="0.3">
      <c r="A4" s="135" t="s">
        <v>146</v>
      </c>
      <c r="B4" s="136" t="s">
        <v>186</v>
      </c>
      <c r="C4" s="136"/>
      <c r="D4" s="137" t="s">
        <v>77</v>
      </c>
      <c r="E4" s="138">
        <v>1</v>
      </c>
      <c r="F4" s="137"/>
      <c r="G4" s="140"/>
    </row>
    <row r="5" spans="1:7" ht="16.8" x14ac:dyDescent="0.3">
      <c r="A5" s="135" t="s">
        <v>146</v>
      </c>
      <c r="B5" s="136" t="s">
        <v>143</v>
      </c>
      <c r="C5" s="136"/>
      <c r="D5" s="137" t="s">
        <v>77</v>
      </c>
      <c r="E5" s="138">
        <v>6</v>
      </c>
      <c r="F5" s="137"/>
      <c r="G5" s="140"/>
    </row>
    <row r="6" spans="1:7" ht="16.8" x14ac:dyDescent="0.3">
      <c r="A6" s="135" t="s">
        <v>146</v>
      </c>
      <c r="B6" s="136"/>
      <c r="C6" s="136"/>
      <c r="D6" s="137" t="s">
        <v>77</v>
      </c>
      <c r="E6" s="138"/>
      <c r="F6" s="137"/>
      <c r="G6" s="140"/>
    </row>
    <row r="7" spans="1:7" ht="16.8" x14ac:dyDescent="0.3">
      <c r="A7" s="135" t="s">
        <v>147</v>
      </c>
      <c r="B7" s="136" t="s">
        <v>106</v>
      </c>
      <c r="C7" s="136"/>
      <c r="D7" s="137" t="s">
        <v>148</v>
      </c>
      <c r="E7" s="138" t="s">
        <v>104</v>
      </c>
      <c r="F7" s="137"/>
      <c r="G7" s="140"/>
    </row>
    <row r="8" spans="1:7" ht="16.8" x14ac:dyDescent="0.3">
      <c r="A8" s="135" t="s">
        <v>149</v>
      </c>
      <c r="B8" s="136">
        <v>43</v>
      </c>
      <c r="C8" s="136"/>
      <c r="D8" s="137" t="s">
        <v>150</v>
      </c>
      <c r="E8" s="138" t="s">
        <v>105</v>
      </c>
      <c r="F8" s="137"/>
      <c r="G8" s="140"/>
    </row>
    <row r="9" spans="1:7" ht="16.8" x14ac:dyDescent="0.3">
      <c r="A9" s="135" t="s">
        <v>151</v>
      </c>
      <c r="B9" s="136" t="s">
        <v>108</v>
      </c>
      <c r="C9" s="136"/>
      <c r="D9" s="137" t="s">
        <v>152</v>
      </c>
      <c r="E9" s="138" t="s">
        <v>103</v>
      </c>
      <c r="F9" s="137"/>
      <c r="G9" s="140"/>
    </row>
    <row r="10" spans="1:7" ht="17.399999999999999" thickBot="1" x14ac:dyDescent="0.35">
      <c r="A10" s="135" t="s">
        <v>153</v>
      </c>
      <c r="B10" s="136" t="s">
        <v>107</v>
      </c>
      <c r="C10" s="136"/>
      <c r="D10" s="137"/>
      <c r="E10" s="138"/>
      <c r="F10" s="137"/>
      <c r="G10" s="140"/>
    </row>
    <row r="11" spans="1:7" ht="17.399999999999999" thickTop="1" x14ac:dyDescent="0.3">
      <c r="A11" s="141" t="s">
        <v>154</v>
      </c>
      <c r="B11" s="626">
        <f>3+0+4</f>
        <v>7</v>
      </c>
      <c r="C11" s="627"/>
      <c r="D11" s="142" t="s">
        <v>67</v>
      </c>
      <c r="E11" s="143" t="s">
        <v>178</v>
      </c>
      <c r="F11" s="144"/>
      <c r="G11" s="140"/>
    </row>
    <row r="12" spans="1:7" ht="17.399999999999999" thickBot="1" x14ac:dyDescent="0.35">
      <c r="A12" s="145" t="s">
        <v>155</v>
      </c>
      <c r="B12" s="596" t="str">
        <f>C14</f>
        <v>+3</v>
      </c>
      <c r="C12" s="597"/>
      <c r="D12" s="239" t="s">
        <v>156</v>
      </c>
      <c r="E12" s="310">
        <v>78000</v>
      </c>
      <c r="F12" s="144"/>
      <c r="G12" s="140"/>
    </row>
    <row r="13" spans="1:7" ht="17.399999999999999" thickTop="1" x14ac:dyDescent="0.3">
      <c r="A13" s="146" t="s">
        <v>157</v>
      </c>
      <c r="B13" s="562">
        <f>8</f>
        <v>8</v>
      </c>
      <c r="C13" s="598">
        <f>IF(B13&gt;9.9,CONCATENATE("+",ROUNDDOWN((B13-10)/2,0)),ROUNDUP((B13-10)/2,0))</f>
        <v>-1</v>
      </c>
      <c r="D13" s="147" t="s">
        <v>158</v>
      </c>
      <c r="E13" s="195" t="s">
        <v>132</v>
      </c>
      <c r="F13" s="144"/>
      <c r="G13" s="140"/>
    </row>
    <row r="14" spans="1:7" ht="16.8" x14ac:dyDescent="0.3">
      <c r="A14" s="148" t="s">
        <v>159</v>
      </c>
      <c r="B14" s="153">
        <v>16</v>
      </c>
      <c r="C14" s="149" t="str">
        <f t="shared" ref="C14:C18" si="0">IF(B14&gt;9.9,CONCATENATE("+",ROUNDDOWN((B14-10)/2,0)),ROUNDUP((B14-10)/2,0))</f>
        <v>+3</v>
      </c>
      <c r="D14" s="150" t="s">
        <v>160</v>
      </c>
      <c r="E14" s="151">
        <f>SUM(Martial!G9:G33)+SUM(Equipment!C3:C17)+15</f>
        <v>34.625</v>
      </c>
      <c r="F14" s="144"/>
      <c r="G14" s="140"/>
    </row>
    <row r="15" spans="1:7" ht="16.8" x14ac:dyDescent="0.3">
      <c r="A15" s="675" t="s">
        <v>161</v>
      </c>
      <c r="B15" s="153">
        <v>13</v>
      </c>
      <c r="C15" s="154" t="str">
        <f t="shared" si="0"/>
        <v>+1</v>
      </c>
      <c r="D15" s="150" t="s">
        <v>162</v>
      </c>
      <c r="E15" s="605">
        <f>ROUNDUP(((E3*6)*0.75)+((E4*4)*0.75)+((E5*6)*0.75)+((E3+E5)*C15),0)</f>
        <v>58</v>
      </c>
      <c r="F15" s="144"/>
      <c r="G15" s="140"/>
    </row>
    <row r="16" spans="1:7" ht="16.8" x14ac:dyDescent="0.3">
      <c r="A16" s="155" t="s">
        <v>163</v>
      </c>
      <c r="B16" s="153">
        <v>16</v>
      </c>
      <c r="C16" s="149" t="str">
        <f t="shared" si="0"/>
        <v>+3</v>
      </c>
      <c r="D16" s="156" t="s">
        <v>164</v>
      </c>
      <c r="E16" s="685">
        <f>11+C14</f>
        <v>14</v>
      </c>
      <c r="F16" s="209"/>
      <c r="G16" s="140"/>
    </row>
    <row r="17" spans="1:7" ht="16.8" x14ac:dyDescent="0.3">
      <c r="A17" s="157" t="s">
        <v>165</v>
      </c>
      <c r="B17" s="153">
        <v>12</v>
      </c>
      <c r="C17" s="149" t="str">
        <f t="shared" si="0"/>
        <v>+1</v>
      </c>
      <c r="D17" s="156" t="s">
        <v>166</v>
      </c>
      <c r="E17" s="666">
        <f>E18-C14</f>
        <v>19</v>
      </c>
      <c r="F17" s="209"/>
      <c r="G17" s="140"/>
    </row>
    <row r="18" spans="1:7" ht="17.399999999999999" thickBot="1" x14ac:dyDescent="0.35">
      <c r="A18" s="158" t="s">
        <v>167</v>
      </c>
      <c r="B18" s="159">
        <v>11</v>
      </c>
      <c r="C18" s="160" t="str">
        <f t="shared" si="0"/>
        <v>+0</v>
      </c>
      <c r="D18" s="161" t="s">
        <v>168</v>
      </c>
      <c r="E18" s="252">
        <f>E16+SUM(Martial!B25:B29)</f>
        <v>22</v>
      </c>
      <c r="F18" s="209"/>
      <c r="G18" s="140"/>
    </row>
    <row r="19" spans="1:7" s="5" customFormat="1" ht="24" thickTop="1" thickBot="1" x14ac:dyDescent="0.35">
      <c r="A19" s="253" t="s">
        <v>109</v>
      </c>
      <c r="B19" s="254"/>
      <c r="C19" s="254"/>
      <c r="D19" s="255"/>
      <c r="E19" s="255"/>
      <c r="F19" s="255"/>
      <c r="G19" s="256"/>
    </row>
    <row r="20" spans="1:7" s="5" customFormat="1" ht="17.399999999999999" thickTop="1" x14ac:dyDescent="0.3">
      <c r="A20" s="162"/>
      <c r="B20" s="163"/>
      <c r="C20" s="163"/>
      <c r="D20" s="163"/>
      <c r="E20" s="163"/>
      <c r="F20" s="163"/>
      <c r="G20" s="164"/>
    </row>
    <row r="21" spans="1:7" s="5" customFormat="1" ht="16.8" x14ac:dyDescent="0.3">
      <c r="A21" s="165"/>
      <c r="B21" s="257"/>
      <c r="C21" s="257"/>
      <c r="D21" s="257"/>
      <c r="E21" s="257"/>
      <c r="F21" s="257"/>
      <c r="G21" s="166"/>
    </row>
    <row r="22" spans="1:7" s="5" customFormat="1" ht="16.8" x14ac:dyDescent="0.3">
      <c r="A22" s="165"/>
      <c r="B22" s="257"/>
      <c r="C22" s="257"/>
      <c r="D22" s="257"/>
      <c r="E22" s="257"/>
      <c r="F22" s="257"/>
      <c r="G22" s="166"/>
    </row>
    <row r="23" spans="1:7" s="5" customFormat="1" ht="16.8" x14ac:dyDescent="0.3">
      <c r="A23" s="165"/>
      <c r="B23" s="257"/>
      <c r="C23" s="257"/>
      <c r="D23" s="257"/>
      <c r="E23" s="257"/>
      <c r="F23" s="257"/>
      <c r="G23" s="166"/>
    </row>
    <row r="24" spans="1:7" s="5" customFormat="1" ht="16.8" x14ac:dyDescent="0.3">
      <c r="A24" s="165"/>
      <c r="B24" s="257"/>
      <c r="C24" s="257"/>
      <c r="D24" s="257"/>
      <c r="E24" s="257"/>
      <c r="F24" s="257"/>
      <c r="G24" s="166"/>
    </row>
    <row r="25" spans="1:7" ht="16.8" x14ac:dyDescent="0.3">
      <c r="A25" s="165"/>
      <c r="B25" s="257"/>
      <c r="C25" s="257"/>
      <c r="D25" s="257"/>
      <c r="E25" s="257"/>
      <c r="F25" s="257"/>
      <c r="G25" s="166"/>
    </row>
    <row r="26" spans="1:7" ht="16.8" x14ac:dyDescent="0.3">
      <c r="A26" s="165"/>
      <c r="B26" s="257"/>
      <c r="C26" s="257"/>
      <c r="D26" s="257"/>
      <c r="E26" s="257"/>
      <c r="F26" s="257"/>
      <c r="G26" s="166"/>
    </row>
    <row r="27" spans="1:7" ht="16.8" x14ac:dyDescent="0.3">
      <c r="A27" s="165"/>
      <c r="B27" s="257"/>
      <c r="C27" s="257"/>
      <c r="D27" s="257"/>
      <c r="E27" s="257"/>
      <c r="F27" s="257"/>
      <c r="G27" s="166"/>
    </row>
    <row r="28" spans="1:7" ht="16.8" x14ac:dyDescent="0.3">
      <c r="A28" s="165"/>
      <c r="B28" s="257"/>
      <c r="C28" s="257"/>
      <c r="D28" s="257"/>
      <c r="E28" s="257"/>
      <c r="F28" s="257"/>
      <c r="G28" s="166"/>
    </row>
    <row r="29" spans="1:7" ht="16.8" x14ac:dyDescent="0.3">
      <c r="A29" s="165"/>
      <c r="B29" s="257"/>
      <c r="C29" s="257"/>
      <c r="D29" s="257"/>
      <c r="E29" s="257"/>
      <c r="F29" s="257"/>
      <c r="G29" s="166"/>
    </row>
    <row r="30" spans="1:7" ht="16.8" x14ac:dyDescent="0.3">
      <c r="A30" s="165"/>
      <c r="B30" s="257"/>
      <c r="C30" s="257"/>
      <c r="D30" s="257"/>
      <c r="E30" s="257"/>
      <c r="F30" s="257"/>
      <c r="G30" s="166"/>
    </row>
    <row r="31" spans="1:7" ht="16.8" x14ac:dyDescent="0.3">
      <c r="A31" s="165"/>
      <c r="B31" s="257"/>
      <c r="C31" s="257"/>
      <c r="D31" s="257"/>
      <c r="E31" s="257"/>
      <c r="F31" s="257"/>
      <c r="G31" s="166"/>
    </row>
    <row r="32" spans="1:7" ht="16.8" x14ac:dyDescent="0.3">
      <c r="A32" s="165"/>
      <c r="B32" s="257"/>
      <c r="C32" s="257"/>
      <c r="D32" s="257"/>
      <c r="E32" s="257"/>
      <c r="F32" s="257"/>
      <c r="G32" s="166"/>
    </row>
    <row r="33" spans="1:7" ht="16.8" x14ac:dyDescent="0.3">
      <c r="A33" s="165"/>
      <c r="B33" s="257"/>
      <c r="C33" s="257"/>
      <c r="D33" s="257"/>
      <c r="E33" s="257"/>
      <c r="F33" s="257"/>
      <c r="G33" s="166"/>
    </row>
    <row r="34" spans="1:7" ht="16.8" x14ac:dyDescent="0.3">
      <c r="A34" s="165"/>
      <c r="B34" s="257"/>
      <c r="C34" s="257"/>
      <c r="D34" s="257"/>
      <c r="E34" s="257"/>
      <c r="F34" s="257"/>
      <c r="G34" s="166"/>
    </row>
    <row r="35" spans="1:7" ht="16.8" x14ac:dyDescent="0.3">
      <c r="A35" s="165"/>
      <c r="B35" s="257"/>
      <c r="C35" s="257"/>
      <c r="D35" s="257"/>
      <c r="E35" s="257"/>
      <c r="F35" s="257"/>
      <c r="G35" s="166"/>
    </row>
    <row r="36" spans="1:7" ht="16.8" x14ac:dyDescent="0.3">
      <c r="A36" s="165"/>
      <c r="B36" s="257"/>
      <c r="C36" s="257"/>
      <c r="D36" s="257"/>
      <c r="E36" s="257"/>
      <c r="F36" s="257"/>
      <c r="G36" s="166"/>
    </row>
    <row r="37" spans="1:7" ht="16.8" x14ac:dyDescent="0.3">
      <c r="A37" s="165"/>
      <c r="B37" s="257"/>
      <c r="C37" s="257"/>
      <c r="D37" s="257"/>
      <c r="E37" s="257"/>
      <c r="F37" s="257"/>
      <c r="G37" s="166"/>
    </row>
    <row r="38" spans="1:7" ht="16.8" x14ac:dyDescent="0.3">
      <c r="A38" s="165"/>
      <c r="B38" s="257"/>
      <c r="C38" s="257"/>
      <c r="D38" s="257"/>
      <c r="E38" s="257"/>
      <c r="F38" s="257"/>
      <c r="G38" s="166"/>
    </row>
    <row r="39" spans="1:7" ht="16.8" x14ac:dyDescent="0.3">
      <c r="A39" s="165"/>
      <c r="B39" s="257"/>
      <c r="C39" s="257"/>
      <c r="D39" s="257"/>
      <c r="E39" s="257"/>
      <c r="F39" s="257"/>
      <c r="G39" s="166"/>
    </row>
    <row r="40" spans="1:7" ht="16.8" x14ac:dyDescent="0.3">
      <c r="A40" s="165"/>
      <c r="B40" s="257"/>
      <c r="C40" s="257"/>
      <c r="D40" s="257"/>
      <c r="E40" s="257"/>
      <c r="F40" s="257"/>
      <c r="G40" s="166"/>
    </row>
    <row r="41" spans="1:7" ht="16.8" x14ac:dyDescent="0.3">
      <c r="A41" s="165"/>
      <c r="B41" s="257"/>
      <c r="C41" s="257"/>
      <c r="D41" s="257"/>
      <c r="E41" s="257"/>
      <c r="F41" s="257"/>
      <c r="G41" s="166"/>
    </row>
    <row r="42" spans="1:7" ht="16.8" x14ac:dyDescent="0.3">
      <c r="A42" s="165"/>
      <c r="B42" s="257"/>
      <c r="C42" s="257"/>
      <c r="D42" s="257"/>
      <c r="E42" s="257"/>
      <c r="F42" s="257"/>
      <c r="G42" s="166"/>
    </row>
    <row r="43" spans="1:7" ht="16.8" x14ac:dyDescent="0.3">
      <c r="A43" s="165"/>
      <c r="B43" s="257"/>
      <c r="C43" s="257"/>
      <c r="D43" s="257"/>
      <c r="E43" s="257"/>
      <c r="F43" s="257"/>
      <c r="G43" s="166"/>
    </row>
    <row r="44" spans="1:7" ht="17.399999999999999" thickBot="1" x14ac:dyDescent="0.35">
      <c r="A44" s="167"/>
      <c r="B44" s="168"/>
      <c r="C44" s="168"/>
      <c r="D44" s="168"/>
      <c r="E44" s="168"/>
      <c r="F44" s="168"/>
      <c r="G44" s="169"/>
    </row>
    <row r="45" spans="1:7" ht="16.2" thickTop="1" x14ac:dyDescent="0.3">
      <c r="B45" s="258"/>
      <c r="C45" s="258"/>
      <c r="E45" s="258"/>
      <c r="G45" s="258"/>
    </row>
  </sheetData>
  <phoneticPr fontId="0" type="noConversion"/>
  <conditionalFormatting sqref="E14">
    <cfRule type="cellIs" dxfId="11" priority="1" stopIfTrue="1" operator="greaterThan">
      <formula>50</formula>
    </cfRule>
    <cfRule type="cellIs" dxfId="10" priority="2" stopIfTrue="1" operator="between">
      <formula>25</formula>
      <formula>50</formula>
    </cfRule>
  </conditionalFormatting>
  <hyperlinks>
    <hyperlink ref="G1" r:id="rId1" xr:uid="{F88A9D46-7E58-4EC8-80C0-E2FAC845C3DB}"/>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53F1-AFCF-4263-8F99-8AA77722313A}">
  <dimension ref="A1:C17"/>
  <sheetViews>
    <sheetView showGridLines="0" workbookViewId="0"/>
  </sheetViews>
  <sheetFormatPr defaultColWidth="9" defaultRowHeight="15.6" x14ac:dyDescent="0.3"/>
  <cols>
    <col min="1" max="1" width="62.796875" style="139" bestFit="1" customWidth="1"/>
    <col min="2" max="2" width="9.5" style="305" customWidth="1"/>
    <col min="3" max="3" width="6.3984375" style="139" customWidth="1"/>
    <col min="4" max="16384" width="9" style="139"/>
  </cols>
  <sheetData>
    <row r="1" spans="1:3" x14ac:dyDescent="0.3">
      <c r="A1" s="126" t="s">
        <v>169</v>
      </c>
      <c r="B1" s="127" t="str">
        <f>'Personal File'!A1</f>
        <v>Saradette</v>
      </c>
      <c r="C1" s="297" t="s">
        <v>170</v>
      </c>
    </row>
    <row r="2" spans="1:3" x14ac:dyDescent="0.3">
      <c r="A2" s="298" t="s">
        <v>357</v>
      </c>
      <c r="B2" s="43" t="s">
        <v>171</v>
      </c>
      <c r="C2" s="299">
        <v>0.2</v>
      </c>
    </row>
    <row r="3" spans="1:3" x14ac:dyDescent="0.3">
      <c r="A3" s="298" t="s">
        <v>179</v>
      </c>
      <c r="B3" s="43" t="s">
        <v>171</v>
      </c>
      <c r="C3" s="299">
        <v>0.2</v>
      </c>
    </row>
    <row r="4" spans="1:3" x14ac:dyDescent="0.3">
      <c r="A4" s="298" t="s">
        <v>180</v>
      </c>
      <c r="B4" s="43" t="s">
        <v>171</v>
      </c>
      <c r="C4" s="299">
        <v>0.2</v>
      </c>
    </row>
    <row r="5" spans="1:3" x14ac:dyDescent="0.3">
      <c r="A5" s="298" t="s">
        <v>181</v>
      </c>
      <c r="B5" s="43" t="s">
        <v>419</v>
      </c>
      <c r="C5" s="299">
        <v>0.16</v>
      </c>
    </row>
    <row r="6" spans="1:3" x14ac:dyDescent="0.3">
      <c r="A6" s="298" t="s">
        <v>182</v>
      </c>
      <c r="B6" s="43" t="s">
        <v>171</v>
      </c>
      <c r="C6" s="299">
        <v>0.2</v>
      </c>
    </row>
    <row r="7" spans="1:3" x14ac:dyDescent="0.3">
      <c r="A7" s="126" t="s">
        <v>54</v>
      </c>
      <c r="B7" s="127"/>
      <c r="C7" s="297">
        <f>SUM(C2:C6)</f>
        <v>0.96000000000000019</v>
      </c>
    </row>
    <row r="8" spans="1:3" x14ac:dyDescent="0.3">
      <c r="A8" s="126"/>
      <c r="B8" s="127"/>
      <c r="C8" s="297"/>
    </row>
    <row r="9" spans="1:3" x14ac:dyDescent="0.3">
      <c r="A9" s="126" t="s">
        <v>172</v>
      </c>
      <c r="B9" s="300">
        <v>0</v>
      </c>
      <c r="C9" s="301"/>
    </row>
    <row r="10" spans="1:3" x14ac:dyDescent="0.3">
      <c r="A10" s="126" t="s">
        <v>173</v>
      </c>
      <c r="B10" s="300"/>
      <c r="C10" s="301"/>
    </row>
    <row r="11" spans="1:3" x14ac:dyDescent="0.3">
      <c r="A11" s="126" t="s">
        <v>174</v>
      </c>
      <c r="B11" s="300">
        <f>IF(B9=0,B10*C7,(B10*C7*(1-(B9/4))))</f>
        <v>0</v>
      </c>
      <c r="C11" s="301"/>
    </row>
    <row r="12" spans="1:3" x14ac:dyDescent="0.3">
      <c r="A12" s="126" t="s">
        <v>175</v>
      </c>
      <c r="B12" s="302">
        <v>0</v>
      </c>
      <c r="C12" s="303"/>
    </row>
    <row r="13" spans="1:3" x14ac:dyDescent="0.3">
      <c r="A13" s="126" t="s">
        <v>54</v>
      </c>
      <c r="B13" s="304">
        <f>SUM(B11:B12)</f>
        <v>0</v>
      </c>
      <c r="C13" s="301"/>
    </row>
    <row r="14" spans="1:3" x14ac:dyDescent="0.3">
      <c r="A14" s="126" t="s">
        <v>176</v>
      </c>
      <c r="B14" s="300"/>
      <c r="C14" s="301"/>
    </row>
    <row r="15" spans="1:3" x14ac:dyDescent="0.3">
      <c r="A15" s="126" t="s">
        <v>177</v>
      </c>
      <c r="B15" s="304">
        <f>SUM(B13:B14)</f>
        <v>0</v>
      </c>
      <c r="C15" s="301"/>
    </row>
    <row r="17" spans="1:1" x14ac:dyDescent="0.3">
      <c r="A17" s="177"/>
    </row>
  </sheetData>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8"/>
  <sheetViews>
    <sheetView showGridLines="0" workbookViewId="0">
      <pane ySplit="2" topLeftCell="A3" activePane="bottomLeft" state="frozen"/>
      <selection pane="bottomLeft" activeCell="A3" sqref="A3"/>
    </sheetView>
  </sheetViews>
  <sheetFormatPr defaultColWidth="13" defaultRowHeight="15.6" x14ac:dyDescent="0.3"/>
  <cols>
    <col min="1" max="1" width="29.59765625" style="126" bestFit="1" customWidth="1"/>
    <col min="2" max="2" width="5.8984375" style="126" bestFit="1" customWidth="1"/>
    <col min="3" max="3" width="7.59765625" style="128" hidden="1" customWidth="1"/>
    <col min="4" max="4" width="7.19921875" style="128" hidden="1" customWidth="1"/>
    <col min="5" max="5" width="9.19921875" style="128" bestFit="1" customWidth="1"/>
    <col min="6" max="6" width="7.3984375" style="128" customWidth="1"/>
    <col min="7" max="7" width="6" style="128" bestFit="1" customWidth="1"/>
    <col min="8" max="8" width="5.19921875" style="128" bestFit="1" customWidth="1"/>
    <col min="9" max="9" width="7.5" style="128" customWidth="1"/>
    <col min="10" max="10" width="26.59765625" style="126" customWidth="1"/>
    <col min="11" max="16384" width="13" style="15"/>
  </cols>
  <sheetData>
    <row r="1" spans="1:10" ht="23.4" thickBot="1" x14ac:dyDescent="0.35">
      <c r="A1" s="78" t="s">
        <v>6</v>
      </c>
      <c r="B1" s="79"/>
      <c r="C1" s="79"/>
      <c r="D1" s="79"/>
      <c r="E1" s="79"/>
      <c r="F1" s="79"/>
      <c r="G1" s="79"/>
      <c r="H1" s="79"/>
      <c r="I1" s="79"/>
      <c r="J1" s="79"/>
    </row>
    <row r="2" spans="1:10" s="5" customFormat="1" ht="34.200000000000003" thickBot="1" x14ac:dyDescent="0.35">
      <c r="A2" s="1" t="s">
        <v>80</v>
      </c>
      <c r="B2" s="2" t="s">
        <v>20</v>
      </c>
      <c r="C2" s="2" t="s">
        <v>27</v>
      </c>
      <c r="D2" s="2" t="s">
        <v>19</v>
      </c>
      <c r="E2" s="3" t="s">
        <v>52</v>
      </c>
      <c r="F2" s="3" t="s">
        <v>28</v>
      </c>
      <c r="G2" s="2" t="s">
        <v>54</v>
      </c>
      <c r="H2" s="306" t="s">
        <v>74</v>
      </c>
      <c r="I2" s="2" t="s">
        <v>65</v>
      </c>
      <c r="J2" s="4" t="s">
        <v>63</v>
      </c>
    </row>
    <row r="3" spans="1:10" s="5" customFormat="1" ht="16.8" x14ac:dyDescent="0.3">
      <c r="A3" s="191" t="s">
        <v>94</v>
      </c>
      <c r="B3" s="192">
        <f>1+0+2</f>
        <v>3</v>
      </c>
      <c r="C3" s="77" t="s">
        <v>22</v>
      </c>
      <c r="D3" s="77" t="str">
        <f>IF(C3="Str",'Personal File'!$C$13,IF(C3="Dex",'Personal File'!$C$14,IF(C3="Con",'Personal File'!$C$15,IF(C3="Int",'Personal File'!$C$16,IF(C3="Wis",'Personal File'!$C$17,IF(C3="Cha",'Personal File'!$C$18))))))</f>
        <v>+1</v>
      </c>
      <c r="E3" s="194" t="str">
        <f t="shared" ref="E3" si="0">CONCATENATE(C3," (",D3,")")</f>
        <v>Con (+1)</v>
      </c>
      <c r="F3" s="77" t="s">
        <v>53</v>
      </c>
      <c r="G3" s="275">
        <f t="shared" ref="G3:G4" si="1">B3+D3+F3</f>
        <v>4</v>
      </c>
      <c r="H3" s="293">
        <f t="shared" ref="H3:H45" ca="1" si="2">RANDBETWEEN(1,20)</f>
        <v>10</v>
      </c>
      <c r="I3" s="170">
        <f t="shared" ref="I3:I4" ca="1" si="3">SUM(G3:H3)</f>
        <v>14</v>
      </c>
      <c r="J3" s="210"/>
    </row>
    <row r="4" spans="1:10" s="5" customFormat="1" ht="16.8" x14ac:dyDescent="0.3">
      <c r="A4" s="193" t="s">
        <v>95</v>
      </c>
      <c r="B4" s="192">
        <f>4+0+5</f>
        <v>9</v>
      </c>
      <c r="C4" s="77" t="s">
        <v>25</v>
      </c>
      <c r="D4" s="77" t="str">
        <f>IF(C4="Str",'Personal File'!$C$13,IF(C4="Dex",'Personal File'!$C$14,IF(C4="Con",'Personal File'!$C$15,IF(C4="Int",'Personal File'!$C$16,IF(C4="Wis",'Personal File'!$C$17,IF(C4="Cha",'Personal File'!$C$18))))))</f>
        <v>+3</v>
      </c>
      <c r="E4" s="80" t="str">
        <f t="shared" ref="E4" si="4">CONCATENATE(C4," (",D4,")")</f>
        <v>Dex (+3)</v>
      </c>
      <c r="F4" s="97" t="s">
        <v>73</v>
      </c>
      <c r="G4" s="275">
        <f t="shared" si="1"/>
        <v>14</v>
      </c>
      <c r="H4" s="293">
        <f t="shared" ca="1" si="2"/>
        <v>11</v>
      </c>
      <c r="I4" s="170">
        <f t="shared" ca="1" si="3"/>
        <v>25</v>
      </c>
      <c r="J4" s="125" t="s">
        <v>371</v>
      </c>
    </row>
    <row r="5" spans="1:10" s="5" customFormat="1" ht="16.8" x14ac:dyDescent="0.3">
      <c r="A5" s="81" t="s">
        <v>56</v>
      </c>
      <c r="B5" s="82">
        <f>1+2+2</f>
        <v>5</v>
      </c>
      <c r="C5" s="83" t="s">
        <v>24</v>
      </c>
      <c r="D5" s="83" t="str">
        <f>IF(C5="Str",'Personal File'!$C$13,IF(C5="Dex",'Personal File'!$C$14,IF(C5="Con",'Personal File'!$C$15,IF(C5="Int",'Personal File'!$C$16,IF(C5="Wis",'Personal File'!$C$17,IF(C5="Cha",'Personal File'!$C$18))))))</f>
        <v>+1</v>
      </c>
      <c r="E5" s="276" t="str">
        <f t="shared" ref="E5:E6" si="5">CONCATENATE(C5," (",D5,")")</f>
        <v>Wis (+1)</v>
      </c>
      <c r="F5" s="83" t="s">
        <v>53</v>
      </c>
      <c r="G5" s="277">
        <f t="shared" ref="G5:G46" si="6">B5+D5+F5</f>
        <v>6</v>
      </c>
      <c r="H5" s="294">
        <f t="shared" ca="1" si="2"/>
        <v>18</v>
      </c>
      <c r="I5" s="278">
        <f t="shared" ref="I5" ca="1" si="7">SUM(G5:H5)</f>
        <v>24</v>
      </c>
      <c r="J5" s="460" t="s">
        <v>277</v>
      </c>
    </row>
    <row r="6" spans="1:10" s="91" customFormat="1" ht="16.8" x14ac:dyDescent="0.3">
      <c r="A6" s="105" t="s">
        <v>29</v>
      </c>
      <c r="B6" s="77">
        <v>0</v>
      </c>
      <c r="C6" s="106" t="s">
        <v>23</v>
      </c>
      <c r="D6" s="107" t="str">
        <f>IF(C6="Str",'Personal File'!$C$13,IF(C6="Dex",'Personal File'!$C$14,IF(C6="Con",'Personal File'!$C$15,IF(C6="Int",'Personal File'!$C$16,IF(C6="Wis",'Personal File'!$C$17,IF(C6="Cha",'Personal File'!$C$18))))))</f>
        <v>+3</v>
      </c>
      <c r="E6" s="108" t="str">
        <f t="shared" si="5"/>
        <v>Int (+3)</v>
      </c>
      <c r="F6" s="97" t="s">
        <v>53</v>
      </c>
      <c r="G6" s="97">
        <f t="shared" si="6"/>
        <v>3</v>
      </c>
      <c r="H6" s="295">
        <f t="shared" ca="1" si="2"/>
        <v>20</v>
      </c>
      <c r="I6" s="97">
        <f ca="1">SUM(G6:H6)</f>
        <v>23</v>
      </c>
      <c r="J6" s="125"/>
    </row>
    <row r="7" spans="1:10" s="92" customFormat="1" ht="16.8" x14ac:dyDescent="0.3">
      <c r="A7" s="205" t="s">
        <v>30</v>
      </c>
      <c r="B7" s="85">
        <v>4</v>
      </c>
      <c r="C7" s="206" t="s">
        <v>25</v>
      </c>
      <c r="D7" s="207" t="str">
        <f>IF(C7="Str",'Personal File'!$C$13,IF(C7="Dex",'Personal File'!$C$14,IF(C7="Con",'Personal File'!$C$15,IF(C7="Int",'Personal File'!$C$16,IF(C7="Wis",'Personal File'!$C$17,IF(C7="Cha",'Personal File'!$C$18))))))</f>
        <v>+3</v>
      </c>
      <c r="E7" s="208" t="str">
        <f t="shared" ref="E7:E46" si="8">CONCATENATE(C7," (",D7,")")</f>
        <v>Dex (+3)</v>
      </c>
      <c r="F7" s="89" t="s">
        <v>53</v>
      </c>
      <c r="G7" s="89">
        <f t="shared" si="6"/>
        <v>7</v>
      </c>
      <c r="H7" s="293">
        <f t="shared" ca="1" si="2"/>
        <v>18</v>
      </c>
      <c r="I7" s="89">
        <f t="shared" ref="I7" ca="1" si="9">SUM(G7:H7)</f>
        <v>25</v>
      </c>
      <c r="J7" s="124"/>
    </row>
    <row r="8" spans="1:10" s="99" customFormat="1" ht="16.8" x14ac:dyDescent="0.3">
      <c r="A8" s="212" t="s">
        <v>31</v>
      </c>
      <c r="B8" s="85">
        <v>2</v>
      </c>
      <c r="C8" s="213" t="s">
        <v>21</v>
      </c>
      <c r="D8" s="214" t="str">
        <f>IF(C8="Str",'Personal File'!$C$13,IF(C8="Dex",'Personal File'!$C$14,IF(C8="Con",'Personal File'!$C$15,IF(C8="Int",'Personal File'!$C$16,IF(C8="Wis",'Personal File'!$C$17,IF(C8="Cha",'Personal File'!$C$18))))))</f>
        <v>+0</v>
      </c>
      <c r="E8" s="215" t="str">
        <f t="shared" si="8"/>
        <v>Cha (+0)</v>
      </c>
      <c r="F8" s="89" t="s">
        <v>53</v>
      </c>
      <c r="G8" s="89">
        <f t="shared" si="6"/>
        <v>2</v>
      </c>
      <c r="H8" s="293">
        <f t="shared" ca="1" si="2"/>
        <v>19</v>
      </c>
      <c r="I8" s="89">
        <f t="shared" ref="I8:I46" ca="1" si="10">SUM(G8:H8)</f>
        <v>21</v>
      </c>
      <c r="J8" s="124"/>
    </row>
    <row r="9" spans="1:10" s="100" customFormat="1" ht="16.8" x14ac:dyDescent="0.3">
      <c r="A9" s="264" t="s">
        <v>32</v>
      </c>
      <c r="B9" s="85">
        <v>6</v>
      </c>
      <c r="C9" s="265" t="s">
        <v>26</v>
      </c>
      <c r="D9" s="266">
        <f>IF(C9="Str",'Personal File'!$C$13,IF(C9="Dex",'Personal File'!$C$14,IF(C9="Con",'Personal File'!$C$15,IF(C9="Int",'Personal File'!$C$16,IF(C9="Wis",'Personal File'!$C$17,IF(C9="Cha",'Personal File'!$C$18))))))</f>
        <v>-1</v>
      </c>
      <c r="E9" s="267" t="str">
        <f t="shared" si="8"/>
        <v>Str (-1)</v>
      </c>
      <c r="F9" s="89" t="s">
        <v>53</v>
      </c>
      <c r="G9" s="89">
        <f t="shared" si="6"/>
        <v>5</v>
      </c>
      <c r="H9" s="293">
        <f t="shared" ca="1" si="2"/>
        <v>4</v>
      </c>
      <c r="I9" s="89">
        <f t="shared" ca="1" si="10"/>
        <v>9</v>
      </c>
      <c r="J9" s="124"/>
    </row>
    <row r="10" spans="1:10" s="100" customFormat="1" ht="16.8" x14ac:dyDescent="0.3">
      <c r="A10" s="269" t="s">
        <v>7</v>
      </c>
      <c r="B10" s="77">
        <v>0</v>
      </c>
      <c r="C10" s="270" t="s">
        <v>22</v>
      </c>
      <c r="D10" s="271" t="str">
        <f>IF(C10="Str",'Personal File'!$C$13,IF(C10="Dex",'Personal File'!$C$14,IF(C10="Con",'Personal File'!$C$15,IF(C10="Int",'Personal File'!$C$16,IF(C10="Wis",'Personal File'!$C$17,IF(C10="Cha",'Personal File'!$C$18))))))</f>
        <v>+1</v>
      </c>
      <c r="E10" s="194" t="str">
        <f t="shared" si="8"/>
        <v>Con (+1)</v>
      </c>
      <c r="F10" s="97" t="s">
        <v>53</v>
      </c>
      <c r="G10" s="97">
        <f t="shared" si="6"/>
        <v>1</v>
      </c>
      <c r="H10" s="293">
        <f t="shared" ca="1" si="2"/>
        <v>10</v>
      </c>
      <c r="I10" s="97">
        <f t="shared" ca="1" si="10"/>
        <v>11</v>
      </c>
      <c r="J10" s="125"/>
    </row>
    <row r="11" spans="1:10" s="91" customFormat="1" ht="16.8" x14ac:dyDescent="0.3">
      <c r="A11" s="84" t="s">
        <v>279</v>
      </c>
      <c r="B11" s="85">
        <v>5</v>
      </c>
      <c r="C11" s="86" t="s">
        <v>23</v>
      </c>
      <c r="D11" s="87" t="str">
        <f>IF(C11="Str",'Personal File'!$C$13,IF(C11="Dex",'Personal File'!$C$14,IF(C11="Con",'Personal File'!$C$15,IF(C11="Int",'Personal File'!$C$16,IF(C11="Wis",'Personal File'!$C$17,IF(C11="Cha",'Personal File'!$C$18))))))</f>
        <v>+3</v>
      </c>
      <c r="E11" s="88" t="str">
        <f t="shared" si="8"/>
        <v>Int (+3)</v>
      </c>
      <c r="F11" s="89" t="s">
        <v>53</v>
      </c>
      <c r="G11" s="89">
        <f t="shared" si="6"/>
        <v>8</v>
      </c>
      <c r="H11" s="293">
        <f t="shared" ca="1" si="2"/>
        <v>10</v>
      </c>
      <c r="I11" s="268">
        <f t="shared" ca="1" si="10"/>
        <v>18</v>
      </c>
      <c r="J11" s="124"/>
    </row>
    <row r="12" spans="1:10" s="91" customFormat="1" ht="16.8" x14ac:dyDescent="0.3">
      <c r="A12" s="84" t="s">
        <v>280</v>
      </c>
      <c r="B12" s="85">
        <v>5</v>
      </c>
      <c r="C12" s="86" t="s">
        <v>23</v>
      </c>
      <c r="D12" s="87" t="str">
        <f>IF(C12="Str",'Personal File'!$C$13,IF(C12="Dex",'Personal File'!$C$14,IF(C12="Con",'Personal File'!$C$15,IF(C12="Int",'Personal File'!$C$16,IF(C12="Wis",'Personal File'!$C$17,IF(C12="Cha",'Personal File'!$C$18))))))</f>
        <v>+3</v>
      </c>
      <c r="E12" s="88" t="str">
        <f t="shared" ref="E12:E14" si="11">CONCATENATE(C12," (",D12,")")</f>
        <v>Int (+3)</v>
      </c>
      <c r="F12" s="89" t="s">
        <v>53</v>
      </c>
      <c r="G12" s="89">
        <f t="shared" ref="G12:G14" si="12">B12+D12+F12</f>
        <v>8</v>
      </c>
      <c r="H12" s="293">
        <f t="shared" ca="1" si="2"/>
        <v>20</v>
      </c>
      <c r="I12" s="268">
        <f t="shared" ref="I12:I14" ca="1" si="13">SUM(G12:H12)</f>
        <v>28</v>
      </c>
      <c r="J12" s="124"/>
    </row>
    <row r="13" spans="1:10" s="91" customFormat="1" ht="16.8" x14ac:dyDescent="0.3">
      <c r="A13" s="84" t="s">
        <v>297</v>
      </c>
      <c r="B13" s="85">
        <v>4</v>
      </c>
      <c r="C13" s="86" t="s">
        <v>23</v>
      </c>
      <c r="D13" s="87" t="str">
        <f>IF(C13="Str",'Personal File'!$C$13,IF(C13="Dex",'Personal File'!$C$14,IF(C13="Con",'Personal File'!$C$15,IF(C13="Int",'Personal File'!$C$16,IF(C13="Wis",'Personal File'!$C$17,IF(C13="Cha",'Personal File'!$C$18))))))</f>
        <v>+3</v>
      </c>
      <c r="E13" s="88" t="str">
        <f t="shared" ref="E13" si="14">CONCATENATE(C13," (",D13,")")</f>
        <v>Int (+3)</v>
      </c>
      <c r="F13" s="89" t="s">
        <v>53</v>
      </c>
      <c r="G13" s="89">
        <f t="shared" ref="G13" si="15">B13+D13+F13</f>
        <v>7</v>
      </c>
      <c r="H13" s="293">
        <f t="shared" ca="1" si="2"/>
        <v>18</v>
      </c>
      <c r="I13" s="268">
        <f t="shared" ref="I13" ca="1" si="16">SUM(G13:H13)</f>
        <v>25</v>
      </c>
      <c r="J13" s="124"/>
    </row>
    <row r="14" spans="1:10" s="91" customFormat="1" ht="16.8" x14ac:dyDescent="0.3">
      <c r="A14" s="84" t="s">
        <v>130</v>
      </c>
      <c r="B14" s="85">
        <v>14</v>
      </c>
      <c r="C14" s="86" t="s">
        <v>23</v>
      </c>
      <c r="D14" s="87" t="str">
        <f>IF(C14="Str",'Personal File'!$C$13,IF(C14="Dex",'Personal File'!$C$14,IF(C14="Con",'Personal File'!$C$15,IF(C14="Int",'Personal File'!$C$16,IF(C14="Wis",'Personal File'!$C$17,IF(C14="Cha",'Personal File'!$C$18))))))</f>
        <v>+3</v>
      </c>
      <c r="E14" s="88" t="str">
        <f t="shared" si="11"/>
        <v>Int (+3)</v>
      </c>
      <c r="F14" s="89" t="s">
        <v>73</v>
      </c>
      <c r="G14" s="89">
        <f t="shared" si="12"/>
        <v>19</v>
      </c>
      <c r="H14" s="293">
        <f t="shared" ca="1" si="2"/>
        <v>15</v>
      </c>
      <c r="I14" s="268">
        <f t="shared" ca="1" si="13"/>
        <v>34</v>
      </c>
      <c r="J14" s="124"/>
    </row>
    <row r="15" spans="1:10" s="101" customFormat="1" ht="16.8" x14ac:dyDescent="0.3">
      <c r="A15" s="120" t="s">
        <v>33</v>
      </c>
      <c r="B15" s="109">
        <v>0</v>
      </c>
      <c r="C15" s="121" t="s">
        <v>23</v>
      </c>
      <c r="D15" s="122" t="str">
        <f>IF(C15="Str",'Personal File'!$C$13,IF(C15="Dex",'Personal File'!$C$14,IF(C15="Con",'Personal File'!$C$15,IF(C15="Int",'Personal File'!$C$16,IF(C15="Wis",'Personal File'!$C$17,IF(C15="Cha",'Personal File'!$C$18))))))</f>
        <v>+3</v>
      </c>
      <c r="E15" s="123" t="str">
        <f t="shared" si="8"/>
        <v>Int (+3)</v>
      </c>
      <c r="F15" s="110" t="s">
        <v>53</v>
      </c>
      <c r="G15" s="110">
        <f t="shared" si="6"/>
        <v>3</v>
      </c>
      <c r="H15" s="293">
        <f t="shared" ca="1" si="2"/>
        <v>20</v>
      </c>
      <c r="I15" s="110">
        <f t="shared" ca="1" si="10"/>
        <v>23</v>
      </c>
      <c r="J15" s="211"/>
    </row>
    <row r="16" spans="1:10" s="92" customFormat="1" ht="16.8" x14ac:dyDescent="0.3">
      <c r="A16" s="212" t="s">
        <v>34</v>
      </c>
      <c r="B16" s="85">
        <v>2</v>
      </c>
      <c r="C16" s="213" t="s">
        <v>21</v>
      </c>
      <c r="D16" s="214" t="str">
        <f>IF(C16="Str",'Personal File'!$C$13,IF(C16="Dex",'Personal File'!$C$14,IF(C16="Con",'Personal File'!$C$15,IF(C16="Int",'Personal File'!$C$16,IF(C16="Wis",'Personal File'!$C$17,IF(C16="Cha",'Personal File'!$C$18))))))</f>
        <v>+0</v>
      </c>
      <c r="E16" s="215" t="str">
        <f t="shared" si="8"/>
        <v>Cha (+0)</v>
      </c>
      <c r="F16" s="89" t="s">
        <v>53</v>
      </c>
      <c r="G16" s="89">
        <f t="shared" si="6"/>
        <v>2</v>
      </c>
      <c r="H16" s="293">
        <f t="shared" ca="1" si="2"/>
        <v>15</v>
      </c>
      <c r="I16" s="89">
        <f t="shared" ca="1" si="10"/>
        <v>17</v>
      </c>
      <c r="J16" s="124"/>
    </row>
    <row r="17" spans="1:10" s="92" customFormat="1" ht="16.8" x14ac:dyDescent="0.3">
      <c r="A17" s="84" t="s">
        <v>35</v>
      </c>
      <c r="B17" s="85">
        <v>5</v>
      </c>
      <c r="C17" s="86" t="s">
        <v>23</v>
      </c>
      <c r="D17" s="87" t="str">
        <f>IF(C17="Str",'Personal File'!$C$13,IF(C17="Dex",'Personal File'!$C$14,IF(C17="Con",'Personal File'!$C$15,IF(C17="Int",'Personal File'!$C$16,IF(C17="Wis",'Personal File'!$C$17,IF(C17="Cha",'Personal File'!$C$18))))))</f>
        <v>+3</v>
      </c>
      <c r="E17" s="88" t="str">
        <f t="shared" si="8"/>
        <v>Int (+3)</v>
      </c>
      <c r="F17" s="89" t="s">
        <v>73</v>
      </c>
      <c r="G17" s="89">
        <f t="shared" si="6"/>
        <v>10</v>
      </c>
      <c r="H17" s="293">
        <f t="shared" ca="1" si="2"/>
        <v>14</v>
      </c>
      <c r="I17" s="89">
        <f t="shared" ca="1" si="10"/>
        <v>24</v>
      </c>
      <c r="J17" s="124"/>
    </row>
    <row r="18" spans="1:10" s="92" customFormat="1" ht="16.8" x14ac:dyDescent="0.3">
      <c r="A18" s="212" t="s">
        <v>36</v>
      </c>
      <c r="B18" s="85">
        <v>4</v>
      </c>
      <c r="C18" s="213" t="s">
        <v>21</v>
      </c>
      <c r="D18" s="214" t="str">
        <f>IF(C18="Str",'Personal File'!$C$13,IF(C18="Dex",'Personal File'!$C$14,IF(C18="Con",'Personal File'!$C$15,IF(C18="Int",'Personal File'!$C$16,IF(C18="Wis",'Personal File'!$C$17,IF(C18="Cha",'Personal File'!$C$18))))))</f>
        <v>+0</v>
      </c>
      <c r="E18" s="215" t="str">
        <f t="shared" si="8"/>
        <v>Cha (+0)</v>
      </c>
      <c r="F18" s="89" t="s">
        <v>53</v>
      </c>
      <c r="G18" s="89">
        <f t="shared" si="6"/>
        <v>4</v>
      </c>
      <c r="H18" s="293">
        <f t="shared" ca="1" si="2"/>
        <v>16</v>
      </c>
      <c r="I18" s="89">
        <f t="shared" ca="1" si="10"/>
        <v>20</v>
      </c>
      <c r="J18" s="124"/>
    </row>
    <row r="19" spans="1:10" s="92" customFormat="1" ht="16.8" x14ac:dyDescent="0.3">
      <c r="A19" s="205" t="s">
        <v>37</v>
      </c>
      <c r="B19" s="85">
        <v>1</v>
      </c>
      <c r="C19" s="206" t="s">
        <v>25</v>
      </c>
      <c r="D19" s="207" t="str">
        <f>IF(C19="Str",'Personal File'!$C$13,IF(C19="Dex",'Personal File'!$C$14,IF(C19="Con",'Personal File'!$C$15,IF(C19="Int",'Personal File'!$C$16,IF(C19="Wis",'Personal File'!$C$17,IF(C19="Cha",'Personal File'!$C$18))))))</f>
        <v>+3</v>
      </c>
      <c r="E19" s="208" t="str">
        <f t="shared" si="8"/>
        <v>Dex (+3)</v>
      </c>
      <c r="F19" s="89" t="s">
        <v>53</v>
      </c>
      <c r="G19" s="89">
        <f t="shared" si="6"/>
        <v>4</v>
      </c>
      <c r="H19" s="293">
        <f t="shared" ca="1" si="2"/>
        <v>18</v>
      </c>
      <c r="I19" s="89">
        <f t="shared" ca="1" si="10"/>
        <v>22</v>
      </c>
      <c r="J19" s="124"/>
    </row>
    <row r="20" spans="1:10" s="92" customFormat="1" ht="16.8" x14ac:dyDescent="0.3">
      <c r="A20" s="105" t="s">
        <v>38</v>
      </c>
      <c r="B20" s="77">
        <v>0</v>
      </c>
      <c r="C20" s="106" t="s">
        <v>23</v>
      </c>
      <c r="D20" s="107" t="str">
        <f>IF(C20="Str",'Personal File'!$C$13,IF(C20="Dex",'Personal File'!$C$14,IF(C20="Con",'Personal File'!$C$15,IF(C20="Int",'Personal File'!$C$16,IF(C20="Wis",'Personal File'!$C$17,IF(C20="Cha",'Personal File'!$C$18))))))</f>
        <v>+3</v>
      </c>
      <c r="E20" s="108" t="str">
        <f t="shared" si="8"/>
        <v>Int (+3)</v>
      </c>
      <c r="F20" s="97" t="s">
        <v>53</v>
      </c>
      <c r="G20" s="97">
        <f t="shared" si="6"/>
        <v>3</v>
      </c>
      <c r="H20" s="293">
        <f t="shared" ca="1" si="2"/>
        <v>6</v>
      </c>
      <c r="I20" s="97">
        <f t="shared" ca="1" si="10"/>
        <v>9</v>
      </c>
      <c r="J20" s="125"/>
    </row>
    <row r="21" spans="1:10" s="92" customFormat="1" ht="16.8" x14ac:dyDescent="0.3">
      <c r="A21" s="212" t="s">
        <v>39</v>
      </c>
      <c r="B21" s="85">
        <v>1</v>
      </c>
      <c r="C21" s="213" t="s">
        <v>21</v>
      </c>
      <c r="D21" s="214" t="str">
        <f>IF(C21="Str",'Personal File'!$C$13,IF(C21="Dex",'Personal File'!$C$14,IF(C21="Con",'Personal File'!$C$15,IF(C21="Int",'Personal File'!$C$16,IF(C21="Wis",'Personal File'!$C$17,IF(C21="Cha",'Personal File'!$C$18))))))</f>
        <v>+0</v>
      </c>
      <c r="E21" s="215" t="str">
        <f t="shared" si="8"/>
        <v>Cha (+0)</v>
      </c>
      <c r="F21" s="89" t="s">
        <v>53</v>
      </c>
      <c r="G21" s="89">
        <f t="shared" si="6"/>
        <v>1</v>
      </c>
      <c r="H21" s="293">
        <f t="shared" ca="1" si="2"/>
        <v>17</v>
      </c>
      <c r="I21" s="89">
        <f t="shared" ca="1" si="10"/>
        <v>18</v>
      </c>
      <c r="J21" s="124"/>
    </row>
    <row r="22" spans="1:10" s="92" customFormat="1" ht="16.8" x14ac:dyDescent="0.3">
      <c r="A22" s="93" t="s">
        <v>9</v>
      </c>
      <c r="B22" s="77">
        <v>0</v>
      </c>
      <c r="C22" s="94" t="s">
        <v>21</v>
      </c>
      <c r="D22" s="95" t="str">
        <f>IF(C22="Str",'Personal File'!$C$13,IF(C22="Dex",'Personal File'!$C$14,IF(C22="Con",'Personal File'!$C$15,IF(C22="Int",'Personal File'!$C$16,IF(C22="Wis",'Personal File'!$C$17,IF(C22="Cha",'Personal File'!$C$18))))))</f>
        <v>+0</v>
      </c>
      <c r="E22" s="96" t="str">
        <f t="shared" si="8"/>
        <v>Cha (+0)</v>
      </c>
      <c r="F22" s="97" t="s">
        <v>73</v>
      </c>
      <c r="G22" s="97">
        <f t="shared" si="6"/>
        <v>2</v>
      </c>
      <c r="H22" s="293">
        <f t="shared" ca="1" si="2"/>
        <v>20</v>
      </c>
      <c r="I22" s="97">
        <f t="shared" ca="1" si="10"/>
        <v>22</v>
      </c>
      <c r="J22" s="125"/>
    </row>
    <row r="23" spans="1:10" s="92" customFormat="1" ht="16.8" x14ac:dyDescent="0.3">
      <c r="A23" s="112" t="s">
        <v>40</v>
      </c>
      <c r="B23" s="77">
        <v>0</v>
      </c>
      <c r="C23" s="113" t="s">
        <v>24</v>
      </c>
      <c r="D23" s="114" t="str">
        <f>IF(C23="Str",'Personal File'!$C$13,IF(C23="Dex",'Personal File'!$C$14,IF(C23="Con",'Personal File'!$C$15,IF(C23="Int",'Personal File'!$C$16,IF(C23="Wis",'Personal File'!$C$17,IF(C23="Cha",'Personal File'!$C$18))))))</f>
        <v>+1</v>
      </c>
      <c r="E23" s="115" t="str">
        <f t="shared" si="8"/>
        <v>Wis (+1)</v>
      </c>
      <c r="F23" s="97" t="s">
        <v>53</v>
      </c>
      <c r="G23" s="97">
        <f t="shared" si="6"/>
        <v>1</v>
      </c>
      <c r="H23" s="293">
        <f t="shared" ca="1" si="2"/>
        <v>16</v>
      </c>
      <c r="I23" s="97">
        <f t="shared" ca="1" si="10"/>
        <v>17</v>
      </c>
      <c r="J23" s="125"/>
    </row>
    <row r="24" spans="1:10" s="92" customFormat="1" ht="16.8" x14ac:dyDescent="0.3">
      <c r="A24" s="205" t="s">
        <v>41</v>
      </c>
      <c r="B24" s="85">
        <v>6</v>
      </c>
      <c r="C24" s="206" t="s">
        <v>25</v>
      </c>
      <c r="D24" s="207" t="str">
        <f>IF(C24="Str",'Personal File'!$C$13,IF(C24="Dex",'Personal File'!$C$14,IF(C24="Con",'Personal File'!$C$15,IF(C24="Int",'Personal File'!$C$16,IF(C24="Wis",'Personal File'!$C$17,IF(C24="Cha",'Personal File'!$C$18))))))</f>
        <v>+3</v>
      </c>
      <c r="E24" s="208" t="str">
        <f t="shared" si="8"/>
        <v>Dex (+3)</v>
      </c>
      <c r="F24" s="89" t="s">
        <v>89</v>
      </c>
      <c r="G24" s="89">
        <f t="shared" si="6"/>
        <v>13</v>
      </c>
      <c r="H24" s="293">
        <f t="shared" ca="1" si="2"/>
        <v>6</v>
      </c>
      <c r="I24" s="89">
        <f t="shared" ca="1" si="10"/>
        <v>19</v>
      </c>
      <c r="J24" s="124"/>
    </row>
    <row r="25" spans="1:10" s="92" customFormat="1" ht="16.8" x14ac:dyDescent="0.3">
      <c r="A25" s="93" t="s">
        <v>42</v>
      </c>
      <c r="B25" s="77">
        <v>0</v>
      </c>
      <c r="C25" s="94" t="s">
        <v>21</v>
      </c>
      <c r="D25" s="95" t="str">
        <f>IF(C25="Str",'Personal File'!$C$13,IF(C25="Dex",'Personal File'!$C$14,IF(C25="Con",'Personal File'!$C$15,IF(C25="Int",'Personal File'!$C$16,IF(C25="Wis",'Personal File'!$C$17,IF(C25="Cha",'Personal File'!$C$18))))))</f>
        <v>+0</v>
      </c>
      <c r="E25" s="96" t="str">
        <f t="shared" si="8"/>
        <v>Cha (+0)</v>
      </c>
      <c r="F25" s="97" t="s">
        <v>53</v>
      </c>
      <c r="G25" s="97">
        <f t="shared" si="6"/>
        <v>0</v>
      </c>
      <c r="H25" s="293">
        <f t="shared" ca="1" si="2"/>
        <v>14</v>
      </c>
      <c r="I25" s="97">
        <f t="shared" ca="1" si="10"/>
        <v>14</v>
      </c>
      <c r="J25" s="125"/>
    </row>
    <row r="26" spans="1:10" s="92" customFormat="1" ht="16.8" x14ac:dyDescent="0.3">
      <c r="A26" s="264" t="s">
        <v>43</v>
      </c>
      <c r="B26" s="85">
        <v>1</v>
      </c>
      <c r="C26" s="265" t="s">
        <v>26</v>
      </c>
      <c r="D26" s="266">
        <f>IF(C26="Str",'Personal File'!$C$13,IF(C26="Dex",'Personal File'!$C$14,IF(C26="Con",'Personal File'!$C$15,IF(C26="Int",'Personal File'!$C$16,IF(C26="Wis",'Personal File'!$C$17,IF(C26="Cha",'Personal File'!$C$18))))))</f>
        <v>-1</v>
      </c>
      <c r="E26" s="267" t="str">
        <f t="shared" si="8"/>
        <v>Str (-1)</v>
      </c>
      <c r="F26" s="89" t="s">
        <v>53</v>
      </c>
      <c r="G26" s="89">
        <f t="shared" si="6"/>
        <v>0</v>
      </c>
      <c r="H26" s="293">
        <f t="shared" ca="1" si="2"/>
        <v>7</v>
      </c>
      <c r="I26" s="89">
        <f t="shared" ca="1" si="10"/>
        <v>7</v>
      </c>
      <c r="J26" s="124"/>
    </row>
    <row r="27" spans="1:10" s="92" customFormat="1" ht="16.8" x14ac:dyDescent="0.3">
      <c r="A27" s="84" t="s">
        <v>188</v>
      </c>
      <c r="B27" s="85">
        <v>7</v>
      </c>
      <c r="C27" s="86" t="s">
        <v>23</v>
      </c>
      <c r="D27" s="87" t="str">
        <f>IF(C27="Str",'Personal File'!$C$13,IF(C27="Dex",'Personal File'!$C$14,IF(C27="Con",'Personal File'!$C$15,IF(C27="Int",'Personal File'!$C$16,IF(C27="Wis",'Personal File'!$C$17,IF(C27="Cha",'Personal File'!$C$18))))))</f>
        <v>+3</v>
      </c>
      <c r="E27" s="88" t="str">
        <f t="shared" ref="E27:E28" si="17">CONCATENATE(C27," (",D27,")")</f>
        <v>Int (+3)</v>
      </c>
      <c r="F27" s="89" t="s">
        <v>53</v>
      </c>
      <c r="G27" s="89">
        <f t="shared" ref="G27:G28" si="18">B27+D27+F27</f>
        <v>10</v>
      </c>
      <c r="H27" s="293">
        <f t="shared" ca="1" si="2"/>
        <v>5</v>
      </c>
      <c r="I27" s="89">
        <f t="shared" ref="I27:I28" ca="1" si="19">SUM(G27:H27)</f>
        <v>15</v>
      </c>
      <c r="J27" s="124"/>
    </row>
    <row r="28" spans="1:10" s="92" customFormat="1" ht="16.8" x14ac:dyDescent="0.3">
      <c r="A28" s="84" t="s">
        <v>386</v>
      </c>
      <c r="B28" s="85">
        <v>2</v>
      </c>
      <c r="C28" s="86" t="s">
        <v>23</v>
      </c>
      <c r="D28" s="87" t="str">
        <f>IF(C28="Str",'Personal File'!$C$13,IF(C28="Dex",'Personal File'!$C$14,IF(C28="Con",'Personal File'!$C$15,IF(C28="Int",'Personal File'!$C$16,IF(C28="Wis",'Personal File'!$C$17,IF(C28="Cha",'Personal File'!$C$18))))))</f>
        <v>+3</v>
      </c>
      <c r="E28" s="88" t="str">
        <f t="shared" si="17"/>
        <v>Int (+3)</v>
      </c>
      <c r="F28" s="89" t="s">
        <v>73</v>
      </c>
      <c r="G28" s="89">
        <f t="shared" si="18"/>
        <v>7</v>
      </c>
      <c r="H28" s="293">
        <f t="shared" ca="1" si="2"/>
        <v>20</v>
      </c>
      <c r="I28" s="89">
        <f t="shared" ca="1" si="19"/>
        <v>27</v>
      </c>
      <c r="J28" s="124"/>
    </row>
    <row r="29" spans="1:10" s="92" customFormat="1" ht="16.8" x14ac:dyDescent="0.3">
      <c r="A29" s="84" t="s">
        <v>298</v>
      </c>
      <c r="B29" s="85">
        <v>9</v>
      </c>
      <c r="C29" s="86" t="s">
        <v>23</v>
      </c>
      <c r="D29" s="87" t="str">
        <f>IF(C29="Str",'Personal File'!$C$13,IF(C29="Dex",'Personal File'!$C$14,IF(C29="Con",'Personal File'!$C$15,IF(C29="Int",'Personal File'!$C$16,IF(C29="Wis",'Personal File'!$C$17,IF(C29="Cha",'Personal File'!$C$18))))))</f>
        <v>+3</v>
      </c>
      <c r="E29" s="88" t="str">
        <f t="shared" ref="E29" si="20">CONCATENATE(C29," (",D29,")")</f>
        <v>Int (+3)</v>
      </c>
      <c r="F29" s="89" t="s">
        <v>53</v>
      </c>
      <c r="G29" s="89">
        <f t="shared" ref="G29" si="21">B29+D29+F29</f>
        <v>12</v>
      </c>
      <c r="H29" s="293">
        <f t="shared" ca="1" si="2"/>
        <v>17</v>
      </c>
      <c r="I29" s="89">
        <f t="shared" ref="I29" ca="1" si="22">SUM(G29:H29)</f>
        <v>29</v>
      </c>
      <c r="J29" s="124"/>
    </row>
    <row r="30" spans="1:10" s="92" customFormat="1" ht="16.8" x14ac:dyDescent="0.3">
      <c r="A30" s="112" t="s">
        <v>44</v>
      </c>
      <c r="B30" s="77">
        <v>0</v>
      </c>
      <c r="C30" s="113" t="s">
        <v>24</v>
      </c>
      <c r="D30" s="114" t="str">
        <f>IF(C30="Str",'Personal File'!$C$13,IF(C30="Dex",'Personal File'!$C$14,IF(C30="Con",'Personal File'!$C$15,IF(C30="Int",'Personal File'!$C$16,IF(C30="Wis",'Personal File'!$C$17,IF(C30="Cha",'Personal File'!$C$18))))))</f>
        <v>+1</v>
      </c>
      <c r="E30" s="115" t="str">
        <f t="shared" si="8"/>
        <v>Wis (+1)</v>
      </c>
      <c r="F30" s="696">
        <f>2</f>
        <v>2</v>
      </c>
      <c r="G30" s="97">
        <f t="shared" si="6"/>
        <v>3</v>
      </c>
      <c r="H30" s="293">
        <f t="shared" ca="1" si="2"/>
        <v>7</v>
      </c>
      <c r="I30" s="97">
        <f t="shared" ca="1" si="10"/>
        <v>10</v>
      </c>
      <c r="J30" s="125"/>
    </row>
    <row r="31" spans="1:10" s="92" customFormat="1" ht="16.8" x14ac:dyDescent="0.3">
      <c r="A31" s="205" t="s">
        <v>10</v>
      </c>
      <c r="B31" s="85">
        <v>6</v>
      </c>
      <c r="C31" s="206" t="s">
        <v>25</v>
      </c>
      <c r="D31" s="207" t="str">
        <f>IF(C31="Str",'Personal File'!$C$13,IF(C31="Dex",'Personal File'!$C$14,IF(C31="Con",'Personal File'!$C$15,IF(C31="Int",'Personal File'!$C$16,IF(C31="Wis",'Personal File'!$C$17,IF(C31="Cha",'Personal File'!$C$18))))))</f>
        <v>+3</v>
      </c>
      <c r="E31" s="208" t="str">
        <f t="shared" si="8"/>
        <v>Dex (+3)</v>
      </c>
      <c r="F31" s="89" t="s">
        <v>89</v>
      </c>
      <c r="G31" s="89">
        <f t="shared" si="6"/>
        <v>13</v>
      </c>
      <c r="H31" s="293">
        <f t="shared" ca="1" si="2"/>
        <v>5</v>
      </c>
      <c r="I31" s="89">
        <f t="shared" ca="1" si="10"/>
        <v>18</v>
      </c>
      <c r="J31" s="124"/>
    </row>
    <row r="32" spans="1:10" s="92" customFormat="1" ht="16.8" x14ac:dyDescent="0.3">
      <c r="A32" s="205" t="s">
        <v>45</v>
      </c>
      <c r="B32" s="85">
        <v>6</v>
      </c>
      <c r="C32" s="206" t="s">
        <v>25</v>
      </c>
      <c r="D32" s="207" t="str">
        <f>IF(C32="Str",'Personal File'!$C$13,IF(C32="Dex",'Personal File'!$C$14,IF(C32="Con",'Personal File'!$C$15,IF(C32="Int",'Personal File'!$C$16,IF(C32="Wis",'Personal File'!$C$17,IF(C32="Cha",'Personal File'!$C$18))))))</f>
        <v>+3</v>
      </c>
      <c r="E32" s="208" t="str">
        <f t="shared" si="8"/>
        <v>Dex (+3)</v>
      </c>
      <c r="F32" s="89" t="s">
        <v>53</v>
      </c>
      <c r="G32" s="89">
        <f t="shared" si="6"/>
        <v>9</v>
      </c>
      <c r="H32" s="293">
        <f t="shared" ca="1" si="2"/>
        <v>3</v>
      </c>
      <c r="I32" s="89">
        <f t="shared" ca="1" si="10"/>
        <v>12</v>
      </c>
      <c r="J32" s="124"/>
    </row>
    <row r="33" spans="1:10" ht="16.8" x14ac:dyDescent="0.3">
      <c r="A33" s="93" t="s">
        <v>98</v>
      </c>
      <c r="B33" s="77">
        <v>0</v>
      </c>
      <c r="C33" s="94" t="s">
        <v>21</v>
      </c>
      <c r="D33" s="95" t="str">
        <f>IF(C33="Str",'Personal File'!$C$13,IF(C33="Dex",'Personal File'!$C$14,IF(C33="Con",'Personal File'!$C$15,IF(C33="Int",'Personal File'!$C$16,IF(C33="Wis",'Personal File'!$C$17,IF(C33="Cha",'Personal File'!$C$18))))))</f>
        <v>+0</v>
      </c>
      <c r="E33" s="96" t="str">
        <f t="shared" si="8"/>
        <v>Cha (+0)</v>
      </c>
      <c r="F33" s="97" t="s">
        <v>53</v>
      </c>
      <c r="G33" s="97">
        <f t="shared" si="6"/>
        <v>0</v>
      </c>
      <c r="H33" s="293">
        <f t="shared" ca="1" si="2"/>
        <v>13</v>
      </c>
      <c r="I33" s="97">
        <f t="shared" ca="1" si="10"/>
        <v>13</v>
      </c>
      <c r="J33" s="125"/>
    </row>
    <row r="34" spans="1:10" ht="16.8" x14ac:dyDescent="0.3">
      <c r="A34" s="212" t="s">
        <v>274</v>
      </c>
      <c r="B34" s="85">
        <v>8</v>
      </c>
      <c r="C34" s="221" t="s">
        <v>24</v>
      </c>
      <c r="D34" s="222" t="str">
        <f>IF(C34="Str",'Personal File'!$C$13,IF(C34="Dex",'Personal File'!$C$14,IF(C34="Con",'Personal File'!$C$15,IF(C34="Int",'Personal File'!$C$16,IF(C34="Wis",'Personal File'!$C$17,IF(C34="Cha",'Personal File'!$C$18))))))</f>
        <v>+1</v>
      </c>
      <c r="E34" s="223" t="str">
        <f t="shared" ref="E34" si="23">CONCATENATE(C34," (",D34,")")</f>
        <v>Wis (+1)</v>
      </c>
      <c r="F34" s="89" t="s">
        <v>53</v>
      </c>
      <c r="G34" s="224">
        <f t="shared" si="6"/>
        <v>9</v>
      </c>
      <c r="H34" s="293">
        <f t="shared" ca="1" si="2"/>
        <v>10</v>
      </c>
      <c r="I34" s="224">
        <f t="shared" ca="1" si="10"/>
        <v>19</v>
      </c>
      <c r="J34" s="124"/>
    </row>
    <row r="35" spans="1:10" ht="16.8" x14ac:dyDescent="0.3">
      <c r="A35" s="102" t="s">
        <v>11</v>
      </c>
      <c r="B35" s="77">
        <v>0</v>
      </c>
      <c r="C35" s="103" t="s">
        <v>25</v>
      </c>
      <c r="D35" s="104" t="str">
        <f>IF(C35="Str",'Personal File'!$C$13,IF(C35="Dex",'Personal File'!$C$14,IF(C35="Con",'Personal File'!$C$15,IF(C35="Int",'Personal File'!$C$16,IF(C35="Wis",'Personal File'!$C$17,IF(C35="Cha",'Personal File'!$C$18))))))</f>
        <v>+3</v>
      </c>
      <c r="E35" s="80" t="str">
        <f t="shared" si="8"/>
        <v>Dex (+3)</v>
      </c>
      <c r="F35" s="97" t="s">
        <v>53</v>
      </c>
      <c r="G35" s="97">
        <f t="shared" si="6"/>
        <v>3</v>
      </c>
      <c r="H35" s="293">
        <f t="shared" ca="1" si="2"/>
        <v>18</v>
      </c>
      <c r="I35" s="97">
        <f t="shared" ca="1" si="10"/>
        <v>21</v>
      </c>
      <c r="J35" s="98"/>
    </row>
    <row r="36" spans="1:10" ht="16.8" x14ac:dyDescent="0.3">
      <c r="A36" s="84" t="s">
        <v>12</v>
      </c>
      <c r="B36" s="85">
        <v>3</v>
      </c>
      <c r="C36" s="86" t="s">
        <v>23</v>
      </c>
      <c r="D36" s="87" t="str">
        <f>IF(C36="Str",'Personal File'!$C$13,IF(C36="Dex",'Personal File'!$C$14,IF(C36="Con",'Personal File'!$C$15,IF(C36="Int",'Personal File'!$C$16,IF(C36="Wis",'Personal File'!$C$17,IF(C36="Cha",'Personal File'!$C$18))))))</f>
        <v>+3</v>
      </c>
      <c r="E36" s="88" t="str">
        <f t="shared" si="8"/>
        <v>Int (+3)</v>
      </c>
      <c r="F36" s="89" t="s">
        <v>53</v>
      </c>
      <c r="G36" s="89">
        <f t="shared" si="6"/>
        <v>6</v>
      </c>
      <c r="H36" s="293">
        <f t="shared" ca="1" si="2"/>
        <v>5</v>
      </c>
      <c r="I36" s="89">
        <f t="shared" ca="1" si="10"/>
        <v>11</v>
      </c>
      <c r="J36" s="90"/>
    </row>
    <row r="37" spans="1:10" ht="16.8" x14ac:dyDescent="0.3">
      <c r="A37" s="308" t="s">
        <v>46</v>
      </c>
      <c r="B37" s="85">
        <v>1</v>
      </c>
      <c r="C37" s="221" t="s">
        <v>24</v>
      </c>
      <c r="D37" s="222" t="str">
        <f>IF(C37="Str",'Personal File'!$C$13,IF(C37="Dex",'Personal File'!$C$14,IF(C37="Con",'Personal File'!$C$15,IF(C37="Int",'Personal File'!$C$16,IF(C37="Wis",'Personal File'!$C$17,IF(C37="Cha",'Personal File'!$C$18))))))</f>
        <v>+1</v>
      </c>
      <c r="E37" s="223" t="str">
        <f t="shared" si="8"/>
        <v>Wis (+1)</v>
      </c>
      <c r="F37" s="89" t="s">
        <v>53</v>
      </c>
      <c r="G37" s="89">
        <f t="shared" si="6"/>
        <v>2</v>
      </c>
      <c r="H37" s="293">
        <f t="shared" ca="1" si="2"/>
        <v>20</v>
      </c>
      <c r="I37" s="89">
        <f t="shared" ca="1" si="10"/>
        <v>22</v>
      </c>
      <c r="J37" s="90"/>
    </row>
    <row r="38" spans="1:10" ht="16.8" x14ac:dyDescent="0.3">
      <c r="A38" s="201" t="s">
        <v>68</v>
      </c>
      <c r="B38" s="109">
        <v>0</v>
      </c>
      <c r="C38" s="202" t="s">
        <v>25</v>
      </c>
      <c r="D38" s="203" t="str">
        <f>IF(C38="Str",'Personal File'!$C$13,IF(C38="Dex",'Personal File'!$C$14,IF(C38="Con",'Personal File'!$C$15,IF(C38="Int",'Personal File'!$C$16,IF(C38="Wis",'Personal File'!$C$17,IF(C38="Cha",'Personal File'!$C$18))))))</f>
        <v>+3</v>
      </c>
      <c r="E38" s="204" t="str">
        <f t="shared" si="8"/>
        <v>Dex (+3)</v>
      </c>
      <c r="F38" s="110" t="s">
        <v>53</v>
      </c>
      <c r="G38" s="110">
        <f t="shared" si="6"/>
        <v>3</v>
      </c>
      <c r="H38" s="293">
        <f t="shared" ca="1" si="2"/>
        <v>3</v>
      </c>
      <c r="I38" s="110">
        <f t="shared" ca="1" si="10"/>
        <v>6</v>
      </c>
      <c r="J38" s="111"/>
    </row>
    <row r="39" spans="1:10" ht="16.8" x14ac:dyDescent="0.3">
      <c r="A39" s="120" t="s">
        <v>129</v>
      </c>
      <c r="B39" s="109">
        <v>0</v>
      </c>
      <c r="C39" s="121" t="s">
        <v>23</v>
      </c>
      <c r="D39" s="122" t="str">
        <f>IF(C39="Str",'Personal File'!$C$13,IF(C39="Dex",'Personal File'!$C$14,IF(C39="Con",'Personal File'!$C$15,IF(C39="Int",'Personal File'!$C$16,IF(C39="Wis",'Personal File'!$C$17,IF(C39="Cha",'Personal File'!$C$18))))))</f>
        <v>+3</v>
      </c>
      <c r="E39" s="123" t="str">
        <f t="shared" si="8"/>
        <v>Int (+3)</v>
      </c>
      <c r="F39" s="110" t="s">
        <v>53</v>
      </c>
      <c r="G39" s="110" t="s">
        <v>53</v>
      </c>
      <c r="H39" s="293">
        <f t="shared" ca="1" si="2"/>
        <v>9</v>
      </c>
      <c r="I39" s="110">
        <f t="shared" ca="1" si="10"/>
        <v>9</v>
      </c>
      <c r="J39" s="211"/>
    </row>
    <row r="40" spans="1:10" ht="16.8" x14ac:dyDescent="0.3">
      <c r="A40" s="84" t="s">
        <v>47</v>
      </c>
      <c r="B40" s="85">
        <v>0</v>
      </c>
      <c r="C40" s="86" t="s">
        <v>23</v>
      </c>
      <c r="D40" s="87" t="str">
        <f>IF(C40="Str",'Personal File'!$C$13,IF(C40="Dex",'Personal File'!$C$14,IF(C40="Con",'Personal File'!$C$15,IF(C40="Int",'Personal File'!$C$16,IF(C40="Wis",'Personal File'!$C$17,IF(C40="Cha",'Personal File'!$C$18))))))</f>
        <v>+3</v>
      </c>
      <c r="E40" s="88" t="str">
        <f t="shared" si="8"/>
        <v>Int (+3)</v>
      </c>
      <c r="F40" s="89" t="s">
        <v>53</v>
      </c>
      <c r="G40" s="89">
        <f t="shared" si="6"/>
        <v>3</v>
      </c>
      <c r="H40" s="293">
        <f t="shared" ca="1" si="2"/>
        <v>2</v>
      </c>
      <c r="I40" s="89">
        <f t="shared" ca="1" si="10"/>
        <v>5</v>
      </c>
      <c r="J40" s="124"/>
    </row>
    <row r="41" spans="1:10" ht="16.8" x14ac:dyDescent="0.3">
      <c r="A41" s="308" t="s">
        <v>48</v>
      </c>
      <c r="B41" s="85">
        <v>4</v>
      </c>
      <c r="C41" s="221" t="s">
        <v>24</v>
      </c>
      <c r="D41" s="222" t="str">
        <f>IF(C41="Str",'Personal File'!$C$13,IF(C41="Dex",'Personal File'!$C$14,IF(C41="Con",'Personal File'!$C$15,IF(C41="Int",'Personal File'!$C$16,IF(C41="Wis",'Personal File'!$C$17,IF(C41="Cha",'Personal File'!$C$18))))))</f>
        <v>+1</v>
      </c>
      <c r="E41" s="223" t="str">
        <f t="shared" si="8"/>
        <v>Wis (+1)</v>
      </c>
      <c r="F41" s="676">
        <f>2</f>
        <v>2</v>
      </c>
      <c r="G41" s="89">
        <f t="shared" si="6"/>
        <v>7</v>
      </c>
      <c r="H41" s="293">
        <f t="shared" ca="1" si="2"/>
        <v>11</v>
      </c>
      <c r="I41" s="89">
        <f t="shared" ca="1" si="10"/>
        <v>18</v>
      </c>
      <c r="J41" s="90"/>
    </row>
    <row r="42" spans="1:10" ht="16.8" x14ac:dyDescent="0.3">
      <c r="A42" s="308" t="s">
        <v>69</v>
      </c>
      <c r="B42" s="85">
        <v>4</v>
      </c>
      <c r="C42" s="221" t="s">
        <v>24</v>
      </c>
      <c r="D42" s="222" t="str">
        <f>IF(C42="Str",'Personal File'!$C$13,IF(C42="Dex",'Personal File'!$C$14,IF(C42="Con",'Personal File'!$C$15,IF(C42="Int",'Personal File'!$C$16,IF(C42="Wis",'Personal File'!$C$17,IF(C42="Cha",'Personal File'!$C$18))))))</f>
        <v>+1</v>
      </c>
      <c r="E42" s="223" t="str">
        <f t="shared" si="8"/>
        <v>Wis (+1)</v>
      </c>
      <c r="F42" s="89" t="s">
        <v>53</v>
      </c>
      <c r="G42" s="89">
        <f t="shared" si="6"/>
        <v>5</v>
      </c>
      <c r="H42" s="293">
        <f t="shared" ca="1" si="2"/>
        <v>11</v>
      </c>
      <c r="I42" s="89">
        <f t="shared" ca="1" si="10"/>
        <v>16</v>
      </c>
      <c r="J42" s="124" t="s">
        <v>184</v>
      </c>
    </row>
    <row r="43" spans="1:10" ht="16.8" x14ac:dyDescent="0.3">
      <c r="A43" s="116" t="s">
        <v>13</v>
      </c>
      <c r="B43" s="77">
        <v>0</v>
      </c>
      <c r="C43" s="117" t="s">
        <v>26</v>
      </c>
      <c r="D43" s="118">
        <f>IF(C43="Str",'Personal File'!$C$13,IF(C43="Dex",'Personal File'!$C$14,IF(C43="Con",'Personal File'!$C$15,IF(C43="Int",'Personal File'!$C$16,IF(C43="Wis",'Personal File'!$C$17,IF(C43="Cha",'Personal File'!$C$18))))))</f>
        <v>-1</v>
      </c>
      <c r="E43" s="119" t="str">
        <f t="shared" si="8"/>
        <v>Str (-1)</v>
      </c>
      <c r="F43" s="97" t="s">
        <v>53</v>
      </c>
      <c r="G43" s="97">
        <f t="shared" si="6"/>
        <v>-1</v>
      </c>
      <c r="H43" s="293">
        <f t="shared" ca="1" si="2"/>
        <v>6</v>
      </c>
      <c r="I43" s="97">
        <f t="shared" ca="1" si="10"/>
        <v>5</v>
      </c>
      <c r="J43" s="98"/>
    </row>
    <row r="44" spans="1:10" ht="16.8" x14ac:dyDescent="0.3">
      <c r="A44" s="205" t="s">
        <v>49</v>
      </c>
      <c r="B44" s="85">
        <v>3</v>
      </c>
      <c r="C44" s="206" t="s">
        <v>25</v>
      </c>
      <c r="D44" s="207" t="str">
        <f>IF(C44="Str",'Personal File'!$C$13,IF(C44="Dex",'Personal File'!$C$14,IF(C44="Con",'Personal File'!$C$15,IF(C44="Int",'Personal File'!$C$16,IF(C44="Wis",'Personal File'!$C$17,IF(C44="Cha",'Personal File'!$C$18))))))</f>
        <v>+3</v>
      </c>
      <c r="E44" s="208" t="str">
        <f t="shared" si="8"/>
        <v>Dex (+3)</v>
      </c>
      <c r="F44" s="89" t="s">
        <v>53</v>
      </c>
      <c r="G44" s="89">
        <f t="shared" si="6"/>
        <v>6</v>
      </c>
      <c r="H44" s="293">
        <f t="shared" ca="1" si="2"/>
        <v>6</v>
      </c>
      <c r="I44" s="89">
        <f t="shared" ca="1" si="10"/>
        <v>12</v>
      </c>
      <c r="J44" s="90"/>
    </row>
    <row r="45" spans="1:10" ht="16.8" x14ac:dyDescent="0.3">
      <c r="A45" s="212" t="s">
        <v>50</v>
      </c>
      <c r="B45" s="85">
        <v>4</v>
      </c>
      <c r="C45" s="213" t="s">
        <v>21</v>
      </c>
      <c r="D45" s="214" t="str">
        <f>IF(C45="Str",'Personal File'!$C$13,IF(C45="Dex",'Personal File'!$C$14,IF(C45="Con",'Personal File'!$C$15,IF(C45="Int",'Personal File'!$C$16,IF(C45="Wis",'Personal File'!$C$17,IF(C45="Cha",'Personal File'!$C$18))))))</f>
        <v>+0</v>
      </c>
      <c r="E45" s="215" t="str">
        <f t="shared" si="8"/>
        <v>Cha (+0)</v>
      </c>
      <c r="F45" s="89" t="s">
        <v>53</v>
      </c>
      <c r="G45" s="89">
        <f t="shared" si="6"/>
        <v>4</v>
      </c>
      <c r="H45" s="293">
        <f t="shared" ca="1" si="2"/>
        <v>17</v>
      </c>
      <c r="I45" s="89">
        <f t="shared" ca="1" si="10"/>
        <v>21</v>
      </c>
      <c r="J45" s="90"/>
    </row>
    <row r="46" spans="1:10" ht="17.399999999999999" thickBot="1" x14ac:dyDescent="0.35">
      <c r="A46" s="286" t="s">
        <v>51</v>
      </c>
      <c r="B46" s="287">
        <v>3</v>
      </c>
      <c r="C46" s="288" t="s">
        <v>25</v>
      </c>
      <c r="D46" s="289" t="str">
        <f>IF(C46="Str",'Personal File'!$C$13,IF(C46="Dex",'Personal File'!$C$14,IF(C46="Con",'Personal File'!$C$15,IF(C46="Int",'Personal File'!$C$16,IF(C46="Wis",'Personal File'!$C$17,IF(C46="Cha",'Personal File'!$C$18))))))</f>
        <v>+3</v>
      </c>
      <c r="E46" s="290" t="str">
        <f t="shared" si="8"/>
        <v>Dex (+3)</v>
      </c>
      <c r="F46" s="291" t="s">
        <v>53</v>
      </c>
      <c r="G46" s="291">
        <f t="shared" si="6"/>
        <v>6</v>
      </c>
      <c r="H46" s="296">
        <f t="shared" ref="H46" ca="1" si="24">RANDBETWEEN(1,20)</f>
        <v>20</v>
      </c>
      <c r="I46" s="291">
        <f t="shared" ca="1" si="10"/>
        <v>26</v>
      </c>
      <c r="J46" s="292"/>
    </row>
    <row r="47" spans="1:10" ht="16.2" thickTop="1" x14ac:dyDescent="0.3">
      <c r="B47" s="127">
        <f>SUM(B6:B46)+B42</f>
        <v>124</v>
      </c>
      <c r="E47" s="311">
        <f>SUM(E48:E59)</f>
        <v>124</v>
      </c>
    </row>
    <row r="48" spans="1:10" x14ac:dyDescent="0.3">
      <c r="B48" s="127"/>
      <c r="E48" s="259">
        <f>4*(8+'Personal File'!$C$16)</f>
        <v>44</v>
      </c>
      <c r="F48" s="129" t="s">
        <v>112</v>
      </c>
    </row>
    <row r="49" spans="5:6" x14ac:dyDescent="0.3">
      <c r="E49" s="307">
        <f>8+'Personal File'!$C$16</f>
        <v>11</v>
      </c>
      <c r="F49" s="129" t="s">
        <v>183</v>
      </c>
    </row>
    <row r="50" spans="5:6" x14ac:dyDescent="0.3">
      <c r="E50" s="307">
        <f>2+'Personal File'!$C$16</f>
        <v>5</v>
      </c>
      <c r="F50" s="129" t="s">
        <v>187</v>
      </c>
    </row>
    <row r="51" spans="5:6" x14ac:dyDescent="0.3">
      <c r="E51" s="307">
        <f>8+'Personal File'!$C$16</f>
        <v>11</v>
      </c>
      <c r="F51" s="129" t="s">
        <v>278</v>
      </c>
    </row>
    <row r="52" spans="5:6" x14ac:dyDescent="0.3">
      <c r="E52" s="307">
        <f>8+'Personal File'!$C$16</f>
        <v>11</v>
      </c>
      <c r="F52" s="129" t="s">
        <v>295</v>
      </c>
    </row>
    <row r="53" spans="5:6" x14ac:dyDescent="0.3">
      <c r="E53" s="307">
        <f>4+'Personal File'!$C$16</f>
        <v>7</v>
      </c>
      <c r="F53" s="129" t="s">
        <v>299</v>
      </c>
    </row>
    <row r="54" spans="5:6" x14ac:dyDescent="0.3">
      <c r="E54" s="307">
        <f>4+'Personal File'!$C$16</f>
        <v>7</v>
      </c>
      <c r="F54" s="129" t="s">
        <v>369</v>
      </c>
    </row>
    <row r="55" spans="5:6" x14ac:dyDescent="0.3">
      <c r="E55" s="307">
        <f>4+'Personal File'!$C$16</f>
        <v>7</v>
      </c>
      <c r="F55" s="129" t="s">
        <v>394</v>
      </c>
    </row>
    <row r="56" spans="5:6" x14ac:dyDescent="0.3">
      <c r="E56" s="307">
        <f>4+'Personal File'!$C$16</f>
        <v>7</v>
      </c>
      <c r="F56" s="129" t="s">
        <v>395</v>
      </c>
    </row>
    <row r="57" spans="5:6" x14ac:dyDescent="0.3">
      <c r="E57" s="307">
        <f>4+'Personal File'!$C$16</f>
        <v>7</v>
      </c>
      <c r="F57" s="129" t="s">
        <v>404</v>
      </c>
    </row>
    <row r="58" spans="5:6" x14ac:dyDescent="0.3">
      <c r="E58" s="307">
        <f>4+'Personal File'!$C$16</f>
        <v>7</v>
      </c>
      <c r="F58" s="129" t="s">
        <v>423</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BE-4C33-4CAB-9C23-ADB2CC485239}">
  <dimension ref="A1:J28"/>
  <sheetViews>
    <sheetView showGridLines="0" zoomScaleNormal="100" workbookViewId="0">
      <pane ySplit="2" topLeftCell="A3" activePane="bottomLeft" state="frozen"/>
      <selection pane="bottomLeft" activeCell="A3" sqref="A3"/>
    </sheetView>
  </sheetViews>
  <sheetFormatPr defaultColWidth="18.19921875" defaultRowHeight="15.6" x14ac:dyDescent="0.3"/>
  <cols>
    <col min="1" max="1" width="21.296875" style="348" bestFit="1" customWidth="1"/>
    <col min="2" max="2" width="6.19921875" style="348" bestFit="1" customWidth="1"/>
    <col min="3" max="3" width="13.59765625" style="349" bestFit="1" customWidth="1"/>
    <col min="4" max="4" width="11.296875" style="349" bestFit="1" customWidth="1"/>
    <col min="5" max="5" width="10.5" style="349" bestFit="1" customWidth="1"/>
    <col min="6" max="7" width="13.19921875" style="349" bestFit="1" customWidth="1"/>
    <col min="8" max="8" width="21.3984375" style="348" bestFit="1" customWidth="1"/>
    <col min="9" max="9" width="5.5" style="337" bestFit="1" customWidth="1"/>
    <col min="10" max="10" width="3.296875" style="337" bestFit="1" customWidth="1"/>
    <col min="11" max="16384" width="18.19921875" style="337"/>
  </cols>
  <sheetData>
    <row r="1" spans="1:10" ht="23.4" thickBot="1" x14ac:dyDescent="0.45">
      <c r="A1" s="335" t="s">
        <v>269</v>
      </c>
      <c r="B1" s="336"/>
      <c r="C1" s="336"/>
      <c r="D1" s="336"/>
      <c r="E1" s="336"/>
      <c r="F1" s="336"/>
      <c r="G1" s="336"/>
      <c r="H1" s="336"/>
    </row>
    <row r="2" spans="1:10" s="303" customFormat="1" ht="16.8" x14ac:dyDescent="0.3">
      <c r="A2" s="338" t="s">
        <v>75</v>
      </c>
      <c r="B2" s="339" t="s">
        <v>77</v>
      </c>
      <c r="C2" s="339" t="s">
        <v>192</v>
      </c>
      <c r="D2" s="340" t="s">
        <v>193</v>
      </c>
      <c r="E2" s="340" t="s">
        <v>194</v>
      </c>
      <c r="F2" s="339" t="s">
        <v>195</v>
      </c>
      <c r="G2" s="339" t="s">
        <v>196</v>
      </c>
      <c r="H2" s="339" t="s">
        <v>197</v>
      </c>
      <c r="I2" s="341" t="s">
        <v>198</v>
      </c>
      <c r="J2" s="313"/>
    </row>
    <row r="3" spans="1:10" s="344" customFormat="1" ht="16.8" x14ac:dyDescent="0.3">
      <c r="A3" s="329" t="s">
        <v>199</v>
      </c>
      <c r="B3" s="342">
        <v>0</v>
      </c>
      <c r="C3" s="579" t="s">
        <v>200</v>
      </c>
      <c r="D3" s="330" t="s">
        <v>201</v>
      </c>
      <c r="E3" s="584" t="s">
        <v>202</v>
      </c>
      <c r="F3" s="584" t="s">
        <v>203</v>
      </c>
      <c r="G3" s="584" t="s">
        <v>204</v>
      </c>
      <c r="H3" s="331" t="s">
        <v>205</v>
      </c>
      <c r="I3" s="343">
        <v>196</v>
      </c>
    </row>
    <row r="4" spans="1:10" ht="16.8" x14ac:dyDescent="0.3">
      <c r="A4" s="314" t="s">
        <v>236</v>
      </c>
      <c r="B4" s="345">
        <v>0</v>
      </c>
      <c r="C4" s="318" t="s">
        <v>246</v>
      </c>
      <c r="D4" s="320" t="s">
        <v>201</v>
      </c>
      <c r="E4" s="319" t="s">
        <v>202</v>
      </c>
      <c r="F4" s="319" t="s">
        <v>247</v>
      </c>
      <c r="G4" s="319" t="s">
        <v>248</v>
      </c>
      <c r="H4" s="317" t="s">
        <v>205</v>
      </c>
      <c r="I4" s="332">
        <v>201</v>
      </c>
    </row>
    <row r="5" spans="1:10" ht="16.8" x14ac:dyDescent="0.3">
      <c r="A5" s="314" t="s">
        <v>226</v>
      </c>
      <c r="B5" s="345">
        <v>0</v>
      </c>
      <c r="C5" s="318" t="s">
        <v>200</v>
      </c>
      <c r="D5" s="320" t="s">
        <v>201</v>
      </c>
      <c r="E5" s="319" t="s">
        <v>202</v>
      </c>
      <c r="F5" s="319" t="s">
        <v>203</v>
      </c>
      <c r="G5" s="319" t="s">
        <v>213</v>
      </c>
      <c r="H5" s="317" t="s">
        <v>223</v>
      </c>
      <c r="I5" s="332">
        <v>42</v>
      </c>
    </row>
    <row r="6" spans="1:10" ht="16.8" x14ac:dyDescent="0.3">
      <c r="A6" s="314" t="s">
        <v>135</v>
      </c>
      <c r="B6" s="345">
        <v>0</v>
      </c>
      <c r="C6" s="318" t="s">
        <v>221</v>
      </c>
      <c r="D6" s="315" t="s">
        <v>201</v>
      </c>
      <c r="E6" s="319" t="s">
        <v>202</v>
      </c>
      <c r="F6" s="319" t="s">
        <v>218</v>
      </c>
      <c r="G6" s="319" t="s">
        <v>239</v>
      </c>
      <c r="H6" s="317" t="s">
        <v>205</v>
      </c>
      <c r="I6" s="332">
        <v>216</v>
      </c>
    </row>
    <row r="7" spans="1:10" ht="16.8" x14ac:dyDescent="0.3">
      <c r="A7" s="314" t="s">
        <v>206</v>
      </c>
      <c r="B7" s="345">
        <v>0</v>
      </c>
      <c r="C7" s="321" t="s">
        <v>207</v>
      </c>
      <c r="D7" s="315" t="s">
        <v>208</v>
      </c>
      <c r="E7" s="316" t="s">
        <v>202</v>
      </c>
      <c r="F7" s="317" t="s">
        <v>203</v>
      </c>
      <c r="G7" s="317" t="s">
        <v>209</v>
      </c>
      <c r="H7" s="317" t="s">
        <v>205</v>
      </c>
      <c r="I7" s="324">
        <v>217</v>
      </c>
    </row>
    <row r="8" spans="1:10" ht="16.8" x14ac:dyDescent="0.3">
      <c r="A8" s="314" t="s">
        <v>237</v>
      </c>
      <c r="B8" s="345">
        <v>0</v>
      </c>
      <c r="C8" s="325" t="s">
        <v>246</v>
      </c>
      <c r="D8" s="328" t="s">
        <v>201</v>
      </c>
      <c r="E8" s="326" t="s">
        <v>202</v>
      </c>
      <c r="F8" s="326" t="s">
        <v>140</v>
      </c>
      <c r="G8" s="326" t="s">
        <v>219</v>
      </c>
      <c r="H8" s="317" t="s">
        <v>205</v>
      </c>
      <c r="I8" s="332">
        <v>219</v>
      </c>
    </row>
    <row r="9" spans="1:10" ht="16.8" x14ac:dyDescent="0.3">
      <c r="A9" s="314" t="s">
        <v>228</v>
      </c>
      <c r="B9" s="345">
        <v>0</v>
      </c>
      <c r="C9" s="318" t="s">
        <v>210</v>
      </c>
      <c r="D9" s="320" t="s">
        <v>201</v>
      </c>
      <c r="E9" s="319" t="s">
        <v>202</v>
      </c>
      <c r="F9" s="319" t="s">
        <v>203</v>
      </c>
      <c r="G9" s="319" t="s">
        <v>204</v>
      </c>
      <c r="H9" s="317" t="s">
        <v>205</v>
      </c>
      <c r="I9" s="332">
        <v>219</v>
      </c>
    </row>
    <row r="10" spans="1:10" ht="16.8" x14ac:dyDescent="0.3">
      <c r="A10" s="314" t="s">
        <v>229</v>
      </c>
      <c r="B10" s="345">
        <v>0</v>
      </c>
      <c r="C10" s="321" t="s">
        <v>216</v>
      </c>
      <c r="D10" s="315" t="s">
        <v>201</v>
      </c>
      <c r="E10" s="316" t="s">
        <v>202</v>
      </c>
      <c r="F10" s="317" t="s">
        <v>203</v>
      </c>
      <c r="G10" s="317" t="s">
        <v>204</v>
      </c>
      <c r="H10" s="317" t="s">
        <v>223</v>
      </c>
      <c r="I10" s="324">
        <v>78</v>
      </c>
    </row>
    <row r="11" spans="1:10" ht="16.8" x14ac:dyDescent="0.3">
      <c r="A11" s="314" t="s">
        <v>230</v>
      </c>
      <c r="B11" s="345">
        <v>0</v>
      </c>
      <c r="C11" s="321" t="s">
        <v>216</v>
      </c>
      <c r="D11" s="315" t="s">
        <v>214</v>
      </c>
      <c r="E11" s="316" t="s">
        <v>202</v>
      </c>
      <c r="F11" s="317" t="s">
        <v>203</v>
      </c>
      <c r="G11" s="317" t="s">
        <v>204</v>
      </c>
      <c r="H11" s="317" t="s">
        <v>205</v>
      </c>
      <c r="I11" s="332">
        <v>232</v>
      </c>
    </row>
    <row r="12" spans="1:10" ht="16.8" x14ac:dyDescent="0.3">
      <c r="A12" s="314" t="s">
        <v>81</v>
      </c>
      <c r="B12" s="345">
        <v>0</v>
      </c>
      <c r="C12" s="321" t="s">
        <v>221</v>
      </c>
      <c r="D12" s="315" t="s">
        <v>208</v>
      </c>
      <c r="E12" s="316" t="s">
        <v>202</v>
      </c>
      <c r="F12" s="317" t="s">
        <v>203</v>
      </c>
      <c r="G12" s="317" t="s">
        <v>213</v>
      </c>
      <c r="H12" s="317" t="s">
        <v>205</v>
      </c>
      <c r="I12" s="332">
        <v>235</v>
      </c>
    </row>
    <row r="13" spans="1:10" ht="16.8" x14ac:dyDescent="0.3">
      <c r="A13" s="314" t="s">
        <v>231</v>
      </c>
      <c r="B13" s="345">
        <v>0</v>
      </c>
      <c r="C13" s="321" t="s">
        <v>216</v>
      </c>
      <c r="D13" s="315" t="s">
        <v>240</v>
      </c>
      <c r="E13" s="316" t="s">
        <v>202</v>
      </c>
      <c r="F13" s="317" t="s">
        <v>212</v>
      </c>
      <c r="G13" s="317" t="s">
        <v>220</v>
      </c>
      <c r="H13" s="317" t="s">
        <v>205</v>
      </c>
      <c r="I13" s="332">
        <v>248</v>
      </c>
    </row>
    <row r="14" spans="1:10" ht="16.8" x14ac:dyDescent="0.3">
      <c r="A14" s="314" t="s">
        <v>420</v>
      </c>
      <c r="B14" s="345"/>
      <c r="C14" s="321"/>
      <c r="D14" s="315"/>
      <c r="E14" s="316"/>
      <c r="F14" s="317"/>
      <c r="G14" s="317"/>
      <c r="H14" s="317"/>
      <c r="I14" s="332"/>
    </row>
    <row r="15" spans="1:10" ht="16.8" x14ac:dyDescent="0.3">
      <c r="A15" s="314" t="s">
        <v>136</v>
      </c>
      <c r="B15" s="345">
        <v>0</v>
      </c>
      <c r="C15" s="325" t="s">
        <v>246</v>
      </c>
      <c r="D15" s="328" t="s">
        <v>201</v>
      </c>
      <c r="E15" s="326" t="s">
        <v>202</v>
      </c>
      <c r="F15" s="326" t="s">
        <v>244</v>
      </c>
      <c r="G15" s="326" t="s">
        <v>215</v>
      </c>
      <c r="H15" s="317" t="s">
        <v>205</v>
      </c>
      <c r="I15" s="332">
        <v>264</v>
      </c>
    </row>
    <row r="16" spans="1:10" ht="16.8" x14ac:dyDescent="0.3">
      <c r="A16" s="314" t="s">
        <v>227</v>
      </c>
      <c r="B16" s="345">
        <v>0</v>
      </c>
      <c r="C16" s="321" t="s">
        <v>200</v>
      </c>
      <c r="D16" s="315" t="s">
        <v>201</v>
      </c>
      <c r="E16" s="316" t="s">
        <v>202</v>
      </c>
      <c r="F16" s="317" t="s">
        <v>203</v>
      </c>
      <c r="G16" s="317" t="s">
        <v>204</v>
      </c>
      <c r="H16" s="317" t="s">
        <v>205</v>
      </c>
      <c r="I16" s="332">
        <v>269</v>
      </c>
    </row>
    <row r="17" spans="1:10" ht="16.8" x14ac:dyDescent="0.3">
      <c r="A17" s="314" t="s">
        <v>238</v>
      </c>
      <c r="B17" s="345">
        <v>0</v>
      </c>
      <c r="C17" s="325" t="s">
        <v>246</v>
      </c>
      <c r="D17" s="328" t="s">
        <v>224</v>
      </c>
      <c r="E17" s="326" t="s">
        <v>202</v>
      </c>
      <c r="F17" s="326" t="s">
        <v>211</v>
      </c>
      <c r="G17" s="326" t="s">
        <v>220</v>
      </c>
      <c r="H17" s="317" t="s">
        <v>205</v>
      </c>
      <c r="I17" s="332">
        <v>269</v>
      </c>
      <c r="J17" s="313"/>
    </row>
    <row r="18" spans="1:10" ht="16.8" x14ac:dyDescent="0.3">
      <c r="A18" s="314" t="s">
        <v>225</v>
      </c>
      <c r="B18" s="345">
        <v>0</v>
      </c>
      <c r="C18" s="580" t="s">
        <v>222</v>
      </c>
      <c r="D18" s="315" t="s">
        <v>217</v>
      </c>
      <c r="E18" s="316" t="s">
        <v>202</v>
      </c>
      <c r="F18" s="317" t="s">
        <v>212</v>
      </c>
      <c r="G18" s="317" t="s">
        <v>239</v>
      </c>
      <c r="H18" s="317" t="s">
        <v>205</v>
      </c>
      <c r="I18" s="332">
        <v>272</v>
      </c>
    </row>
    <row r="19" spans="1:10" ht="16.8" x14ac:dyDescent="0.3">
      <c r="A19" s="314" t="s">
        <v>233</v>
      </c>
      <c r="B19" s="345">
        <v>0</v>
      </c>
      <c r="C19" s="318" t="s">
        <v>221</v>
      </c>
      <c r="D19" s="320" t="s">
        <v>241</v>
      </c>
      <c r="E19" s="319" t="s">
        <v>202</v>
      </c>
      <c r="F19" s="319" t="s">
        <v>203</v>
      </c>
      <c r="G19" s="319" t="s">
        <v>219</v>
      </c>
      <c r="H19" s="317" t="s">
        <v>223</v>
      </c>
      <c r="I19" s="332">
        <v>190</v>
      </c>
    </row>
    <row r="20" spans="1:10" ht="16.8" x14ac:dyDescent="0.3">
      <c r="A20" s="314" t="s">
        <v>232</v>
      </c>
      <c r="B20" s="345">
        <v>0</v>
      </c>
      <c r="C20" s="321" t="s">
        <v>216</v>
      </c>
      <c r="D20" s="315" t="s">
        <v>201</v>
      </c>
      <c r="E20" s="316" t="s">
        <v>202</v>
      </c>
      <c r="F20" s="317" t="s">
        <v>203</v>
      </c>
      <c r="G20" s="317" t="s">
        <v>204</v>
      </c>
      <c r="H20" s="317" t="s">
        <v>223</v>
      </c>
      <c r="I20" s="324">
        <v>195</v>
      </c>
    </row>
    <row r="21" spans="1:10" ht="16.8" x14ac:dyDescent="0.3">
      <c r="A21" s="322" t="s">
        <v>234</v>
      </c>
      <c r="B21" s="350">
        <v>0</v>
      </c>
      <c r="C21" s="581" t="s">
        <v>221</v>
      </c>
      <c r="D21" s="583" t="s">
        <v>201</v>
      </c>
      <c r="E21" s="585" t="s">
        <v>202</v>
      </c>
      <c r="F21" s="323" t="s">
        <v>203</v>
      </c>
      <c r="G21" s="323" t="s">
        <v>213</v>
      </c>
      <c r="H21" s="323" t="s">
        <v>242</v>
      </c>
      <c r="I21" s="327">
        <v>108</v>
      </c>
    </row>
    <row r="22" spans="1:10" ht="16.8" x14ac:dyDescent="0.3">
      <c r="A22" s="314" t="s">
        <v>249</v>
      </c>
      <c r="B22" s="345">
        <v>1</v>
      </c>
      <c r="C22" s="325" t="s">
        <v>222</v>
      </c>
      <c r="D22" s="328" t="s">
        <v>217</v>
      </c>
      <c r="E22" s="326" t="s">
        <v>202</v>
      </c>
      <c r="F22" s="326" t="s">
        <v>203</v>
      </c>
      <c r="G22" s="326" t="s">
        <v>253</v>
      </c>
      <c r="H22" s="317" t="s">
        <v>205</v>
      </c>
      <c r="I22" s="332">
        <v>197</v>
      </c>
    </row>
    <row r="23" spans="1:10" ht="16.8" x14ac:dyDescent="0.3">
      <c r="A23" s="314" t="s">
        <v>252</v>
      </c>
      <c r="B23" s="345">
        <v>1</v>
      </c>
      <c r="C23" s="321" t="s">
        <v>222</v>
      </c>
      <c r="D23" s="315" t="s">
        <v>201</v>
      </c>
      <c r="E23" s="317" t="s">
        <v>202</v>
      </c>
      <c r="F23" s="317" t="s">
        <v>212</v>
      </c>
      <c r="G23" s="317" t="s">
        <v>243</v>
      </c>
      <c r="H23" s="317" t="s">
        <v>205</v>
      </c>
      <c r="I23" s="332">
        <v>226</v>
      </c>
    </row>
    <row r="24" spans="1:10" ht="16.8" x14ac:dyDescent="0.3">
      <c r="A24" s="314" t="s">
        <v>250</v>
      </c>
      <c r="B24" s="345">
        <v>1</v>
      </c>
      <c r="C24" s="325" t="s">
        <v>200</v>
      </c>
      <c r="D24" s="328" t="s">
        <v>224</v>
      </c>
      <c r="E24" s="326" t="s">
        <v>202</v>
      </c>
      <c r="F24" s="326" t="s">
        <v>212</v>
      </c>
      <c r="G24" s="326" t="s">
        <v>245</v>
      </c>
      <c r="H24" s="317" t="s">
        <v>205</v>
      </c>
      <c r="I24" s="332">
        <v>249</v>
      </c>
    </row>
    <row r="25" spans="1:10" ht="16.8" x14ac:dyDescent="0.3">
      <c r="A25" s="322" t="s">
        <v>251</v>
      </c>
      <c r="B25" s="350">
        <v>1</v>
      </c>
      <c r="C25" s="686" t="s">
        <v>216</v>
      </c>
      <c r="D25" s="687" t="s">
        <v>208</v>
      </c>
      <c r="E25" s="688" t="s">
        <v>202</v>
      </c>
      <c r="F25" s="688" t="s">
        <v>203</v>
      </c>
      <c r="G25" s="688" t="s">
        <v>245</v>
      </c>
      <c r="H25" s="323" t="s">
        <v>205</v>
      </c>
      <c r="I25" s="327">
        <v>294</v>
      </c>
    </row>
    <row r="26" spans="1:10" ht="16.8" x14ac:dyDescent="0.3">
      <c r="A26" s="689" t="s">
        <v>421</v>
      </c>
      <c r="B26" s="690">
        <v>2</v>
      </c>
      <c r="C26" s="691"/>
      <c r="D26" s="692"/>
      <c r="E26" s="693"/>
      <c r="F26" s="693"/>
      <c r="G26" s="693"/>
      <c r="H26" s="694"/>
      <c r="I26" s="695"/>
    </row>
    <row r="27" spans="1:10" ht="17.399999999999999" thickBot="1" x14ac:dyDescent="0.35">
      <c r="A27" s="333" t="s">
        <v>422</v>
      </c>
      <c r="B27" s="346">
        <v>3</v>
      </c>
      <c r="C27" s="582"/>
      <c r="D27" s="586"/>
      <c r="E27" s="586"/>
      <c r="F27" s="586"/>
      <c r="G27" s="586"/>
      <c r="H27" s="334"/>
      <c r="I27" s="347"/>
    </row>
    <row r="28" spans="1:10" ht="16.2" thickTop="1" x14ac:dyDescent="0.3"/>
  </sheetData>
  <sortState xmlns:xlrd2="http://schemas.microsoft.com/office/spreadsheetml/2017/richdata2" ref="A3:I27">
    <sortCondition ref="B3:B27"/>
    <sortCondition ref="A3:A27"/>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1EC9-ECEB-47A4-B92A-F46BEB4CA2F4}">
  <dimension ref="A1:Q22"/>
  <sheetViews>
    <sheetView showGridLines="0" workbookViewId="0"/>
  </sheetViews>
  <sheetFormatPr defaultColWidth="6.19921875" defaultRowHeight="16.8" x14ac:dyDescent="0.3"/>
  <cols>
    <col min="1" max="1" width="21.296875" style="257" bestFit="1" customWidth="1"/>
    <col min="2" max="2" width="6.19921875" style="257"/>
    <col min="3" max="3" width="8.8984375" style="257" bestFit="1" customWidth="1"/>
    <col min="4" max="4" width="4.09765625" style="257" bestFit="1" customWidth="1"/>
    <col min="5" max="5" width="6.296875" style="257" bestFit="1" customWidth="1"/>
    <col min="6" max="6" width="3.796875" style="257" customWidth="1"/>
    <col min="7" max="7" width="16.3984375" style="257" bestFit="1" customWidth="1"/>
    <col min="8" max="8" width="3.8984375" style="257" bestFit="1" customWidth="1"/>
    <col min="9" max="10" width="4.59765625" style="257" customWidth="1"/>
    <col min="11" max="11" width="4.09765625" style="257" bestFit="1" customWidth="1"/>
    <col min="12" max="19" width="3.8984375" style="257" bestFit="1" customWidth="1"/>
    <col min="20" max="16384" width="6.19921875" style="257"/>
  </cols>
  <sheetData>
    <row r="1" spans="1:17" ht="22.2" thickTop="1" thickBot="1" x14ac:dyDescent="0.35">
      <c r="A1" s="379" t="s">
        <v>270</v>
      </c>
      <c r="B1" s="380"/>
      <c r="C1" s="380"/>
      <c r="D1" s="380"/>
      <c r="E1" s="381"/>
      <c r="F1" s="177"/>
      <c r="G1" s="177"/>
      <c r="H1" s="352" t="s">
        <v>254</v>
      </c>
      <c r="I1" s="353"/>
      <c r="J1" s="353"/>
      <c r="K1" s="353"/>
      <c r="L1" s="353"/>
      <c r="M1" s="353"/>
      <c r="N1" s="353"/>
      <c r="O1" s="353"/>
      <c r="P1" s="353"/>
      <c r="Q1" s="354"/>
    </row>
    <row r="2" spans="1:17" ht="18" thickTop="1" thickBot="1" x14ac:dyDescent="0.35">
      <c r="A2" s="382" t="s">
        <v>75</v>
      </c>
      <c r="B2" s="383" t="s">
        <v>77</v>
      </c>
      <c r="C2" s="384" t="s">
        <v>271</v>
      </c>
      <c r="D2" s="384" t="s">
        <v>78</v>
      </c>
      <c r="E2" s="385" t="s">
        <v>79</v>
      </c>
      <c r="F2" s="177"/>
      <c r="G2" s="177"/>
      <c r="H2" s="355" t="s">
        <v>255</v>
      </c>
      <c r="I2" s="356" t="s">
        <v>256</v>
      </c>
      <c r="J2" s="356" t="s">
        <v>257</v>
      </c>
      <c r="K2" s="356" t="s">
        <v>258</v>
      </c>
      <c r="L2" s="357" t="s">
        <v>259</v>
      </c>
      <c r="M2" s="356" t="s">
        <v>260</v>
      </c>
      <c r="N2" s="356" t="s">
        <v>261</v>
      </c>
      <c r="O2" s="356" t="s">
        <v>262</v>
      </c>
      <c r="P2" s="357" t="s">
        <v>263</v>
      </c>
      <c r="Q2" s="358" t="s">
        <v>264</v>
      </c>
    </row>
    <row r="3" spans="1:17" ht="17.399999999999999" thickTop="1" x14ac:dyDescent="0.3">
      <c r="A3" s="386" t="s">
        <v>237</v>
      </c>
      <c r="B3" s="77">
        <v>0</v>
      </c>
      <c r="C3" s="77">
        <v>0</v>
      </c>
      <c r="D3" s="170">
        <f>10+B3+C3+'Personal File'!$C$16</f>
        <v>13</v>
      </c>
      <c r="E3" s="387" t="s">
        <v>99</v>
      </c>
      <c r="F3" s="177"/>
      <c r="G3" s="359" t="s">
        <v>265</v>
      </c>
      <c r="H3" s="360">
        <v>3</v>
      </c>
      <c r="I3" s="361">
        <v>1</v>
      </c>
      <c r="J3" s="362">
        <v>0</v>
      </c>
      <c r="K3" s="362">
        <v>0</v>
      </c>
      <c r="L3" s="362">
        <v>0</v>
      </c>
      <c r="M3" s="362">
        <v>0</v>
      </c>
      <c r="N3" s="362">
        <v>0</v>
      </c>
      <c r="O3" s="362">
        <v>0</v>
      </c>
      <c r="P3" s="362">
        <v>0</v>
      </c>
      <c r="Q3" s="363">
        <v>0</v>
      </c>
    </row>
    <row r="4" spans="1:17" x14ac:dyDescent="0.3">
      <c r="A4" s="386" t="s">
        <v>206</v>
      </c>
      <c r="B4" s="77">
        <v>0</v>
      </c>
      <c r="C4" s="77">
        <v>0</v>
      </c>
      <c r="D4" s="170">
        <f>10+B4+C4+'Personal File'!$C$16</f>
        <v>13</v>
      </c>
      <c r="E4" s="387" t="s">
        <v>99</v>
      </c>
      <c r="F4" s="177"/>
      <c r="G4" s="364" t="s">
        <v>266</v>
      </c>
      <c r="H4" s="365">
        <v>0</v>
      </c>
      <c r="I4" s="366">
        <v>1</v>
      </c>
      <c r="J4" s="367">
        <v>1</v>
      </c>
      <c r="K4" s="367">
        <v>0</v>
      </c>
      <c r="L4" s="367">
        <v>0</v>
      </c>
      <c r="M4" s="367">
        <v>0</v>
      </c>
      <c r="N4" s="367">
        <v>0</v>
      </c>
      <c r="O4" s="367">
        <v>0</v>
      </c>
      <c r="P4" s="367">
        <v>0</v>
      </c>
      <c r="Q4" s="368">
        <v>0</v>
      </c>
    </row>
    <row r="5" spans="1:17" ht="17.399999999999999" thickBot="1" x14ac:dyDescent="0.35">
      <c r="A5" s="388" t="s">
        <v>235</v>
      </c>
      <c r="B5" s="83">
        <v>0</v>
      </c>
      <c r="C5" s="83">
        <v>0</v>
      </c>
      <c r="D5" s="278">
        <f>10+B5+C5+'Personal File'!$C$16</f>
        <v>13</v>
      </c>
      <c r="E5" s="389" t="s">
        <v>99</v>
      </c>
      <c r="F5" s="177"/>
      <c r="G5" s="369" t="s">
        <v>267</v>
      </c>
      <c r="H5" s="370">
        <f t="shared" ref="H5:I5" si="0">SUM(H3:H4)</f>
        <v>3</v>
      </c>
      <c r="I5" s="371">
        <f t="shared" si="0"/>
        <v>2</v>
      </c>
      <c r="J5" s="372">
        <v>0</v>
      </c>
      <c r="K5" s="372">
        <v>0</v>
      </c>
      <c r="L5" s="372">
        <v>0</v>
      </c>
      <c r="M5" s="372">
        <v>0</v>
      </c>
      <c r="N5" s="372">
        <v>0</v>
      </c>
      <c r="O5" s="372">
        <v>0</v>
      </c>
      <c r="P5" s="372">
        <v>0</v>
      </c>
      <c r="Q5" s="373">
        <v>0</v>
      </c>
    </row>
    <row r="6" spans="1:17" ht="17.399999999999999" thickBot="1" x14ac:dyDescent="0.35">
      <c r="A6" s="386" t="s">
        <v>250</v>
      </c>
      <c r="B6" s="77">
        <v>1</v>
      </c>
      <c r="C6" s="77">
        <v>0</v>
      </c>
      <c r="D6" s="170">
        <f>10+B6+C6+'Personal File'!$C$16</f>
        <v>14</v>
      </c>
      <c r="E6" s="387" t="s">
        <v>99</v>
      </c>
      <c r="F6" s="177"/>
      <c r="G6" s="374" t="s">
        <v>268</v>
      </c>
      <c r="H6" s="375">
        <f>10+LEFT(H2,1)+'Personal File'!$C$16</f>
        <v>13</v>
      </c>
      <c r="I6" s="376">
        <f>10+LEFT(I2,1)+'Personal File'!$C$16</f>
        <v>14</v>
      </c>
      <c r="J6" s="377">
        <f>10+LEFT(J2,1)+'Personal File'!$C$16</f>
        <v>15</v>
      </c>
      <c r="K6" s="377">
        <f>10+LEFT(K2,1)+'Personal File'!$C$16</f>
        <v>16</v>
      </c>
      <c r="L6" s="377">
        <f>10+LEFT(L2,1)+'Personal File'!$C$16</f>
        <v>17</v>
      </c>
      <c r="M6" s="377">
        <f>10+LEFT(M2,1)+'Personal File'!$C$16</f>
        <v>18</v>
      </c>
      <c r="N6" s="377">
        <f>10+LEFT(N2,1)+'Personal File'!$C$16</f>
        <v>19</v>
      </c>
      <c r="O6" s="377">
        <f>10+LEFT(O2,1)+'Personal File'!$C$16</f>
        <v>20</v>
      </c>
      <c r="P6" s="377">
        <f>10+LEFT(P2,1)+'Personal File'!$C$16</f>
        <v>21</v>
      </c>
      <c r="Q6" s="378">
        <f>10+LEFT(Q2,1)+'Personal File'!$C$16</f>
        <v>22</v>
      </c>
    </row>
    <row r="7" spans="1:17" ht="18" thickTop="1" thickBot="1" x14ac:dyDescent="0.35">
      <c r="A7" s="390" t="s">
        <v>251</v>
      </c>
      <c r="B7" s="391">
        <v>1</v>
      </c>
      <c r="C7" s="391">
        <v>0</v>
      </c>
      <c r="D7" s="225">
        <f>10+B7+C7+'Personal File'!$C$16</f>
        <v>14</v>
      </c>
      <c r="E7" s="392" t="s">
        <v>99</v>
      </c>
      <c r="F7" s="177"/>
      <c r="G7" s="126"/>
      <c r="H7" s="126"/>
      <c r="I7" s="126" t="s">
        <v>392</v>
      </c>
      <c r="J7" s="43">
        <f>'Personal File'!$E$4</f>
        <v>1</v>
      </c>
      <c r="K7" s="126"/>
      <c r="L7" s="126"/>
      <c r="M7" s="126"/>
      <c r="N7" s="126"/>
      <c r="O7" s="126"/>
      <c r="P7" s="126"/>
      <c r="Q7" s="126"/>
    </row>
    <row r="8" spans="1:17" ht="17.399999999999999" thickTop="1" x14ac:dyDescent="0.3">
      <c r="G8" s="126"/>
      <c r="H8" s="126"/>
      <c r="I8" s="126" t="s">
        <v>393</v>
      </c>
      <c r="J8" s="43">
        <f>'Personal File'!$E$5</f>
        <v>6</v>
      </c>
    </row>
    <row r="9" spans="1:17" ht="17.399999999999999" thickBot="1" x14ac:dyDescent="0.35"/>
    <row r="10" spans="1:17" ht="24" thickTop="1" thickBot="1" x14ac:dyDescent="0.35">
      <c r="A10" s="445" t="s">
        <v>142</v>
      </c>
      <c r="B10" s="380"/>
      <c r="C10" s="380"/>
      <c r="D10" s="380"/>
      <c r="E10" s="381"/>
      <c r="G10" s="446" t="s">
        <v>291</v>
      </c>
      <c r="H10" s="444"/>
      <c r="I10" s="444"/>
      <c r="J10" s="444"/>
      <c r="K10" s="444"/>
      <c r="L10" s="444"/>
      <c r="O10" s="447" t="s">
        <v>293</v>
      </c>
      <c r="P10" s="138">
        <v>3</v>
      </c>
    </row>
    <row r="11" spans="1:17" ht="18" thickTop="1" thickBot="1" x14ac:dyDescent="0.35">
      <c r="A11" s="382" t="s">
        <v>75</v>
      </c>
      <c r="B11" s="231" t="s">
        <v>77</v>
      </c>
      <c r="C11" s="384" t="s">
        <v>133</v>
      </c>
      <c r="D11" s="384" t="s">
        <v>78</v>
      </c>
      <c r="E11" s="238" t="s">
        <v>79</v>
      </c>
      <c r="G11" s="427" t="s">
        <v>292</v>
      </c>
      <c r="H11" s="428" t="s">
        <v>255</v>
      </c>
      <c r="I11" s="428" t="s">
        <v>256</v>
      </c>
      <c r="J11" s="429" t="s">
        <v>257</v>
      </c>
      <c r="K11" s="429" t="s">
        <v>258</v>
      </c>
      <c r="L11" s="430" t="s">
        <v>259</v>
      </c>
    </row>
    <row r="12" spans="1:17" x14ac:dyDescent="0.3">
      <c r="A12" s="226" t="s">
        <v>81</v>
      </c>
      <c r="B12" s="232">
        <v>0</v>
      </c>
      <c r="C12" s="227" t="s">
        <v>134</v>
      </c>
      <c r="D12" s="227">
        <f>10+B12+C12+'Personal File'!$C$16</f>
        <v>14</v>
      </c>
      <c r="E12" s="235" t="s">
        <v>99</v>
      </c>
      <c r="G12" s="601">
        <v>1</v>
      </c>
      <c r="H12" s="602">
        <v>4</v>
      </c>
      <c r="I12" s="602">
        <v>2</v>
      </c>
      <c r="J12" s="431"/>
      <c r="K12" s="431"/>
      <c r="L12" s="432"/>
    </row>
    <row r="13" spans="1:17" x14ac:dyDescent="0.3">
      <c r="A13" s="228" t="s">
        <v>135</v>
      </c>
      <c r="B13" s="233">
        <v>0</v>
      </c>
      <c r="C13" s="170" t="s">
        <v>134</v>
      </c>
      <c r="D13" s="170">
        <f>10+B13+C13+'Personal File'!$C$16</f>
        <v>14</v>
      </c>
      <c r="E13" s="236" t="s">
        <v>99</v>
      </c>
      <c r="G13" s="433">
        <v>2</v>
      </c>
      <c r="H13" s="434">
        <v>5</v>
      </c>
      <c r="I13" s="434">
        <v>2</v>
      </c>
      <c r="J13" s="435"/>
      <c r="K13" s="435"/>
      <c r="L13" s="436"/>
    </row>
    <row r="14" spans="1:17" x14ac:dyDescent="0.3">
      <c r="A14" s="228" t="s">
        <v>136</v>
      </c>
      <c r="B14" s="233">
        <v>0</v>
      </c>
      <c r="C14" s="170" t="s">
        <v>53</v>
      </c>
      <c r="D14" s="170">
        <f>10+B14+C14+'Personal File'!$C$16</f>
        <v>13</v>
      </c>
      <c r="E14" s="236" t="s">
        <v>99</v>
      </c>
      <c r="G14" s="433">
        <v>3</v>
      </c>
      <c r="H14" s="434">
        <v>5</v>
      </c>
      <c r="I14" s="434">
        <v>3</v>
      </c>
      <c r="J14" s="434">
        <v>1</v>
      </c>
      <c r="K14" s="435"/>
      <c r="L14" s="436"/>
    </row>
    <row r="15" spans="1:17" ht="17.399999999999999" thickBot="1" x14ac:dyDescent="0.35">
      <c r="A15" s="229" t="s">
        <v>137</v>
      </c>
      <c r="B15" s="234">
        <v>1</v>
      </c>
      <c r="C15" s="225" t="s">
        <v>53</v>
      </c>
      <c r="D15" s="225">
        <f>10+B15+C15+'Personal File'!$C$16</f>
        <v>14</v>
      </c>
      <c r="E15" s="237" t="s">
        <v>99</v>
      </c>
      <c r="G15" s="433">
        <v>4</v>
      </c>
      <c r="H15" s="434">
        <v>6</v>
      </c>
      <c r="I15" s="434">
        <v>3</v>
      </c>
      <c r="J15" s="434">
        <v>2</v>
      </c>
      <c r="K15" s="435"/>
      <c r="L15" s="436"/>
    </row>
    <row r="16" spans="1:17" ht="17.399999999999999" thickTop="1" x14ac:dyDescent="0.3">
      <c r="G16" s="433">
        <v>5</v>
      </c>
      <c r="H16" s="434">
        <v>6</v>
      </c>
      <c r="I16" s="434">
        <v>4</v>
      </c>
      <c r="J16" s="434">
        <v>2</v>
      </c>
      <c r="K16" s="434">
        <v>1</v>
      </c>
      <c r="L16" s="436"/>
    </row>
    <row r="17" spans="7:12" x14ac:dyDescent="0.3">
      <c r="G17" s="599">
        <v>6</v>
      </c>
      <c r="H17" s="600">
        <v>7</v>
      </c>
      <c r="I17" s="600">
        <v>4</v>
      </c>
      <c r="J17" s="600">
        <v>3</v>
      </c>
      <c r="K17" s="600">
        <v>2</v>
      </c>
      <c r="L17" s="436"/>
    </row>
    <row r="18" spans="7:12" x14ac:dyDescent="0.3">
      <c r="G18" s="433">
        <v>7</v>
      </c>
      <c r="H18" s="434">
        <v>7</v>
      </c>
      <c r="I18" s="434">
        <v>5</v>
      </c>
      <c r="J18" s="437">
        <v>3</v>
      </c>
      <c r="K18" s="437">
        <v>2</v>
      </c>
      <c r="L18" s="443">
        <v>1</v>
      </c>
    </row>
    <row r="19" spans="7:12" x14ac:dyDescent="0.3">
      <c r="G19" s="433">
        <v>8</v>
      </c>
      <c r="H19" s="434">
        <v>8</v>
      </c>
      <c r="I19" s="434">
        <v>5</v>
      </c>
      <c r="J19" s="437">
        <v>4</v>
      </c>
      <c r="K19" s="437">
        <v>3</v>
      </c>
      <c r="L19" s="443">
        <v>2</v>
      </c>
    </row>
    <row r="20" spans="7:12" x14ac:dyDescent="0.3">
      <c r="G20" s="433">
        <v>9</v>
      </c>
      <c r="H20" s="434">
        <v>8</v>
      </c>
      <c r="I20" s="434">
        <v>5</v>
      </c>
      <c r="J20" s="437">
        <v>4</v>
      </c>
      <c r="K20" s="437">
        <v>3</v>
      </c>
      <c r="L20" s="443">
        <v>2</v>
      </c>
    </row>
    <row r="21" spans="7:12" ht="17.399999999999999" thickBot="1" x14ac:dyDescent="0.35">
      <c r="G21" s="438">
        <v>10</v>
      </c>
      <c r="H21" s="439">
        <v>9</v>
      </c>
      <c r="I21" s="440">
        <v>5</v>
      </c>
      <c r="J21" s="441">
        <v>5</v>
      </c>
      <c r="K21" s="441">
        <v>4</v>
      </c>
      <c r="L21" s="442">
        <v>3</v>
      </c>
    </row>
    <row r="22" spans="7:12" ht="17.399999999999999" thickTop="1" x14ac:dyDescent="0.3"/>
  </sheetData>
  <conditionalFormatting sqref="E3:E7">
    <cfRule type="cellIs" dxfId="9" priority="225" operator="equal">
      <formula>"þ"</formula>
    </cfRule>
  </conditionalFormatting>
  <conditionalFormatting sqref="E12:E15">
    <cfRule type="cellIs" dxfId="8" priority="2" operator="equal">
      <formula>"þ"</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1"/>
  <sheetViews>
    <sheetView showGridLines="0" workbookViewId="0"/>
  </sheetViews>
  <sheetFormatPr defaultColWidth="10.59765625" defaultRowHeight="16.8" x14ac:dyDescent="0.3"/>
  <cols>
    <col min="1" max="1" width="40.59765625" style="69" bestFit="1" customWidth="1"/>
    <col min="2" max="2" width="2.59765625" style="67" customWidth="1"/>
    <col min="3" max="3" width="41.796875" style="68" bestFit="1" customWidth="1"/>
    <col min="4" max="16384" width="10.59765625" style="68"/>
  </cols>
  <sheetData>
    <row r="1" spans="1:3" ht="24" thickTop="1" thickBot="1" x14ac:dyDescent="0.45">
      <c r="A1" s="197" t="s">
        <v>72</v>
      </c>
      <c r="C1" s="285" t="s">
        <v>113</v>
      </c>
    </row>
    <row r="2" spans="1:3" x14ac:dyDescent="0.3">
      <c r="A2" s="196" t="s">
        <v>117</v>
      </c>
      <c r="C2" s="260" t="s">
        <v>281</v>
      </c>
    </row>
    <row r="3" spans="1:3" x14ac:dyDescent="0.3">
      <c r="A3" s="462" t="s">
        <v>385</v>
      </c>
      <c r="C3" s="405" t="str">
        <f>CONCATENATE("Trap Sense +",1)</f>
        <v>Trap Sense +1</v>
      </c>
    </row>
    <row r="4" spans="1:3" x14ac:dyDescent="0.3">
      <c r="A4" s="462" t="s">
        <v>189</v>
      </c>
      <c r="C4" s="309" t="s">
        <v>294</v>
      </c>
    </row>
    <row r="5" spans="1:3" x14ac:dyDescent="0.3">
      <c r="A5" s="462" t="s">
        <v>300</v>
      </c>
      <c r="C5" s="309" t="s">
        <v>185</v>
      </c>
    </row>
    <row r="6" spans="1:3" ht="17.399999999999999" thickBot="1" x14ac:dyDescent="0.35">
      <c r="A6" s="230" t="s">
        <v>396</v>
      </c>
      <c r="C6" s="261" t="s">
        <v>114</v>
      </c>
    </row>
    <row r="7" spans="1:3" ht="18" thickTop="1" thickBot="1" x14ac:dyDescent="0.35"/>
    <row r="8" spans="1:3" ht="24" thickTop="1" thickBot="1" x14ac:dyDescent="0.35">
      <c r="A8" s="198" t="s">
        <v>70</v>
      </c>
      <c r="C8" s="351" t="s">
        <v>190</v>
      </c>
    </row>
    <row r="9" spans="1:3" x14ac:dyDescent="0.3">
      <c r="A9" s="70" t="s">
        <v>97</v>
      </c>
      <c r="C9" s="196" t="s">
        <v>282</v>
      </c>
    </row>
    <row r="10" spans="1:3" ht="17.399999999999999" thickBot="1" x14ac:dyDescent="0.35">
      <c r="A10" s="262" t="s">
        <v>118</v>
      </c>
      <c r="C10" s="312" t="s">
        <v>191</v>
      </c>
    </row>
    <row r="11" spans="1:3" ht="18" thickTop="1" thickBot="1" x14ac:dyDescent="0.35">
      <c r="A11" s="74" t="s">
        <v>96</v>
      </c>
    </row>
    <row r="12" spans="1:3" ht="18" thickTop="1" thickBot="1" x14ac:dyDescent="0.35"/>
    <row r="13" spans="1:3" ht="24" thickTop="1" thickBot="1" x14ac:dyDescent="0.35">
      <c r="A13" s="200" t="s">
        <v>59</v>
      </c>
      <c r="C13" s="463" t="s">
        <v>301</v>
      </c>
    </row>
    <row r="14" spans="1:3" x14ac:dyDescent="0.3">
      <c r="A14" s="71" t="s">
        <v>116</v>
      </c>
      <c r="C14" s="662" t="s">
        <v>408</v>
      </c>
    </row>
    <row r="15" spans="1:3" ht="17.399999999999999" thickBot="1" x14ac:dyDescent="0.35">
      <c r="A15" s="73" t="s">
        <v>115</v>
      </c>
      <c r="C15" s="464" t="s">
        <v>405</v>
      </c>
    </row>
    <row r="16" spans="1:3" ht="18" thickTop="1" thickBot="1" x14ac:dyDescent="0.35">
      <c r="C16" s="663" t="s">
        <v>407</v>
      </c>
    </row>
    <row r="17" spans="1:3" ht="24" thickTop="1" thickBot="1" x14ac:dyDescent="0.35">
      <c r="A17" s="199" t="s">
        <v>82</v>
      </c>
      <c r="C17" s="663" t="s">
        <v>372</v>
      </c>
    </row>
    <row r="18" spans="1:3" ht="17.399999999999999" thickBot="1" x14ac:dyDescent="0.35">
      <c r="A18" s="72" t="s">
        <v>88</v>
      </c>
      <c r="C18" s="664" t="s">
        <v>403</v>
      </c>
    </row>
    <row r="19" spans="1:3" ht="17.399999999999999" thickTop="1" x14ac:dyDescent="0.3">
      <c r="A19" s="75" t="s">
        <v>83</v>
      </c>
    </row>
    <row r="20" spans="1:3" ht="17.399999999999999" thickBot="1" x14ac:dyDescent="0.35">
      <c r="A20" s="76" t="s">
        <v>84</v>
      </c>
    </row>
    <row r="21" spans="1:3" ht="17.399999999999999" thickTop="1" x14ac:dyDescent="0.3"/>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3"/>
  <sheetViews>
    <sheetView showGridLines="0" workbookViewId="0"/>
  </sheetViews>
  <sheetFormatPr defaultColWidth="13" defaultRowHeight="15.6" x14ac:dyDescent="0.3"/>
  <cols>
    <col min="1" max="1" width="24.19921875" style="20" bestFit="1" customWidth="1"/>
    <col min="2" max="2" width="10.69921875" style="20" bestFit="1" customWidth="1"/>
    <col min="3" max="3" width="4.296875" style="20" bestFit="1" customWidth="1"/>
    <col min="4" max="4" width="6.296875" style="20" bestFit="1" customWidth="1"/>
    <col min="5" max="5" width="8.09765625" style="20" bestFit="1" customWidth="1"/>
    <col min="6" max="6" width="12.19921875" style="20" bestFit="1" customWidth="1"/>
    <col min="7" max="7" width="4.69921875" style="20" bestFit="1" customWidth="1"/>
    <col min="8" max="8" width="5.69921875" style="20" bestFit="1" customWidth="1"/>
    <col min="9" max="9" width="5.59765625" style="20" bestFit="1" customWidth="1"/>
    <col min="10" max="10" width="6.296875" style="20" bestFit="1" customWidth="1"/>
    <col min="11" max="11" width="39.5" style="20" customWidth="1"/>
    <col min="12" max="12" width="3.3984375" style="15" customWidth="1"/>
    <col min="13" max="13" width="5.796875" style="184" bestFit="1" customWidth="1"/>
    <col min="14" max="14" width="7.69921875" style="20" bestFit="1" customWidth="1"/>
    <col min="15" max="16384" width="13" style="15"/>
  </cols>
  <sheetData>
    <row r="1" spans="1:13" ht="23.4" thickBot="1" x14ac:dyDescent="0.35">
      <c r="A1" s="13" t="s">
        <v>14</v>
      </c>
      <c r="B1" s="13"/>
      <c r="C1" s="13"/>
      <c r="D1" s="13"/>
      <c r="E1" s="13"/>
      <c r="F1" s="13"/>
      <c r="G1" s="13"/>
      <c r="H1" s="13"/>
      <c r="I1" s="13"/>
      <c r="J1" s="13"/>
      <c r="K1" s="13"/>
    </row>
    <row r="2" spans="1:13" ht="16.8" thickTop="1" thickBot="1" x14ac:dyDescent="0.35">
      <c r="A2" s="38" t="s">
        <v>0</v>
      </c>
      <c r="B2" s="39" t="s">
        <v>1</v>
      </c>
      <c r="C2" s="39" t="s">
        <v>16</v>
      </c>
      <c r="D2" s="39" t="s">
        <v>17</v>
      </c>
      <c r="E2" s="40" t="s">
        <v>55</v>
      </c>
      <c r="F2" s="39" t="s">
        <v>15</v>
      </c>
      <c r="G2" s="39" t="s">
        <v>18</v>
      </c>
      <c r="H2" s="41" t="s">
        <v>71</v>
      </c>
      <c r="I2" s="448" t="s">
        <v>74</v>
      </c>
      <c r="J2" s="41" t="s">
        <v>65</v>
      </c>
      <c r="K2" s="42" t="s">
        <v>63</v>
      </c>
      <c r="M2" s="185" t="s">
        <v>93</v>
      </c>
    </row>
    <row r="3" spans="1:13" x14ac:dyDescent="0.3">
      <c r="A3" s="190" t="s">
        <v>120</v>
      </c>
      <c r="B3" s="6" t="s">
        <v>121</v>
      </c>
      <c r="C3" s="7">
        <f>'Personal File'!$C$13</f>
        <v>-1</v>
      </c>
      <c r="D3" s="677">
        <v>-3</v>
      </c>
      <c r="E3" s="263" t="s">
        <v>122</v>
      </c>
      <c r="F3" s="8" t="s">
        <v>138</v>
      </c>
      <c r="G3" s="9">
        <v>1</v>
      </c>
      <c r="H3" s="182">
        <f>'Personal File'!$B$11+'Personal File'!$C$13+D3</f>
        <v>3</v>
      </c>
      <c r="I3" s="449">
        <f t="shared" ref="I3:I8" ca="1" si="0">RANDBETWEEN(1,20)</f>
        <v>6</v>
      </c>
      <c r="J3" s="183">
        <f t="shared" ref="J3:J4" ca="1" si="1">I3+H3</f>
        <v>9</v>
      </c>
      <c r="K3" s="12" t="str">
        <f>Feats!C2</f>
        <v>Sneak Attack 2d6</v>
      </c>
      <c r="M3" s="186">
        <v>10</v>
      </c>
    </row>
    <row r="4" spans="1:13" x14ac:dyDescent="0.3">
      <c r="A4" s="634" t="s">
        <v>398</v>
      </c>
      <c r="B4" s="635" t="s">
        <v>121</v>
      </c>
      <c r="C4" s="636">
        <f>'Personal File'!$C$13</f>
        <v>-1</v>
      </c>
      <c r="D4" s="678">
        <v>-3</v>
      </c>
      <c r="E4" s="637" t="s">
        <v>122</v>
      </c>
      <c r="F4" s="638" t="s">
        <v>138</v>
      </c>
      <c r="G4" s="639" t="s">
        <v>76</v>
      </c>
      <c r="H4" s="640">
        <f>'Personal File'!$B$11+'Personal File'!$C$13+D4-5</f>
        <v>-2</v>
      </c>
      <c r="I4" s="641">
        <f t="shared" ca="1" si="0"/>
        <v>11</v>
      </c>
      <c r="J4" s="642">
        <f t="shared" ca="1" si="1"/>
        <v>9</v>
      </c>
      <c r="K4" s="643"/>
      <c r="M4" s="659" t="s">
        <v>76</v>
      </c>
    </row>
    <row r="5" spans="1:13" x14ac:dyDescent="0.3">
      <c r="A5" s="628" t="s">
        <v>399</v>
      </c>
      <c r="B5" s="174" t="s">
        <v>86</v>
      </c>
      <c r="C5" s="629">
        <f>'Personal File'!$C$13</f>
        <v>-1</v>
      </c>
      <c r="D5" s="679">
        <v>-3</v>
      </c>
      <c r="E5" s="633" t="s">
        <v>122</v>
      </c>
      <c r="F5" s="630" t="s">
        <v>123</v>
      </c>
      <c r="G5" s="631">
        <v>0.5</v>
      </c>
      <c r="H5" s="182">
        <f>'Personal File'!$B$11+'Personal File'!$C$13+D5</f>
        <v>3</v>
      </c>
      <c r="I5" s="449">
        <f t="shared" ca="1" si="0"/>
        <v>9</v>
      </c>
      <c r="J5" s="183">
        <f t="shared" ref="J5" ca="1" si="2">I5+H5</f>
        <v>12</v>
      </c>
      <c r="K5" s="632"/>
      <c r="M5" s="187">
        <v>2</v>
      </c>
    </row>
    <row r="6" spans="1:13" x14ac:dyDescent="0.3">
      <c r="A6" s="634" t="s">
        <v>399</v>
      </c>
      <c r="B6" s="635" t="s">
        <v>86</v>
      </c>
      <c r="C6" s="636">
        <f>'Personal File'!$C$13</f>
        <v>-1</v>
      </c>
      <c r="D6" s="678">
        <v>-3</v>
      </c>
      <c r="E6" s="637" t="s">
        <v>122</v>
      </c>
      <c r="F6" s="638" t="s">
        <v>123</v>
      </c>
      <c r="G6" s="639" t="s">
        <v>76</v>
      </c>
      <c r="H6" s="640">
        <f>'Personal File'!$B$11+'Personal File'!$C$13+D6-5</f>
        <v>-2</v>
      </c>
      <c r="I6" s="641">
        <f t="shared" ca="1" si="0"/>
        <v>18</v>
      </c>
      <c r="J6" s="642">
        <f t="shared" ref="J6:J8" ca="1" si="3">I6+H6</f>
        <v>16</v>
      </c>
      <c r="K6" s="643"/>
      <c r="M6" s="659" t="s">
        <v>76</v>
      </c>
    </row>
    <row r="7" spans="1:13" x14ac:dyDescent="0.3">
      <c r="A7" s="628" t="s">
        <v>368</v>
      </c>
      <c r="B7" s="174" t="s">
        <v>86</v>
      </c>
      <c r="C7" s="629">
        <f>'Personal File'!$C$13</f>
        <v>-1</v>
      </c>
      <c r="D7" s="679">
        <v>-3</v>
      </c>
      <c r="E7" s="633" t="s">
        <v>122</v>
      </c>
      <c r="F7" s="630" t="s">
        <v>123</v>
      </c>
      <c r="G7" s="631">
        <v>0.5</v>
      </c>
      <c r="H7" s="182">
        <f>'Personal File'!$B$11+'Personal File'!$C$13+D7</f>
        <v>3</v>
      </c>
      <c r="I7" s="449">
        <f t="shared" ca="1" si="0"/>
        <v>17</v>
      </c>
      <c r="J7" s="183">
        <f t="shared" ca="1" si="3"/>
        <v>20</v>
      </c>
      <c r="K7" s="632"/>
      <c r="M7" s="187">
        <v>22</v>
      </c>
    </row>
    <row r="8" spans="1:13" x14ac:dyDescent="0.3">
      <c r="A8" s="634" t="s">
        <v>399</v>
      </c>
      <c r="B8" s="635" t="s">
        <v>86</v>
      </c>
      <c r="C8" s="636">
        <f>'Personal File'!$C$13</f>
        <v>-1</v>
      </c>
      <c r="D8" s="678">
        <v>-3</v>
      </c>
      <c r="E8" s="637" t="s">
        <v>122</v>
      </c>
      <c r="F8" s="638" t="s">
        <v>123</v>
      </c>
      <c r="G8" s="639" t="s">
        <v>76</v>
      </c>
      <c r="H8" s="640">
        <f>'Personal File'!$B$11+'Personal File'!$C$13+D8-5</f>
        <v>-2</v>
      </c>
      <c r="I8" s="641">
        <f t="shared" ca="1" si="0"/>
        <v>16</v>
      </c>
      <c r="J8" s="642">
        <f t="shared" ca="1" si="3"/>
        <v>14</v>
      </c>
      <c r="K8" s="643"/>
      <c r="M8" s="659" t="s">
        <v>76</v>
      </c>
    </row>
    <row r="9" spans="1:13" ht="16.2" thickBot="1" x14ac:dyDescent="0.35">
      <c r="A9" s="644" t="s">
        <v>91</v>
      </c>
      <c r="B9" s="645" t="s">
        <v>86</v>
      </c>
      <c r="C9" s="646">
        <f>'Personal File'!$C$13</f>
        <v>-1</v>
      </c>
      <c r="D9" s="680">
        <v>-3</v>
      </c>
      <c r="E9" s="647" t="s">
        <v>92</v>
      </c>
      <c r="F9" s="648" t="s">
        <v>85</v>
      </c>
      <c r="G9" s="649">
        <v>0</v>
      </c>
      <c r="H9" s="650">
        <f>'Personal File'!$B$11+'Personal File'!$C$13+D9</f>
        <v>3</v>
      </c>
      <c r="I9" s="651">
        <f t="shared" ref="I9" ca="1" si="4">RANDBETWEEN(1,20)</f>
        <v>1</v>
      </c>
      <c r="J9" s="652">
        <f t="shared" ref="J9" ca="1" si="5">I9+H9</f>
        <v>4</v>
      </c>
      <c r="K9" s="653" t="s">
        <v>83</v>
      </c>
      <c r="M9" s="660" t="s">
        <v>76</v>
      </c>
    </row>
    <row r="10" spans="1:13" ht="6" customHeight="1" thickTop="1" thickBot="1" x14ac:dyDescent="0.35">
      <c r="I10" s="43"/>
      <c r="J10" s="43"/>
      <c r="M10" s="189"/>
    </row>
    <row r="11" spans="1:13" ht="16.8" thickTop="1" thickBot="1" x14ac:dyDescent="0.35">
      <c r="A11" s="38" t="s">
        <v>3</v>
      </c>
      <c r="B11" s="39" t="s">
        <v>4</v>
      </c>
      <c r="C11" s="39" t="s">
        <v>16</v>
      </c>
      <c r="D11" s="39" t="s">
        <v>17</v>
      </c>
      <c r="E11" s="40" t="s">
        <v>55</v>
      </c>
      <c r="F11" s="39" t="s">
        <v>5</v>
      </c>
      <c r="G11" s="39" t="s">
        <v>18</v>
      </c>
      <c r="H11" s="41" t="s">
        <v>71</v>
      </c>
      <c r="I11" s="448" t="s">
        <v>74</v>
      </c>
      <c r="J11" s="41" t="s">
        <v>65</v>
      </c>
      <c r="K11" s="42" t="s">
        <v>63</v>
      </c>
      <c r="M11" s="185" t="s">
        <v>93</v>
      </c>
    </row>
    <row r="12" spans="1:13" x14ac:dyDescent="0.3">
      <c r="A12" s="395" t="s">
        <v>100</v>
      </c>
      <c r="B12" s="396" t="s">
        <v>76</v>
      </c>
      <c r="C12" s="397" t="s">
        <v>76</v>
      </c>
      <c r="D12" s="684">
        <v>-3</v>
      </c>
      <c r="E12" s="398" t="s">
        <v>76</v>
      </c>
      <c r="F12" s="399" t="s">
        <v>76</v>
      </c>
      <c r="G12" s="400" t="s">
        <v>76</v>
      </c>
      <c r="H12" s="401">
        <f>'Personal File'!$B$11+'Personal File'!$C$14+D12</f>
        <v>7</v>
      </c>
      <c r="I12" s="450">
        <f t="shared" ref="I12:I22" ca="1" si="6">RANDBETWEEN(1,20)</f>
        <v>8</v>
      </c>
      <c r="J12" s="402">
        <f t="shared" ref="J12" ca="1" si="7">I12+H12</f>
        <v>15</v>
      </c>
      <c r="K12" s="403" t="s">
        <v>83</v>
      </c>
      <c r="L12" s="43"/>
      <c r="M12" s="404" t="s">
        <v>76</v>
      </c>
    </row>
    <row r="13" spans="1:13" x14ac:dyDescent="0.3">
      <c r="A13" s="451" t="s">
        <v>412</v>
      </c>
      <c r="B13" s="452" t="s">
        <v>411</v>
      </c>
      <c r="C13" s="453" t="s">
        <v>76</v>
      </c>
      <c r="D13" s="681">
        <v>-3</v>
      </c>
      <c r="E13" s="454" t="s">
        <v>139</v>
      </c>
      <c r="F13" s="455" t="s">
        <v>218</v>
      </c>
      <c r="G13" s="456">
        <v>5</v>
      </c>
      <c r="H13" s="457">
        <f>'Personal File'!$B$11+'Personal File'!$C$14+D13</f>
        <v>7</v>
      </c>
      <c r="I13" s="450">
        <f t="shared" ca="1" si="6"/>
        <v>9</v>
      </c>
      <c r="J13" s="457">
        <f t="shared" ref="J13" ca="1" si="8">I13+H13</f>
        <v>16</v>
      </c>
      <c r="K13" s="458" t="s">
        <v>414</v>
      </c>
      <c r="L13" s="43"/>
      <c r="M13" s="459" t="s">
        <v>76</v>
      </c>
    </row>
    <row r="14" spans="1:13" x14ac:dyDescent="0.3">
      <c r="A14" s="451" t="s">
        <v>373</v>
      </c>
      <c r="B14" s="452" t="str">
        <f>CONCATENATE(ROUNDDOWN(Spells!$J$8/2,0),"d4 Sonic")</f>
        <v>3d4 Sonic</v>
      </c>
      <c r="C14" s="453" t="s">
        <v>76</v>
      </c>
      <c r="D14" s="461" t="s">
        <v>76</v>
      </c>
      <c r="E14" s="454" t="s">
        <v>76</v>
      </c>
      <c r="F14" s="455" t="s">
        <v>203</v>
      </c>
      <c r="G14" s="456" t="s">
        <v>76</v>
      </c>
      <c r="H14" s="457" t="s">
        <v>76</v>
      </c>
      <c r="I14" s="604" t="s">
        <v>76</v>
      </c>
      <c r="J14" s="457" t="s">
        <v>76</v>
      </c>
      <c r="K14" s="458" t="s">
        <v>391</v>
      </c>
      <c r="L14" s="43"/>
      <c r="M14" s="459" t="s">
        <v>76</v>
      </c>
    </row>
    <row r="15" spans="1:13" x14ac:dyDescent="0.3">
      <c r="A15" s="451" t="s">
        <v>406</v>
      </c>
      <c r="B15" s="452" t="str">
        <f>CONCATENATE(Spells!$J$8,"d6 Electric")</f>
        <v>6d6 Electric</v>
      </c>
      <c r="C15" s="453" t="s">
        <v>76</v>
      </c>
      <c r="D15" s="461" t="s">
        <v>76</v>
      </c>
      <c r="E15" s="454" t="s">
        <v>76</v>
      </c>
      <c r="F15" s="455" t="s">
        <v>409</v>
      </c>
      <c r="G15" s="456" t="s">
        <v>76</v>
      </c>
      <c r="H15" s="457" t="s">
        <v>76</v>
      </c>
      <c r="I15" s="665" t="s">
        <v>76</v>
      </c>
      <c r="J15" s="457" t="s">
        <v>76</v>
      </c>
      <c r="K15" s="458" t="s">
        <v>410</v>
      </c>
      <c r="L15" s="43"/>
      <c r="M15" s="459" t="s">
        <v>76</v>
      </c>
    </row>
    <row r="16" spans="1:13" x14ac:dyDescent="0.3">
      <c r="A16" s="451" t="s">
        <v>424</v>
      </c>
      <c r="B16" s="452" t="s">
        <v>76</v>
      </c>
      <c r="C16" s="453" t="s">
        <v>76</v>
      </c>
      <c r="D16" s="461">
        <v>0</v>
      </c>
      <c r="E16" s="454" t="s">
        <v>76</v>
      </c>
      <c r="F16" s="455" t="s">
        <v>76</v>
      </c>
      <c r="G16" s="456" t="s">
        <v>76</v>
      </c>
      <c r="H16" s="457" t="str">
        <f>CONCATENATE("+",Spells!$J$7+D16)</f>
        <v>+1</v>
      </c>
      <c r="I16" s="658">
        <f t="shared" ca="1" si="6"/>
        <v>2</v>
      </c>
      <c r="J16" s="457">
        <f ca="1">I16+H16</f>
        <v>3</v>
      </c>
      <c r="K16" s="458"/>
      <c r="L16" s="43"/>
      <c r="M16" s="459" t="s">
        <v>76</v>
      </c>
    </row>
    <row r="17" spans="1:14" x14ac:dyDescent="0.3">
      <c r="A17" s="451" t="s">
        <v>425</v>
      </c>
      <c r="B17" s="452" t="s">
        <v>76</v>
      </c>
      <c r="C17" s="453" t="s">
        <v>76</v>
      </c>
      <c r="D17" s="461">
        <v>0</v>
      </c>
      <c r="E17" s="454" t="s">
        <v>76</v>
      </c>
      <c r="F17" s="455" t="s">
        <v>76</v>
      </c>
      <c r="G17" s="456" t="s">
        <v>76</v>
      </c>
      <c r="H17" s="457" t="str">
        <f>CONCATENATE("+",Spells!$J$8+D17)</f>
        <v>+6</v>
      </c>
      <c r="I17" s="658">
        <f t="shared" ca="1" si="6"/>
        <v>6</v>
      </c>
      <c r="J17" s="457">
        <f ca="1">I17+H17</f>
        <v>12</v>
      </c>
      <c r="K17" s="458"/>
      <c r="L17" s="43"/>
      <c r="M17" s="459" t="s">
        <v>76</v>
      </c>
    </row>
    <row r="18" spans="1:14" x14ac:dyDescent="0.3">
      <c r="A18" s="628" t="s">
        <v>119</v>
      </c>
      <c r="B18" s="174" t="s">
        <v>121</v>
      </c>
      <c r="C18" s="629">
        <v>0</v>
      </c>
      <c r="D18" s="681">
        <v>-3</v>
      </c>
      <c r="E18" s="633" t="s">
        <v>139</v>
      </c>
      <c r="F18" s="630" t="s">
        <v>140</v>
      </c>
      <c r="G18" s="631">
        <v>1</v>
      </c>
      <c r="H18" s="183">
        <f>'Personal File'!$B$11+'Personal File'!$C$14+D18</f>
        <v>7</v>
      </c>
      <c r="I18" s="658">
        <f t="shared" ca="1" si="6"/>
        <v>9</v>
      </c>
      <c r="J18" s="183">
        <f t="shared" ref="J18" ca="1" si="9">I18+H18</f>
        <v>16</v>
      </c>
      <c r="K18" s="632"/>
      <c r="L18" s="43"/>
      <c r="M18" s="251">
        <v>30</v>
      </c>
    </row>
    <row r="19" spans="1:14" x14ac:dyDescent="0.3">
      <c r="A19" s="634" t="s">
        <v>397</v>
      </c>
      <c r="B19" s="635" t="s">
        <v>121</v>
      </c>
      <c r="C19" s="636">
        <v>0</v>
      </c>
      <c r="D19" s="682">
        <v>-3</v>
      </c>
      <c r="E19" s="637" t="s">
        <v>139</v>
      </c>
      <c r="F19" s="638" t="s">
        <v>140</v>
      </c>
      <c r="G19" s="639" t="s">
        <v>76</v>
      </c>
      <c r="H19" s="642">
        <f>'Personal File'!$B$11+'Personal File'!$C$14+D19-5</f>
        <v>2</v>
      </c>
      <c r="I19" s="657">
        <f t="shared" ca="1" si="6"/>
        <v>8</v>
      </c>
      <c r="J19" s="642">
        <f t="shared" ref="J19:J20" ca="1" si="10">I19+H19</f>
        <v>10</v>
      </c>
      <c r="K19" s="643"/>
      <c r="L19" s="43"/>
      <c r="M19" s="659" t="s">
        <v>76</v>
      </c>
    </row>
    <row r="20" spans="1:14" x14ac:dyDescent="0.3">
      <c r="A20" s="628" t="s">
        <v>402</v>
      </c>
      <c r="B20" s="174" t="s">
        <v>400</v>
      </c>
      <c r="C20" s="629" t="s">
        <v>53</v>
      </c>
      <c r="D20" s="681">
        <v>-3</v>
      </c>
      <c r="E20" s="633">
        <v>20</v>
      </c>
      <c r="F20" s="630" t="s">
        <v>244</v>
      </c>
      <c r="G20" s="631">
        <f>K20</f>
        <v>0</v>
      </c>
      <c r="H20" s="183">
        <f>'Personal File'!$B$11+'Personal File'!$C$14+D20</f>
        <v>7</v>
      </c>
      <c r="I20" s="658">
        <f t="shared" ca="1" si="6"/>
        <v>9</v>
      </c>
      <c r="J20" s="183">
        <f t="shared" ca="1" si="10"/>
        <v>16</v>
      </c>
      <c r="K20" s="632"/>
      <c r="L20" s="43"/>
      <c r="M20" s="251">
        <v>30</v>
      </c>
    </row>
    <row r="21" spans="1:14" x14ac:dyDescent="0.3">
      <c r="A21" s="634" t="s">
        <v>401</v>
      </c>
      <c r="B21" s="635" t="s">
        <v>400</v>
      </c>
      <c r="C21" s="636" t="s">
        <v>53</v>
      </c>
      <c r="D21" s="682">
        <v>-3</v>
      </c>
      <c r="E21" s="637">
        <v>20</v>
      </c>
      <c r="F21" s="638" t="s">
        <v>244</v>
      </c>
      <c r="G21" s="639" t="s">
        <v>76</v>
      </c>
      <c r="H21" s="642">
        <f>'Personal File'!$B$11+'Personal File'!$C$14+D21-5</f>
        <v>2</v>
      </c>
      <c r="I21" s="657">
        <f t="shared" ca="1" si="6"/>
        <v>14</v>
      </c>
      <c r="J21" s="642">
        <f t="shared" ref="J21" ca="1" si="11">I21+H21</f>
        <v>16</v>
      </c>
      <c r="K21" s="643"/>
      <c r="L21" s="43"/>
      <c r="M21" s="659" t="s">
        <v>76</v>
      </c>
    </row>
    <row r="22" spans="1:14" ht="16.2" thickBot="1" x14ac:dyDescent="0.35">
      <c r="A22" s="644" t="s">
        <v>355</v>
      </c>
      <c r="B22" s="645" t="s">
        <v>356</v>
      </c>
      <c r="C22" s="654">
        <v>0</v>
      </c>
      <c r="D22" s="683">
        <v>-3</v>
      </c>
      <c r="E22" s="645" t="s">
        <v>356</v>
      </c>
      <c r="F22" s="654" t="s">
        <v>110</v>
      </c>
      <c r="G22" s="649" t="s">
        <v>76</v>
      </c>
      <c r="H22" s="652">
        <f>'Personal File'!$B$11+'Personal File'!$C$14+D22</f>
        <v>7</v>
      </c>
      <c r="I22" s="655">
        <f t="shared" ca="1" si="6"/>
        <v>16</v>
      </c>
      <c r="J22" s="652">
        <f t="shared" ref="J22" ca="1" si="12">I22+H22</f>
        <v>23</v>
      </c>
      <c r="K22" s="656"/>
      <c r="L22" s="43"/>
      <c r="M22" s="661" t="s">
        <v>76</v>
      </c>
    </row>
    <row r="23" spans="1:14" ht="6" customHeight="1" thickTop="1" thickBot="1" x14ac:dyDescent="0.35">
      <c r="D23" s="44"/>
      <c r="E23" s="44"/>
      <c r="G23" s="37"/>
      <c r="H23" s="37"/>
      <c r="I23" s="43"/>
      <c r="J23" s="37"/>
      <c r="M23" s="189"/>
    </row>
    <row r="24" spans="1:14" ht="16.8" thickTop="1" thickBot="1" x14ac:dyDescent="0.35">
      <c r="A24" s="38" t="s">
        <v>57</v>
      </c>
      <c r="B24" s="39" t="s">
        <v>8</v>
      </c>
      <c r="C24" s="39" t="s">
        <v>25</v>
      </c>
      <c r="D24" s="39" t="s">
        <v>65</v>
      </c>
      <c r="E24" s="39" t="s">
        <v>66</v>
      </c>
      <c r="F24" s="39" t="s">
        <v>67</v>
      </c>
      <c r="G24" s="39" t="s">
        <v>18</v>
      </c>
      <c r="H24" s="45" t="s">
        <v>63</v>
      </c>
      <c r="I24" s="46"/>
      <c r="J24" s="46"/>
      <c r="K24" s="47"/>
      <c r="M24" s="185" t="s">
        <v>93</v>
      </c>
    </row>
    <row r="25" spans="1:14" x14ac:dyDescent="0.3">
      <c r="A25" s="240" t="s">
        <v>310</v>
      </c>
      <c r="B25" s="241">
        <v>4</v>
      </c>
      <c r="C25" s="242">
        <f>4+2</f>
        <v>6</v>
      </c>
      <c r="D25" s="241">
        <f>-2+2</f>
        <v>0</v>
      </c>
      <c r="E25" s="243">
        <f>0.2-0.1</f>
        <v>0.1</v>
      </c>
      <c r="F25" s="244" t="s">
        <v>110</v>
      </c>
      <c r="G25" s="393">
        <v>6.25</v>
      </c>
      <c r="H25" s="245"/>
      <c r="I25" s="246"/>
      <c r="J25" s="246"/>
      <c r="K25" s="247"/>
      <c r="M25" s="248">
        <v>3100</v>
      </c>
      <c r="N25" s="43"/>
    </row>
    <row r="26" spans="1:14" x14ac:dyDescent="0.3">
      <c r="A26" s="587" t="s">
        <v>416</v>
      </c>
      <c r="B26" s="668" t="s">
        <v>417</v>
      </c>
      <c r="C26" s="669" t="s">
        <v>76</v>
      </c>
      <c r="D26" s="670" t="s">
        <v>76</v>
      </c>
      <c r="E26" s="671" t="s">
        <v>76</v>
      </c>
      <c r="F26" s="670" t="s">
        <v>76</v>
      </c>
      <c r="G26" s="672">
        <v>0</v>
      </c>
      <c r="H26" s="673"/>
      <c r="I26" s="613"/>
      <c r="J26" s="613"/>
      <c r="K26" s="674"/>
      <c r="L26" s="177"/>
      <c r="M26" s="615">
        <v>8000</v>
      </c>
      <c r="N26" s="43"/>
    </row>
    <row r="27" spans="1:14" x14ac:dyDescent="0.3">
      <c r="A27" s="474" t="s">
        <v>309</v>
      </c>
      <c r="B27" s="249" t="s">
        <v>76</v>
      </c>
      <c r="C27" s="475" t="s">
        <v>76</v>
      </c>
      <c r="D27" s="249" t="s">
        <v>76</v>
      </c>
      <c r="E27" s="476" t="s">
        <v>76</v>
      </c>
      <c r="F27" s="477" t="s">
        <v>76</v>
      </c>
      <c r="G27" s="250">
        <v>0</v>
      </c>
      <c r="H27" s="478"/>
      <c r="I27" s="479"/>
      <c r="J27" s="479"/>
      <c r="K27" s="480"/>
      <c r="M27" s="251">
        <v>500</v>
      </c>
      <c r="N27" s="43"/>
    </row>
    <row r="28" spans="1:14" x14ac:dyDescent="0.3">
      <c r="A28" s="606" t="s">
        <v>383</v>
      </c>
      <c r="B28" s="607" t="s">
        <v>76</v>
      </c>
      <c r="C28" s="608" t="s">
        <v>76</v>
      </c>
      <c r="D28" s="607" t="s">
        <v>76</v>
      </c>
      <c r="E28" s="609" t="s">
        <v>76</v>
      </c>
      <c r="F28" s="610" t="s">
        <v>76</v>
      </c>
      <c r="G28" s="611">
        <v>1</v>
      </c>
      <c r="H28" s="612" t="s">
        <v>384</v>
      </c>
      <c r="I28" s="613"/>
      <c r="J28" s="613"/>
      <c r="K28" s="614"/>
      <c r="M28" s="615">
        <v>10</v>
      </c>
      <c r="N28" s="43"/>
    </row>
    <row r="29" spans="1:14" ht="16.2" thickBot="1" x14ac:dyDescent="0.35">
      <c r="A29" s="465" t="s">
        <v>250</v>
      </c>
      <c r="B29" s="466">
        <v>4</v>
      </c>
      <c r="C29" s="467" t="s">
        <v>76</v>
      </c>
      <c r="D29" s="466" t="s">
        <v>76</v>
      </c>
      <c r="E29" s="468" t="s">
        <v>76</v>
      </c>
      <c r="F29" s="466" t="s">
        <v>76</v>
      </c>
      <c r="G29" s="469" t="s">
        <v>76</v>
      </c>
      <c r="H29" s="470"/>
      <c r="I29" s="471"/>
      <c r="J29" s="471"/>
      <c r="K29" s="472"/>
      <c r="M29" s="473" t="s">
        <v>76</v>
      </c>
    </row>
    <row r="30" spans="1:14" ht="6.75" customHeight="1" thickTop="1" thickBot="1" x14ac:dyDescent="0.35">
      <c r="M30" s="189"/>
    </row>
    <row r="31" spans="1:14" ht="16.8" thickTop="1" thickBot="1" x14ac:dyDescent="0.35">
      <c r="A31" s="49"/>
      <c r="B31" s="37"/>
      <c r="D31" s="50" t="s">
        <v>58</v>
      </c>
      <c r="E31" s="51"/>
      <c r="F31" s="45" t="s">
        <v>2</v>
      </c>
      <c r="G31" s="39" t="s">
        <v>18</v>
      </c>
      <c r="H31" s="41" t="s">
        <v>71</v>
      </c>
      <c r="I31" s="45" t="s">
        <v>63</v>
      </c>
      <c r="J31" s="46"/>
      <c r="K31" s="47"/>
      <c r="M31" s="185" t="s">
        <v>93</v>
      </c>
    </row>
    <row r="32" spans="1:14" x14ac:dyDescent="0.3">
      <c r="A32" s="49"/>
      <c r="B32" s="216"/>
      <c r="D32" s="52" t="s">
        <v>124</v>
      </c>
      <c r="E32" s="53"/>
      <c r="F32" s="54">
        <v>20</v>
      </c>
      <c r="G32" s="9">
        <f>F32*3/(2*20)</f>
        <v>1.5</v>
      </c>
      <c r="H32" s="55" t="s">
        <v>53</v>
      </c>
      <c r="I32" s="56"/>
      <c r="J32" s="57"/>
      <c r="K32" s="58"/>
      <c r="M32" s="272">
        <f>F32/20</f>
        <v>1</v>
      </c>
    </row>
    <row r="33" spans="1:14" ht="16.2" thickBot="1" x14ac:dyDescent="0.35">
      <c r="A33" s="49"/>
      <c r="B33" s="216"/>
      <c r="D33" s="59" t="s">
        <v>311</v>
      </c>
      <c r="E33" s="60"/>
      <c r="F33" s="61">
        <v>10</v>
      </c>
      <c r="G33" s="11">
        <f>F33/(2*20)</f>
        <v>0.25</v>
      </c>
      <c r="H33" s="62" t="s">
        <v>53</v>
      </c>
      <c r="I33" s="63"/>
      <c r="J33" s="64"/>
      <c r="K33" s="48"/>
      <c r="M33" s="188" t="s">
        <v>76</v>
      </c>
    </row>
    <row r="34" spans="1:14" ht="16.8" thickTop="1" thickBot="1" x14ac:dyDescent="0.35">
      <c r="B34" s="15"/>
    </row>
    <row r="35" spans="1:14" ht="16.8" thickTop="1" thickBot="1" x14ac:dyDescent="0.35">
      <c r="B35" s="15"/>
      <c r="D35" s="50" t="s">
        <v>90</v>
      </c>
      <c r="E35" s="46"/>
      <c r="F35" s="46"/>
      <c r="G35" s="65" t="s">
        <v>2</v>
      </c>
      <c r="H35" s="65" t="s">
        <v>77</v>
      </c>
      <c r="I35" s="65" t="s">
        <v>87</v>
      </c>
      <c r="J35" s="66" t="s">
        <v>63</v>
      </c>
      <c r="K35" s="47"/>
      <c r="M35" s="185" t="s">
        <v>93</v>
      </c>
    </row>
    <row r="36" spans="1:14" x14ac:dyDescent="0.3">
      <c r="B36" s="15"/>
      <c r="D36" s="172"/>
      <c r="E36" s="173"/>
      <c r="F36" s="173"/>
      <c r="G36" s="174"/>
      <c r="H36" s="174"/>
      <c r="I36" s="174"/>
      <c r="J36" s="175"/>
      <c r="K36" s="176"/>
      <c r="L36" s="177"/>
      <c r="M36" s="187"/>
      <c r="N36" s="15"/>
    </row>
    <row r="37" spans="1:14" ht="16.2" thickBot="1" x14ac:dyDescent="0.35">
      <c r="A37" s="15"/>
      <c r="B37" s="15"/>
      <c r="D37" s="178"/>
      <c r="E37" s="179"/>
      <c r="F37" s="179"/>
      <c r="G37" s="10"/>
      <c r="H37" s="10"/>
      <c r="I37" s="10"/>
      <c r="J37" s="180"/>
      <c r="K37" s="181"/>
      <c r="M37" s="188"/>
      <c r="N37" s="43"/>
    </row>
    <row r="38" spans="1:14" ht="16.2" thickTop="1" x14ac:dyDescent="0.3">
      <c r="A38" s="15"/>
      <c r="B38" s="15"/>
    </row>
    <row r="39" spans="1:14" x14ac:dyDescent="0.3">
      <c r="A39" s="15"/>
      <c r="B39" s="15"/>
    </row>
    <row r="40" spans="1:14" x14ac:dyDescent="0.3">
      <c r="A40" s="15"/>
      <c r="B40" s="15"/>
    </row>
    <row r="41" spans="1:14" x14ac:dyDescent="0.3">
      <c r="A41" s="15"/>
      <c r="B41" s="15"/>
    </row>
    <row r="42" spans="1:14" x14ac:dyDescent="0.3">
      <c r="A42" s="15"/>
      <c r="B42" s="15"/>
    </row>
    <row r="43" spans="1:14" x14ac:dyDescent="0.3">
      <c r="A43" s="15"/>
      <c r="B43" s="15"/>
    </row>
  </sheetData>
  <sortState xmlns:xlrd2="http://schemas.microsoft.com/office/spreadsheetml/2017/richdata2" ref="D33:K47">
    <sortCondition ref="I33:I47"/>
    <sortCondition ref="D33:D47"/>
  </sortState>
  <phoneticPr fontId="0" type="noConversion"/>
  <conditionalFormatting sqref="I3:I9">
    <cfRule type="cellIs" dxfId="7" priority="11" operator="equal">
      <formula>20</formula>
    </cfRule>
    <cfRule type="cellIs" dxfId="6" priority="12" operator="equal">
      <formula>1</formula>
    </cfRule>
  </conditionalFormatting>
  <conditionalFormatting sqref="I12:I22">
    <cfRule type="cellIs" dxfId="5" priority="1" operator="equal">
      <formula>20</formula>
    </cfRule>
    <cfRule type="cellIs" dxfId="4"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61"/>
  <sheetViews>
    <sheetView showGridLines="0" zoomScaleNormal="100" workbookViewId="0"/>
  </sheetViews>
  <sheetFormatPr defaultColWidth="8.59765625" defaultRowHeight="15.6" x14ac:dyDescent="0.3"/>
  <cols>
    <col min="1" max="1" width="26.5" style="20" bestFit="1" customWidth="1"/>
    <col min="2" max="2" width="5.69921875" style="20" bestFit="1" customWidth="1"/>
    <col min="3" max="3" width="5.3984375" style="37" bestFit="1" customWidth="1"/>
    <col min="4" max="5" width="22.3984375" style="15" customWidth="1"/>
    <col min="6" max="6" width="2.3984375" style="15" customWidth="1"/>
    <col min="7" max="7" width="8.296875" style="15" bestFit="1" customWidth="1"/>
    <col min="8" max="16384" width="8.59765625" style="15"/>
  </cols>
  <sheetData>
    <row r="1" spans="1:7" ht="23.4" thickBot="1" x14ac:dyDescent="0.35">
      <c r="A1" s="13" t="s">
        <v>60</v>
      </c>
      <c r="B1" s="13"/>
      <c r="C1" s="14"/>
      <c r="D1" s="13"/>
      <c r="E1" s="13"/>
    </row>
    <row r="2" spans="1:7" s="20" customFormat="1" ht="16.8" thickTop="1" thickBot="1" x14ac:dyDescent="0.35">
      <c r="A2" s="16" t="s">
        <v>61</v>
      </c>
      <c r="B2" s="16" t="s">
        <v>2</v>
      </c>
      <c r="C2" s="17" t="s">
        <v>18</v>
      </c>
      <c r="D2" s="18" t="s">
        <v>62</v>
      </c>
      <c r="E2" s="19" t="s">
        <v>63</v>
      </c>
      <c r="G2" s="217" t="s">
        <v>93</v>
      </c>
    </row>
    <row r="3" spans="1:7" x14ac:dyDescent="0.3">
      <c r="A3" s="23" t="s">
        <v>283</v>
      </c>
      <c r="B3" s="24">
        <v>1</v>
      </c>
      <c r="C3" s="406" t="s">
        <v>288</v>
      </c>
      <c r="D3" s="423" t="s">
        <v>287</v>
      </c>
      <c r="E3" s="25"/>
      <c r="G3" s="408">
        <v>500</v>
      </c>
    </row>
    <row r="4" spans="1:7" x14ac:dyDescent="0.3">
      <c r="A4" s="23" t="s">
        <v>413</v>
      </c>
      <c r="B4" s="24">
        <v>1</v>
      </c>
      <c r="C4" s="406">
        <v>0</v>
      </c>
      <c r="D4" s="171" t="s">
        <v>415</v>
      </c>
      <c r="E4" s="25"/>
      <c r="G4" s="408">
        <v>26000</v>
      </c>
    </row>
    <row r="5" spans="1:7" x14ac:dyDescent="0.3">
      <c r="A5" s="23" t="s">
        <v>284</v>
      </c>
      <c r="B5" s="24">
        <v>1</v>
      </c>
      <c r="C5" s="406">
        <v>1</v>
      </c>
      <c r="D5" s="407"/>
      <c r="E5" s="25"/>
      <c r="G5" s="408">
        <v>750</v>
      </c>
    </row>
    <row r="6" spans="1:7" ht="16.2" thickBot="1" x14ac:dyDescent="0.35">
      <c r="A6" s="27" t="s">
        <v>308</v>
      </c>
      <c r="B6" s="28">
        <v>1</v>
      </c>
      <c r="C6" s="29">
        <v>1</v>
      </c>
      <c r="D6" s="30"/>
      <c r="E6" s="31"/>
      <c r="G6" s="219">
        <v>2000</v>
      </c>
    </row>
    <row r="7" spans="1:7" ht="24" thickTop="1" thickBot="1" x14ac:dyDescent="0.35">
      <c r="A7" s="13" t="s">
        <v>64</v>
      </c>
      <c r="B7" s="13"/>
      <c r="C7" s="32"/>
      <c r="D7" s="13"/>
      <c r="E7" s="33"/>
      <c r="G7" s="32"/>
    </row>
    <row r="8" spans="1:7" ht="16.8" thickTop="1" thickBot="1" x14ac:dyDescent="0.35">
      <c r="A8" s="16" t="s">
        <v>61</v>
      </c>
      <c r="B8" s="16" t="s">
        <v>2</v>
      </c>
      <c r="C8" s="17" t="s">
        <v>18</v>
      </c>
      <c r="D8" s="18" t="s">
        <v>62</v>
      </c>
      <c r="E8" s="19" t="s">
        <v>63</v>
      </c>
      <c r="G8" s="217" t="s">
        <v>93</v>
      </c>
    </row>
    <row r="9" spans="1:7" x14ac:dyDescent="0.3">
      <c r="A9" s="34" t="s">
        <v>126</v>
      </c>
      <c r="B9" s="21">
        <v>1</v>
      </c>
      <c r="C9" s="35">
        <v>0.5</v>
      </c>
      <c r="D9" s="36"/>
      <c r="E9" s="22"/>
      <c r="G9" s="220">
        <v>1</v>
      </c>
    </row>
    <row r="10" spans="1:7" x14ac:dyDescent="0.3">
      <c r="A10" s="23" t="s">
        <v>272</v>
      </c>
      <c r="B10" s="24">
        <v>1</v>
      </c>
      <c r="C10" s="26">
        <v>0</v>
      </c>
      <c r="D10" s="171"/>
      <c r="E10" s="25"/>
      <c r="G10" s="274">
        <v>0.05</v>
      </c>
    </row>
    <row r="11" spans="1:7" x14ac:dyDescent="0.3">
      <c r="A11" s="23" t="s">
        <v>390</v>
      </c>
      <c r="B11" s="24">
        <v>1</v>
      </c>
      <c r="C11" s="26">
        <v>1</v>
      </c>
      <c r="D11" s="171"/>
      <c r="E11" s="25"/>
      <c r="G11" s="218">
        <v>350</v>
      </c>
    </row>
    <row r="12" spans="1:7" x14ac:dyDescent="0.3">
      <c r="A12" s="23" t="s">
        <v>273</v>
      </c>
      <c r="B12" s="24">
        <v>1</v>
      </c>
      <c r="C12" s="26">
        <v>0</v>
      </c>
      <c r="D12" s="171"/>
      <c r="E12" s="25"/>
      <c r="G12" s="218">
        <v>8</v>
      </c>
    </row>
    <row r="13" spans="1:7" x14ac:dyDescent="0.3">
      <c r="A13" s="23" t="s">
        <v>312</v>
      </c>
      <c r="B13" s="24">
        <v>1</v>
      </c>
      <c r="C13" s="406">
        <v>0</v>
      </c>
      <c r="D13" s="171"/>
      <c r="E13" s="416"/>
      <c r="F13" s="177"/>
      <c r="G13" s="408">
        <v>1</v>
      </c>
    </row>
    <row r="14" spans="1:7" x14ac:dyDescent="0.3">
      <c r="A14" s="23" t="s">
        <v>353</v>
      </c>
      <c r="B14" s="24">
        <v>0</v>
      </c>
      <c r="C14" s="273">
        <f>B14*0.01</f>
        <v>0</v>
      </c>
      <c r="D14" s="171"/>
      <c r="E14" s="25"/>
      <c r="G14" s="218">
        <f>B14</f>
        <v>0</v>
      </c>
    </row>
    <row r="15" spans="1:7" x14ac:dyDescent="0.3">
      <c r="A15" s="23" t="s">
        <v>358</v>
      </c>
      <c r="B15" s="24">
        <v>10</v>
      </c>
      <c r="C15" s="273">
        <f>B15*0.0075</f>
        <v>7.4999999999999997E-2</v>
      </c>
      <c r="D15" s="171"/>
      <c r="E15" s="25"/>
      <c r="G15" s="274">
        <f>B15/10</f>
        <v>1</v>
      </c>
    </row>
    <row r="16" spans="1:7" x14ac:dyDescent="0.3">
      <c r="A16" s="23" t="s">
        <v>359</v>
      </c>
      <c r="B16" s="24">
        <v>10</v>
      </c>
      <c r="C16" s="273">
        <f>B16*0.005</f>
        <v>0.05</v>
      </c>
      <c r="D16" s="171"/>
      <c r="E16" s="25"/>
      <c r="G16" s="274">
        <f>B16/100</f>
        <v>0.1</v>
      </c>
    </row>
    <row r="17" spans="1:7" ht="16.2" thickBot="1" x14ac:dyDescent="0.35">
      <c r="A17" s="27" t="s">
        <v>125</v>
      </c>
      <c r="B17" s="28">
        <v>1</v>
      </c>
      <c r="C17" s="29">
        <v>1</v>
      </c>
      <c r="D17" s="30"/>
      <c r="E17" s="31"/>
      <c r="G17" s="219">
        <v>30</v>
      </c>
    </row>
    <row r="18" spans="1:7" ht="22.8" thickTop="1" thickBot="1" x14ac:dyDescent="0.35">
      <c r="A18" s="409"/>
      <c r="B18" s="409"/>
      <c r="C18" s="409"/>
      <c r="D18" s="410" t="s">
        <v>285</v>
      </c>
      <c r="E18" s="411"/>
      <c r="F18" s="43"/>
      <c r="G18" s="43">
        <v>2000</v>
      </c>
    </row>
    <row r="19" spans="1:7" ht="16.8" thickTop="1" thickBot="1" x14ac:dyDescent="0.35">
      <c r="A19" s="16" t="s">
        <v>61</v>
      </c>
      <c r="B19" s="16" t="s">
        <v>2</v>
      </c>
      <c r="C19" s="17" t="s">
        <v>18</v>
      </c>
      <c r="D19" s="18" t="s">
        <v>62</v>
      </c>
      <c r="E19" s="19" t="s">
        <v>63</v>
      </c>
      <c r="F19" s="43"/>
      <c r="G19" s="217" t="s">
        <v>93</v>
      </c>
    </row>
    <row r="20" spans="1:7" x14ac:dyDescent="0.3">
      <c r="A20" s="279" t="s">
        <v>141</v>
      </c>
      <c r="B20" s="280">
        <v>1</v>
      </c>
      <c r="C20" s="281">
        <v>3</v>
      </c>
      <c r="D20" s="282"/>
      <c r="E20" s="283"/>
      <c r="G20" s="284">
        <v>11</v>
      </c>
    </row>
    <row r="21" spans="1:7" x14ac:dyDescent="0.3">
      <c r="A21" s="279" t="s">
        <v>313</v>
      </c>
      <c r="B21" s="280">
        <v>3</v>
      </c>
      <c r="C21" s="281">
        <f>B21</f>
        <v>3</v>
      </c>
      <c r="D21" s="282"/>
      <c r="E21" s="283"/>
      <c r="G21" s="284">
        <f>15*B21</f>
        <v>45</v>
      </c>
    </row>
    <row r="22" spans="1:7" x14ac:dyDescent="0.3">
      <c r="A22" s="23" t="s">
        <v>128</v>
      </c>
      <c r="B22" s="24">
        <v>5</v>
      </c>
      <c r="C22" s="26">
        <f>B22*(5*0.05)</f>
        <v>1.25</v>
      </c>
      <c r="D22" s="171"/>
      <c r="E22" s="25"/>
      <c r="G22" s="218">
        <f>B22</f>
        <v>5</v>
      </c>
    </row>
    <row r="23" spans="1:7" x14ac:dyDescent="0.3">
      <c r="A23" s="23" t="s">
        <v>363</v>
      </c>
      <c r="B23" s="24">
        <v>1</v>
      </c>
      <c r="C23" s="273">
        <v>2</v>
      </c>
      <c r="D23" s="171" t="s">
        <v>364</v>
      </c>
      <c r="E23" s="416"/>
      <c r="G23" s="408">
        <v>300</v>
      </c>
    </row>
    <row r="24" spans="1:7" x14ac:dyDescent="0.3">
      <c r="A24" s="587" t="s">
        <v>370</v>
      </c>
      <c r="B24" s="588">
        <v>1</v>
      </c>
      <c r="C24" s="603">
        <v>4</v>
      </c>
      <c r="D24" s="589"/>
      <c r="E24" s="594"/>
      <c r="G24" s="408">
        <v>50</v>
      </c>
    </row>
    <row r="25" spans="1:7" x14ac:dyDescent="0.3">
      <c r="A25" s="23" t="s">
        <v>127</v>
      </c>
      <c r="B25" s="24">
        <v>1</v>
      </c>
      <c r="C25" s="26">
        <f>B25</f>
        <v>1</v>
      </c>
      <c r="D25" s="171"/>
      <c r="E25" s="25"/>
      <c r="G25" s="218">
        <f>B25*4</f>
        <v>4</v>
      </c>
    </row>
    <row r="26" spans="1:7" x14ac:dyDescent="0.3">
      <c r="A26" s="23" t="s">
        <v>296</v>
      </c>
      <c r="B26" s="24">
        <v>1</v>
      </c>
      <c r="C26" s="26">
        <v>2</v>
      </c>
      <c r="D26" s="171"/>
      <c r="E26" s="25"/>
      <c r="G26" s="408" t="s">
        <v>76</v>
      </c>
    </row>
    <row r="27" spans="1:7" x14ac:dyDescent="0.3">
      <c r="A27" s="279" t="s">
        <v>302</v>
      </c>
      <c r="B27" s="24">
        <v>40</v>
      </c>
      <c r="C27" s="26">
        <f>B27/2</f>
        <v>20</v>
      </c>
      <c r="D27" s="282"/>
      <c r="E27" s="283"/>
      <c r="G27" s="412" t="s">
        <v>76</v>
      </c>
    </row>
    <row r="28" spans="1:7" x14ac:dyDescent="0.3">
      <c r="A28" s="413" t="s">
        <v>303</v>
      </c>
      <c r="B28" s="414">
        <v>1</v>
      </c>
      <c r="C28" s="406">
        <v>5</v>
      </c>
      <c r="D28" s="415"/>
      <c r="E28" s="416"/>
      <c r="F28"/>
      <c r="G28" s="408">
        <v>20</v>
      </c>
    </row>
    <row r="29" spans="1:7" x14ac:dyDescent="0.3">
      <c r="A29" s="413" t="s">
        <v>360</v>
      </c>
      <c r="B29" s="414" t="s">
        <v>361</v>
      </c>
      <c r="C29" s="406">
        <v>10</v>
      </c>
      <c r="D29" s="415"/>
      <c r="E29" s="416"/>
      <c r="F29"/>
      <c r="G29" s="408">
        <f>C29*20</f>
        <v>200</v>
      </c>
    </row>
    <row r="30" spans="1:7" x14ac:dyDescent="0.3">
      <c r="A30" s="590" t="s">
        <v>366</v>
      </c>
      <c r="B30" s="591" t="s">
        <v>361</v>
      </c>
      <c r="C30" s="592">
        <v>10</v>
      </c>
      <c r="D30" s="593" t="s">
        <v>367</v>
      </c>
      <c r="E30" s="594"/>
      <c r="F30"/>
      <c r="G30" s="595" t="s">
        <v>362</v>
      </c>
    </row>
    <row r="31" spans="1:7" ht="16.2" thickBot="1" x14ac:dyDescent="0.35">
      <c r="A31" s="417" t="s">
        <v>365</v>
      </c>
      <c r="B31" s="418">
        <v>6</v>
      </c>
      <c r="C31" s="419">
        <f>B31</f>
        <v>6</v>
      </c>
      <c r="D31" s="420"/>
      <c r="E31" s="421"/>
      <c r="F31" s="43"/>
      <c r="G31" s="422"/>
    </row>
    <row r="32" spans="1:7" ht="16.8" thickTop="1" thickBot="1" x14ac:dyDescent="0.35">
      <c r="A32" s="425" t="s">
        <v>286</v>
      </c>
      <c r="B32" s="426">
        <f>(C32-5)/120</f>
        <v>0.56041666666666667</v>
      </c>
      <c r="C32" s="17">
        <f>SUM(C20:C31,5)</f>
        <v>72.25</v>
      </c>
    </row>
    <row r="34" spans="1:7" ht="23.4" thickBot="1" x14ac:dyDescent="0.35">
      <c r="A34" s="13" t="s">
        <v>337</v>
      </c>
      <c r="B34" s="13"/>
      <c r="C34" s="32"/>
      <c r="D34" s="13"/>
      <c r="E34" s="33"/>
      <c r="F34" s="43"/>
      <c r="G34" s="545">
        <v>30</v>
      </c>
    </row>
    <row r="35" spans="1:7" ht="16.8" thickTop="1" thickBot="1" x14ac:dyDescent="0.35">
      <c r="A35" s="16" t="s">
        <v>61</v>
      </c>
      <c r="B35" s="16" t="s">
        <v>2</v>
      </c>
      <c r="C35" s="17" t="s">
        <v>18</v>
      </c>
      <c r="D35" s="18" t="s">
        <v>62</v>
      </c>
      <c r="E35" s="19" t="s">
        <v>63</v>
      </c>
      <c r="F35" s="43"/>
      <c r="G35" s="533" t="s">
        <v>93</v>
      </c>
    </row>
    <row r="36" spans="1:7" x14ac:dyDescent="0.3">
      <c r="A36" s="23" t="s">
        <v>338</v>
      </c>
      <c r="B36" s="534">
        <v>1</v>
      </c>
      <c r="C36" s="406">
        <v>200</v>
      </c>
      <c r="D36" s="171" t="s">
        <v>339</v>
      </c>
      <c r="E36" s="416"/>
      <c r="F36" s="43"/>
      <c r="G36" s="412">
        <v>15</v>
      </c>
    </row>
    <row r="37" spans="1:7" x14ac:dyDescent="0.3">
      <c r="A37" s="535" t="s">
        <v>340</v>
      </c>
      <c r="B37" s="536">
        <v>5</v>
      </c>
      <c r="C37" s="537">
        <f>B37*10</f>
        <v>50</v>
      </c>
      <c r="D37" s="538"/>
      <c r="E37" s="539"/>
      <c r="F37" s="43"/>
      <c r="G37" s="540">
        <f>B37*0.05</f>
        <v>0.25</v>
      </c>
    </row>
    <row r="38" spans="1:7" x14ac:dyDescent="0.3">
      <c r="A38" s="413" t="s">
        <v>387</v>
      </c>
      <c r="B38" s="414">
        <v>1</v>
      </c>
      <c r="C38" s="406">
        <v>300</v>
      </c>
      <c r="D38" s="415"/>
      <c r="E38" s="416"/>
      <c r="F38"/>
      <c r="G38" s="408">
        <v>0</v>
      </c>
    </row>
    <row r="39" spans="1:7" ht="16.2" thickBot="1" x14ac:dyDescent="0.35">
      <c r="A39" s="27"/>
      <c r="B39" s="541"/>
      <c r="C39" s="419"/>
      <c r="D39" s="542"/>
      <c r="E39" s="421"/>
      <c r="F39" s="43"/>
      <c r="G39" s="543"/>
    </row>
    <row r="40" spans="1:7" ht="16.8" thickTop="1" thickBot="1" x14ac:dyDescent="0.35">
      <c r="A40" s="425" t="s">
        <v>332</v>
      </c>
      <c r="B40" s="544"/>
      <c r="C40" s="17">
        <f>SUM(C36:C39)</f>
        <v>550</v>
      </c>
      <c r="D40" s="177"/>
      <c r="E40" s="177"/>
      <c r="F40" s="43"/>
      <c r="G40" s="177"/>
    </row>
    <row r="42" spans="1:7" ht="23.4" thickBot="1" x14ac:dyDescent="0.35">
      <c r="A42" s="13" t="s">
        <v>374</v>
      </c>
      <c r="B42" s="13"/>
      <c r="C42" s="32"/>
      <c r="D42" s="13"/>
      <c r="E42" s="33"/>
      <c r="F42" s="43"/>
      <c r="G42" s="545"/>
    </row>
    <row r="43" spans="1:7" ht="16.8" thickTop="1" thickBot="1" x14ac:dyDescent="0.35">
      <c r="A43" s="16" t="s">
        <v>61</v>
      </c>
      <c r="B43" s="16" t="s">
        <v>2</v>
      </c>
      <c r="C43" s="17" t="s">
        <v>18</v>
      </c>
      <c r="D43" s="18" t="s">
        <v>62</v>
      </c>
      <c r="E43" s="19" t="s">
        <v>63</v>
      </c>
      <c r="F43" s="43"/>
      <c r="G43" s="533" t="s">
        <v>93</v>
      </c>
    </row>
    <row r="44" spans="1:7" x14ac:dyDescent="0.3">
      <c r="A44" s="616" t="s">
        <v>388</v>
      </c>
      <c r="B44" s="617" t="s">
        <v>361</v>
      </c>
      <c r="C44" s="618">
        <v>115</v>
      </c>
      <c r="D44" s="619"/>
      <c r="E44" s="620"/>
      <c r="F44" s="43"/>
      <c r="G44" s="621">
        <v>15000</v>
      </c>
    </row>
    <row r="45" spans="1:7" x14ac:dyDescent="0.3">
      <c r="A45" s="622" t="s">
        <v>389</v>
      </c>
      <c r="B45" s="623" t="s">
        <v>361</v>
      </c>
      <c r="C45" s="618">
        <v>400</v>
      </c>
      <c r="D45" s="625"/>
      <c r="E45" s="620"/>
      <c r="F45"/>
      <c r="G45" s="621">
        <v>0</v>
      </c>
    </row>
    <row r="46" spans="1:7" x14ac:dyDescent="0.3">
      <c r="A46" s="413" t="s">
        <v>381</v>
      </c>
      <c r="B46" s="414">
        <v>1</v>
      </c>
      <c r="C46" s="406">
        <v>1</v>
      </c>
      <c r="D46" s="415"/>
      <c r="E46" s="416"/>
      <c r="F46"/>
      <c r="G46" s="408">
        <v>15</v>
      </c>
    </row>
    <row r="47" spans="1:7" x14ac:dyDescent="0.3">
      <c r="A47" s="535" t="s">
        <v>376</v>
      </c>
      <c r="B47" s="536" t="s">
        <v>361</v>
      </c>
      <c r="C47" s="537">
        <v>1</v>
      </c>
      <c r="D47" s="538" t="s">
        <v>377</v>
      </c>
      <c r="E47" s="539"/>
      <c r="F47" s="43"/>
      <c r="G47" s="408">
        <v>5</v>
      </c>
    </row>
    <row r="48" spans="1:7" x14ac:dyDescent="0.3">
      <c r="A48" s="413" t="s">
        <v>307</v>
      </c>
      <c r="B48" s="414">
        <v>1</v>
      </c>
      <c r="C48" s="406">
        <v>30</v>
      </c>
      <c r="D48" s="415"/>
      <c r="E48" s="416"/>
      <c r="F48"/>
      <c r="G48" s="408">
        <v>1</v>
      </c>
    </row>
    <row r="49" spans="1:7" x14ac:dyDescent="0.3">
      <c r="A49" s="590" t="s">
        <v>378</v>
      </c>
      <c r="B49" s="591">
        <v>15</v>
      </c>
      <c r="C49" s="592">
        <f>B49*0.05</f>
        <v>0.75</v>
      </c>
      <c r="D49" s="593"/>
      <c r="E49" s="594"/>
      <c r="F49"/>
      <c r="G49" s="595">
        <v>2</v>
      </c>
    </row>
    <row r="50" spans="1:7" x14ac:dyDescent="0.3">
      <c r="A50" s="590" t="s">
        <v>306</v>
      </c>
      <c r="B50" s="591">
        <v>1</v>
      </c>
      <c r="C50" s="592">
        <v>40</v>
      </c>
      <c r="D50" s="593"/>
      <c r="E50" s="594"/>
      <c r="F50"/>
      <c r="G50" s="595">
        <v>50</v>
      </c>
    </row>
    <row r="51" spans="1:7" x14ac:dyDescent="0.3">
      <c r="A51" s="590" t="s">
        <v>353</v>
      </c>
      <c r="B51" s="591">
        <v>0</v>
      </c>
      <c r="C51" s="592">
        <f>B51/100</f>
        <v>0</v>
      </c>
      <c r="D51" s="593"/>
      <c r="E51" s="594"/>
      <c r="F51"/>
      <c r="G51" s="595">
        <f>B51</f>
        <v>0</v>
      </c>
    </row>
    <row r="52" spans="1:7" x14ac:dyDescent="0.3">
      <c r="A52" s="590" t="s">
        <v>305</v>
      </c>
      <c r="B52" s="591">
        <v>1</v>
      </c>
      <c r="C52" s="592">
        <v>30</v>
      </c>
      <c r="D52" s="593"/>
      <c r="E52" s="594"/>
      <c r="F52"/>
      <c r="G52" s="595">
        <v>1000</v>
      </c>
    </row>
    <row r="53" spans="1:7" x14ac:dyDescent="0.3">
      <c r="A53" s="590" t="s">
        <v>304</v>
      </c>
      <c r="B53" s="591">
        <v>1</v>
      </c>
      <c r="C53" s="592">
        <v>30</v>
      </c>
      <c r="D53" s="593"/>
      <c r="E53" s="594"/>
      <c r="F53"/>
      <c r="G53" s="595">
        <v>1000</v>
      </c>
    </row>
    <row r="54" spans="1:7" x14ac:dyDescent="0.3">
      <c r="A54" s="590" t="s">
        <v>275</v>
      </c>
      <c r="B54" s="591">
        <v>3</v>
      </c>
      <c r="C54" s="592">
        <f>B54*25</f>
        <v>75</v>
      </c>
      <c r="D54" s="593"/>
      <c r="E54" s="594"/>
      <c r="F54"/>
      <c r="G54" s="595">
        <f>B54*25</f>
        <v>75</v>
      </c>
    </row>
    <row r="55" spans="1:7" x14ac:dyDescent="0.3">
      <c r="A55" s="590" t="s">
        <v>375</v>
      </c>
      <c r="B55" s="591" t="s">
        <v>361</v>
      </c>
      <c r="C55" s="592">
        <v>2</v>
      </c>
      <c r="D55" s="593"/>
      <c r="E55" s="594"/>
      <c r="F55"/>
      <c r="G55" s="595">
        <v>5</v>
      </c>
    </row>
    <row r="56" spans="1:7" x14ac:dyDescent="0.3">
      <c r="A56" s="590" t="s">
        <v>379</v>
      </c>
      <c r="B56" s="624" t="s">
        <v>361</v>
      </c>
      <c r="C56" s="592">
        <v>2</v>
      </c>
      <c r="D56" s="593"/>
      <c r="E56" s="594"/>
      <c r="F56" s="43"/>
      <c r="G56" s="595">
        <v>10</v>
      </c>
    </row>
    <row r="57" spans="1:7" x14ac:dyDescent="0.3">
      <c r="A57" s="590" t="s">
        <v>382</v>
      </c>
      <c r="B57" s="624">
        <v>1</v>
      </c>
      <c r="C57" s="592">
        <v>0</v>
      </c>
      <c r="D57" s="593"/>
      <c r="E57" s="594"/>
      <c r="F57" s="43"/>
      <c r="G57" s="595">
        <v>1</v>
      </c>
    </row>
    <row r="58" spans="1:7" ht="16.2" thickBot="1" x14ac:dyDescent="0.35">
      <c r="A58" s="27" t="s">
        <v>380</v>
      </c>
      <c r="B58" s="418">
        <v>1</v>
      </c>
      <c r="C58" s="419">
        <v>2</v>
      </c>
      <c r="D58" s="542"/>
      <c r="E58" s="421"/>
      <c r="F58"/>
      <c r="G58" s="422">
        <v>25</v>
      </c>
    </row>
    <row r="59" spans="1:7" ht="16.8" thickTop="1" thickBot="1" x14ac:dyDescent="0.35">
      <c r="A59" s="425" t="s">
        <v>332</v>
      </c>
      <c r="B59" s="544"/>
      <c r="C59" s="17">
        <f>SUM(C44:C58)</f>
        <v>728.75</v>
      </c>
      <c r="G59" s="667"/>
    </row>
    <row r="60" spans="1:7" x14ac:dyDescent="0.3">
      <c r="E60" s="126" t="s">
        <v>290</v>
      </c>
      <c r="F60" s="177"/>
      <c r="G60" s="424">
        <f>SUM(G3:G58,Martial!M3:M37)</f>
        <v>61215.399999999994</v>
      </c>
    </row>
    <row r="61" spans="1:7" x14ac:dyDescent="0.3">
      <c r="E61" s="126" t="s">
        <v>289</v>
      </c>
      <c r="F61" s="43"/>
      <c r="G61" s="424">
        <v>49000</v>
      </c>
    </row>
  </sheetData>
  <sortState xmlns:xlrd2="http://schemas.microsoft.com/office/spreadsheetml/2017/richdata2" ref="A44:G58">
    <sortCondition ref="A44:A58"/>
  </sortState>
  <phoneticPr fontId="0" type="noConversion"/>
  <hyperlinks>
    <hyperlink ref="D3" r:id="rId1" xr:uid="{E6BCA904-4C8A-4EB1-B935-2F1AD3DBC9A9}"/>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E84-3389-4AEE-9C9A-4FA58986AEAC}">
  <dimension ref="A1:G13"/>
  <sheetViews>
    <sheetView showGridLines="0" workbookViewId="0"/>
  </sheetViews>
  <sheetFormatPr defaultColWidth="13" defaultRowHeight="15.6" x14ac:dyDescent="0.3"/>
  <cols>
    <col min="1" max="1" width="13.296875" style="126" bestFit="1" customWidth="1"/>
    <col min="2" max="2" width="10" style="258" customWidth="1"/>
    <col min="3" max="3" width="4.59765625" style="258" customWidth="1"/>
    <col min="4" max="4" width="13.69921875" style="126" bestFit="1" customWidth="1"/>
    <col min="5" max="5" width="9.59765625" style="258" bestFit="1" customWidth="1"/>
    <col min="6" max="6" width="9.5" style="126" bestFit="1" customWidth="1"/>
    <col min="7" max="7" width="13.3984375" style="258" bestFit="1" customWidth="1"/>
    <col min="8" max="16384" width="13" style="177"/>
  </cols>
  <sheetData>
    <row r="1" spans="1:7" ht="29.4" thickTop="1" thickBot="1" x14ac:dyDescent="0.35">
      <c r="A1" s="576" t="s">
        <v>352</v>
      </c>
      <c r="B1" s="575"/>
      <c r="C1" s="575"/>
      <c r="D1" s="574"/>
      <c r="E1" s="573"/>
      <c r="F1" s="572"/>
      <c r="G1" s="571" t="s">
        <v>349</v>
      </c>
    </row>
    <row r="2" spans="1:7" ht="17.399999999999999" thickTop="1" x14ac:dyDescent="0.3">
      <c r="A2" s="135" t="s">
        <v>144</v>
      </c>
      <c r="B2" s="570" t="s">
        <v>351</v>
      </c>
      <c r="C2" s="570"/>
      <c r="D2" s="137" t="s">
        <v>152</v>
      </c>
      <c r="E2" s="138" t="s">
        <v>103</v>
      </c>
      <c r="F2" s="137" t="s">
        <v>155</v>
      </c>
      <c r="G2" s="569" t="s">
        <v>73</v>
      </c>
    </row>
    <row r="3" spans="1:7" ht="17.399999999999999" thickBot="1" x14ac:dyDescent="0.35">
      <c r="A3" s="568" t="s">
        <v>153</v>
      </c>
      <c r="B3" s="567" t="s">
        <v>348</v>
      </c>
      <c r="C3" s="566"/>
      <c r="D3" s="564" t="s">
        <v>347</v>
      </c>
      <c r="E3" s="565" t="s">
        <v>350</v>
      </c>
      <c r="F3" s="564" t="s">
        <v>67</v>
      </c>
      <c r="G3" s="563" t="s">
        <v>354</v>
      </c>
    </row>
    <row r="4" spans="1:7" ht="17.399999999999999" thickTop="1" x14ac:dyDescent="0.3">
      <c r="A4" s="146" t="s">
        <v>157</v>
      </c>
      <c r="B4" s="562">
        <v>4</v>
      </c>
      <c r="C4" s="515">
        <f t="shared" ref="C4:C9" si="0">IF(B4&gt;9.9,CONCATENATE("+",ROUNDDOWN((B4-10)/2,0)),ROUNDUP((B4-10)/2,0))</f>
        <v>-3</v>
      </c>
      <c r="D4" s="561" t="s">
        <v>162</v>
      </c>
      <c r="E4" s="560">
        <v>3</v>
      </c>
      <c r="F4" s="578">
        <f>E4</f>
        <v>3</v>
      </c>
      <c r="G4" s="559"/>
    </row>
    <row r="5" spans="1:7" ht="17.399999999999999" thickBot="1" x14ac:dyDescent="0.35">
      <c r="A5" s="148" t="s">
        <v>159</v>
      </c>
      <c r="B5" s="553">
        <v>15</v>
      </c>
      <c r="C5" s="506" t="str">
        <f t="shared" si="0"/>
        <v>+2</v>
      </c>
      <c r="D5" s="558" t="s">
        <v>346</v>
      </c>
      <c r="E5" s="577">
        <v>12</v>
      </c>
      <c r="F5" s="557">
        <f>E5+2+C5</f>
        <v>16</v>
      </c>
      <c r="G5" s="546"/>
    </row>
    <row r="6" spans="1:7" ht="17.399999999999999" thickTop="1" x14ac:dyDescent="0.3">
      <c r="A6" s="152" t="s">
        <v>161</v>
      </c>
      <c r="B6" s="553">
        <v>10</v>
      </c>
      <c r="C6" s="506" t="str">
        <f t="shared" si="0"/>
        <v>+0</v>
      </c>
      <c r="D6" s="554" t="s">
        <v>345</v>
      </c>
      <c r="E6" s="556">
        <v>0</v>
      </c>
      <c r="F6" s="508"/>
      <c r="G6" s="546"/>
    </row>
    <row r="7" spans="1:7" ht="16.8" x14ac:dyDescent="0.3">
      <c r="A7" s="555" t="s">
        <v>163</v>
      </c>
      <c r="B7" s="553">
        <v>3</v>
      </c>
      <c r="C7" s="506">
        <f t="shared" si="0"/>
        <v>-4</v>
      </c>
      <c r="D7" s="554" t="s">
        <v>344</v>
      </c>
      <c r="E7" s="551">
        <v>2</v>
      </c>
      <c r="F7" s="493"/>
      <c r="G7" s="546"/>
    </row>
    <row r="8" spans="1:7" ht="16.8" x14ac:dyDescent="0.3">
      <c r="A8" s="157" t="s">
        <v>165</v>
      </c>
      <c r="B8" s="553">
        <v>12</v>
      </c>
      <c r="C8" s="501" t="str">
        <f t="shared" si="0"/>
        <v>+1</v>
      </c>
      <c r="D8" s="552" t="s">
        <v>343</v>
      </c>
      <c r="E8" s="551">
        <v>4</v>
      </c>
      <c r="F8" s="493"/>
      <c r="G8" s="546"/>
    </row>
    <row r="9" spans="1:7" ht="17.399999999999999" thickBot="1" x14ac:dyDescent="0.35">
      <c r="A9" s="158" t="s">
        <v>167</v>
      </c>
      <c r="B9" s="550">
        <v>5</v>
      </c>
      <c r="C9" s="496">
        <f t="shared" si="0"/>
        <v>-3</v>
      </c>
      <c r="D9" s="549" t="s">
        <v>56</v>
      </c>
      <c r="E9" s="548">
        <v>1</v>
      </c>
      <c r="F9" s="493"/>
      <c r="G9" s="546"/>
    </row>
    <row r="10" spans="1:7" ht="17.399999999999999" thickTop="1" x14ac:dyDescent="0.3">
      <c r="A10" s="135"/>
      <c r="B10" s="144"/>
      <c r="C10" s="144"/>
      <c r="D10" s="144"/>
      <c r="E10" s="140"/>
      <c r="F10" s="547"/>
      <c r="G10" s="546"/>
    </row>
    <row r="11" spans="1:7" ht="16.8" x14ac:dyDescent="0.3">
      <c r="A11" s="165"/>
      <c r="B11" s="144"/>
      <c r="C11" s="144"/>
      <c r="D11" s="144"/>
      <c r="E11" s="140"/>
      <c r="F11" s="144"/>
      <c r="G11" s="140"/>
    </row>
    <row r="12" spans="1:7" ht="17.399999999999999" thickBot="1" x14ac:dyDescent="0.35">
      <c r="A12" s="167"/>
      <c r="B12" s="168"/>
      <c r="C12" s="168"/>
      <c r="D12" s="168"/>
      <c r="E12" s="169"/>
      <c r="F12" s="168"/>
      <c r="G12" s="169"/>
    </row>
    <row r="13" spans="1:7" ht="16.2" thickTop="1" x14ac:dyDescent="0.3"/>
  </sheetData>
  <conditionalFormatting sqref="F4">
    <cfRule type="cellIs" dxfId="3" priority="1" stopIfTrue="1" operator="greaterThan">
      <formula>$E$4/2</formula>
    </cfRule>
    <cfRule type="cellIs" dxfId="2"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0795F-9B2A-4BA9-B074-F0780AFB9334}">
  <dimension ref="A1:G14"/>
  <sheetViews>
    <sheetView showGridLines="0" workbookViewId="0"/>
  </sheetViews>
  <sheetFormatPr defaultColWidth="13" defaultRowHeight="15.6" x14ac:dyDescent="0.3"/>
  <cols>
    <col min="1" max="1" width="13.296875" style="483" bestFit="1" customWidth="1"/>
    <col min="2" max="2" width="10.69921875" style="482" customWidth="1"/>
    <col min="3" max="3" width="5.5" style="482" customWidth="1"/>
    <col min="4" max="4" width="13.69921875" style="483" bestFit="1" customWidth="1"/>
    <col min="5" max="5" width="9.59765625" style="482" bestFit="1" customWidth="1"/>
    <col min="6" max="6" width="10.19921875" style="483" bestFit="1" customWidth="1"/>
    <col min="7" max="7" width="12.09765625" style="482" bestFit="1" customWidth="1"/>
    <col min="8" max="16384" width="13" style="481"/>
  </cols>
  <sheetData>
    <row r="1" spans="1:7" ht="29.4" thickTop="1" thickBot="1" x14ac:dyDescent="0.35">
      <c r="A1" s="532" t="s">
        <v>342</v>
      </c>
      <c r="B1" s="531"/>
      <c r="C1" s="531"/>
      <c r="D1" s="530"/>
      <c r="E1" s="530"/>
      <c r="F1" s="529"/>
      <c r="G1" s="528" t="s">
        <v>333</v>
      </c>
    </row>
    <row r="2" spans="1:7" ht="17.399999999999999" thickTop="1" x14ac:dyDescent="0.3">
      <c r="A2" s="492" t="s">
        <v>331</v>
      </c>
      <c r="B2" s="527" t="s">
        <v>334</v>
      </c>
      <c r="C2" s="527"/>
      <c r="D2" s="525" t="s">
        <v>330</v>
      </c>
      <c r="E2" s="526" t="s">
        <v>103</v>
      </c>
      <c r="F2" s="525" t="s">
        <v>329</v>
      </c>
      <c r="G2" s="524" t="s">
        <v>134</v>
      </c>
    </row>
    <row r="3" spans="1:7" ht="17.399999999999999" thickBot="1" x14ac:dyDescent="0.35">
      <c r="A3" s="523"/>
      <c r="B3" s="522"/>
      <c r="C3" s="521"/>
      <c r="D3" s="519" t="s">
        <v>328</v>
      </c>
      <c r="E3" s="520" t="s">
        <v>335</v>
      </c>
      <c r="F3" s="519" t="s">
        <v>327</v>
      </c>
      <c r="G3" s="518" t="s">
        <v>341</v>
      </c>
    </row>
    <row r="4" spans="1:7" ht="17.399999999999999" thickTop="1" x14ac:dyDescent="0.3">
      <c r="A4" s="517" t="s">
        <v>326</v>
      </c>
      <c r="B4" s="516">
        <v>13</v>
      </c>
      <c r="C4" s="515" t="str">
        <f t="shared" ref="C4:C9" si="0">IF(B4&gt;9.9,CONCATENATE("+",ROUNDDOWN((B4-10)/2,0)),ROUNDUP((B4-10)/2,0))</f>
        <v>+1</v>
      </c>
      <c r="D4" s="505" t="s">
        <v>325</v>
      </c>
      <c r="E4" s="514">
        <v>11</v>
      </c>
      <c r="F4" s="513">
        <v>11</v>
      </c>
      <c r="G4" s="512"/>
    </row>
    <row r="5" spans="1:7" ht="16.8" x14ac:dyDescent="0.3">
      <c r="A5" s="511" t="s">
        <v>324</v>
      </c>
      <c r="B5" s="502">
        <v>13</v>
      </c>
      <c r="C5" s="506" t="str">
        <f t="shared" si="0"/>
        <v>+1</v>
      </c>
      <c r="D5" s="510" t="s">
        <v>323</v>
      </c>
      <c r="E5" s="499" t="s">
        <v>336</v>
      </c>
      <c r="F5" s="499" t="s">
        <v>322</v>
      </c>
      <c r="G5" s="490"/>
    </row>
    <row r="6" spans="1:7" ht="16.8" x14ac:dyDescent="0.3">
      <c r="A6" s="509" t="s">
        <v>321</v>
      </c>
      <c r="B6" s="502">
        <v>12</v>
      </c>
      <c r="C6" s="506" t="str">
        <f t="shared" si="0"/>
        <v>+1</v>
      </c>
      <c r="D6" s="505" t="s">
        <v>320</v>
      </c>
      <c r="E6" s="504">
        <v>1</v>
      </c>
      <c r="F6" s="508"/>
      <c r="G6" s="490"/>
    </row>
    <row r="7" spans="1:7" ht="16.8" x14ac:dyDescent="0.3">
      <c r="A7" s="507" t="s">
        <v>319</v>
      </c>
      <c r="B7" s="502">
        <v>2</v>
      </c>
      <c r="C7" s="506">
        <f t="shared" si="0"/>
        <v>-4</v>
      </c>
      <c r="D7" s="505" t="s">
        <v>318</v>
      </c>
      <c r="E7" s="504">
        <v>4</v>
      </c>
      <c r="F7" s="493"/>
      <c r="G7" s="490"/>
    </row>
    <row r="8" spans="1:7" ht="16.8" x14ac:dyDescent="0.3">
      <c r="A8" s="503" t="s">
        <v>317</v>
      </c>
      <c r="B8" s="502">
        <v>11</v>
      </c>
      <c r="C8" s="501" t="str">
        <f t="shared" si="0"/>
        <v>+0</v>
      </c>
      <c r="D8" s="500" t="s">
        <v>316</v>
      </c>
      <c r="E8" s="499" t="s">
        <v>89</v>
      </c>
      <c r="F8" s="493"/>
      <c r="G8" s="490"/>
    </row>
    <row r="9" spans="1:7" ht="17.399999999999999" thickBot="1" x14ac:dyDescent="0.35">
      <c r="A9" s="498" t="s">
        <v>315</v>
      </c>
      <c r="B9" s="497">
        <v>4</v>
      </c>
      <c r="C9" s="496">
        <f t="shared" si="0"/>
        <v>-3</v>
      </c>
      <c r="D9" s="495" t="s">
        <v>314</v>
      </c>
      <c r="E9" s="494">
        <v>0</v>
      </c>
      <c r="F9" s="493"/>
      <c r="G9" s="490"/>
    </row>
    <row r="10" spans="1:7" ht="17.399999999999999" thickTop="1" x14ac:dyDescent="0.3">
      <c r="A10" s="492"/>
      <c r="B10" s="488"/>
      <c r="C10" s="488"/>
      <c r="D10" s="488"/>
      <c r="E10" s="487"/>
      <c r="F10" s="493"/>
      <c r="G10" s="490"/>
    </row>
    <row r="11" spans="1:7" ht="16.8" x14ac:dyDescent="0.3">
      <c r="A11" s="492"/>
      <c r="B11" s="488"/>
      <c r="C11" s="488"/>
      <c r="D11" s="488"/>
      <c r="E11" s="487"/>
      <c r="F11" s="491"/>
      <c r="G11" s="490"/>
    </row>
    <row r="12" spans="1:7" ht="16.8" x14ac:dyDescent="0.3">
      <c r="A12" s="489"/>
      <c r="B12" s="488"/>
      <c r="C12" s="488"/>
      <c r="D12" s="488"/>
      <c r="E12" s="487"/>
      <c r="F12" s="488"/>
      <c r="G12" s="487"/>
    </row>
    <row r="13" spans="1:7" ht="17.399999999999999" thickBot="1" x14ac:dyDescent="0.35">
      <c r="A13" s="486"/>
      <c r="B13" s="485"/>
      <c r="C13" s="485"/>
      <c r="D13" s="485"/>
      <c r="E13" s="484"/>
      <c r="F13" s="485"/>
      <c r="G13" s="484"/>
    </row>
    <row r="14" spans="1:7" ht="16.2" thickTop="1" x14ac:dyDescent="0.3"/>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Personal File</vt:lpstr>
      <vt:lpstr>Skills</vt:lpstr>
      <vt:lpstr>Spellbook</vt:lpstr>
      <vt:lpstr>Spells</vt:lpstr>
      <vt:lpstr>Feats</vt:lpstr>
      <vt:lpstr>Martial</vt:lpstr>
      <vt:lpstr>Equipment</vt:lpstr>
      <vt:lpstr>Familiar</vt:lpstr>
      <vt:lpstr>Animal</vt:lpstr>
      <vt:lpstr>XP Awards</vt:lpstr>
      <vt:lpstr>Animal!Print_Area</vt:lpstr>
      <vt:lpstr>Familiar!Print_Area</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2012-11-12T17:29:24Z</cp:lastPrinted>
  <dcterms:created xsi:type="dcterms:W3CDTF">2000-10-24T15:39:59Z</dcterms:created>
  <dcterms:modified xsi:type="dcterms:W3CDTF">2023-11-10T16:33:14Z</dcterms:modified>
</cp:coreProperties>
</file>