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mc:AlternateContent xmlns:mc="http://schemas.openxmlformats.org/markup-compatibility/2006">
    <mc:Choice Requires="x15">
      <x15ac:absPath xmlns:x15ac="http://schemas.microsoft.com/office/spreadsheetml/2010/11/ac" url="C:\A\Jue\FoL\Used\"/>
    </mc:Choice>
  </mc:AlternateContent>
  <xr:revisionPtr revIDLastSave="0" documentId="13_ncr:1_{87AB8F9E-6C58-4EF4-B6A8-D5191B3AC956}"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 name="XP Awards" sheetId="21" r:id="rId6"/>
  </sheets>
  <externalReferences>
    <externalReference r:id="rId7"/>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15" l="1"/>
  <c r="E24" i="15" s="1"/>
  <c r="H24" i="15"/>
  <c r="G24" i="15" l="1"/>
  <c r="I24" i="15" s="1"/>
  <c r="B42" i="15"/>
  <c r="H31" i="15"/>
  <c r="H37" i="15"/>
  <c r="H36" i="15"/>
  <c r="E44" i="15"/>
  <c r="C7" i="21" l="1"/>
  <c r="B11" i="21" s="1"/>
  <c r="B13" i="21" s="1"/>
  <c r="B15" i="21" s="1"/>
  <c r="B1" i="21" l="1"/>
  <c r="C3" i="6" l="1"/>
  <c r="C4" i="6"/>
  <c r="C5" i="6"/>
  <c r="C6" i="6"/>
  <c r="G15" i="19" l="1"/>
  <c r="G14" i="19"/>
  <c r="G13" i="19" l="1"/>
  <c r="G19" i="6"/>
  <c r="C14" i="19" l="1"/>
  <c r="C15" i="19"/>
  <c r="C13" i="19"/>
  <c r="E12" i="4" s="1"/>
  <c r="G11" i="19"/>
  <c r="C11" i="19"/>
  <c r="C10" i="19"/>
  <c r="G10" i="19"/>
  <c r="M19" i="6"/>
  <c r="H3" i="20" l="1"/>
  <c r="H4" i="20"/>
  <c r="H5" i="20"/>
  <c r="H6" i="20"/>
  <c r="E13" i="4"/>
  <c r="E14" i="4"/>
  <c r="H27" i="15" l="1"/>
  <c r="H30" i="15"/>
  <c r="H40" i="15"/>
  <c r="H39" i="15"/>
  <c r="H38" i="15"/>
  <c r="H35" i="15"/>
  <c r="H34" i="15"/>
  <c r="H33" i="15"/>
  <c r="H32" i="15"/>
  <c r="H29" i="15"/>
  <c r="H28" i="15"/>
  <c r="H26" i="15"/>
  <c r="H25" i="15"/>
  <c r="H23" i="15"/>
  <c r="H22" i="15"/>
  <c r="H21" i="15"/>
  <c r="H20" i="15"/>
  <c r="H19" i="15"/>
  <c r="H18" i="15"/>
  <c r="H17" i="15"/>
  <c r="H16" i="15"/>
  <c r="H15" i="15"/>
  <c r="H14" i="15"/>
  <c r="H13" i="15"/>
  <c r="H12" i="15"/>
  <c r="H11" i="15"/>
  <c r="H10" i="15"/>
  <c r="H9" i="15"/>
  <c r="H8" i="15"/>
  <c r="H7" i="15"/>
  <c r="G12" i="19"/>
  <c r="I5" i="6" l="1"/>
  <c r="H5" i="6"/>
  <c r="I4" i="6"/>
  <c r="H4" i="6"/>
  <c r="J5" i="6" l="1"/>
  <c r="J4" i="6"/>
  <c r="E43" i="15"/>
  <c r="B11" i="4" l="1"/>
  <c r="I3" i="6" l="1"/>
  <c r="E42" i="15" l="1"/>
  <c r="I10" i="6" l="1"/>
  <c r="I9" i="6"/>
  <c r="I11" i="6"/>
  <c r="J10" i="6" l="1"/>
  <c r="I6" i="6" l="1"/>
  <c r="H6" i="15" l="1"/>
  <c r="J11" i="6" l="1"/>
  <c r="G19" i="19"/>
  <c r="H4" i="15" l="1"/>
  <c r="H3" i="15"/>
  <c r="H5" i="15" l="1"/>
  <c r="C11" i="4" l="1"/>
  <c r="H3" i="6" l="1"/>
  <c r="J3" i="6" s="1"/>
  <c r="H6" i="6"/>
  <c r="J6" i="6" s="1"/>
  <c r="D9" i="15"/>
  <c r="E9" i="15" l="1"/>
  <c r="G9" i="15"/>
  <c r="I9" i="15" s="1"/>
  <c r="C13" i="4"/>
  <c r="D3" i="15" l="1"/>
  <c r="D10" i="15"/>
  <c r="C12" i="4"/>
  <c r="C14" i="4"/>
  <c r="C15" i="4"/>
  <c r="D5" i="15" s="1"/>
  <c r="C16" i="4"/>
  <c r="E16" i="4" l="1"/>
  <c r="E15" i="4" s="1"/>
  <c r="D8" i="15"/>
  <c r="D15" i="15"/>
  <c r="D13" i="15"/>
  <c r="G3" i="15"/>
  <c r="I3" i="15" s="1"/>
  <c r="E3" i="15"/>
  <c r="E10" i="15"/>
  <c r="G10" i="15"/>
  <c r="I10" i="15" s="1"/>
  <c r="D4" i="15"/>
  <c r="H9" i="6"/>
  <c r="J9" i="6" s="1"/>
  <c r="D7" i="15"/>
  <c r="E5" i="15"/>
  <c r="G5" i="15"/>
  <c r="I5" i="15" s="1"/>
  <c r="D14" i="15"/>
  <c r="D6" i="15"/>
  <c r="D11" i="15"/>
  <c r="D12" i="15"/>
  <c r="B10" i="4"/>
  <c r="H41" i="15"/>
  <c r="E13" i="15" l="1"/>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D29" i="15" l="1"/>
  <c r="E29" i="15" l="1"/>
  <c r="G29" i="15"/>
  <c r="D35" i="15"/>
  <c r="D19" i="15"/>
  <c r="D37" i="15"/>
  <c r="D34" i="15"/>
  <c r="D39" i="15"/>
  <c r="D36" i="15"/>
  <c r="D38" i="15"/>
  <c r="D31" i="15"/>
  <c r="D40" i="15"/>
  <c r="D27" i="15"/>
  <c r="D33" i="15"/>
  <c r="D41" i="15"/>
  <c r="D32" i="15"/>
  <c r="D30" i="15"/>
  <c r="G30" i="15" s="1"/>
  <c r="I30" i="15" s="1"/>
  <c r="D28" i="15"/>
  <c r="D26" i="15"/>
  <c r="D25" i="15"/>
  <c r="D23" i="15"/>
  <c r="D22" i="15"/>
  <c r="D21" i="15"/>
  <c r="D20" i="15"/>
  <c r="D18" i="15"/>
  <c r="D17" i="15"/>
  <c r="D16" i="15"/>
  <c r="I29" i="15" l="1"/>
  <c r="E16" i="15"/>
  <c r="G16" i="15"/>
  <c r="E18" i="15"/>
  <c r="G18" i="15"/>
  <c r="E21" i="15"/>
  <c r="G21" i="15"/>
  <c r="E23" i="15"/>
  <c r="G23" i="15"/>
  <c r="E26" i="15"/>
  <c r="G26" i="15"/>
  <c r="E30" i="15"/>
  <c r="E41" i="15"/>
  <c r="G41" i="15"/>
  <c r="E27" i="15"/>
  <c r="G27" i="15"/>
  <c r="E31" i="15"/>
  <c r="G31" i="15"/>
  <c r="E36" i="15"/>
  <c r="G36" i="15"/>
  <c r="E37" i="15"/>
  <c r="G37" i="15"/>
  <c r="E19" i="15"/>
  <c r="G19" i="15"/>
  <c r="E17" i="15"/>
  <c r="G17" i="15"/>
  <c r="E20" i="15"/>
  <c r="G20" i="15"/>
  <c r="E22" i="15"/>
  <c r="G22" i="15"/>
  <c r="E25" i="15"/>
  <c r="G25" i="15"/>
  <c r="E28" i="15"/>
  <c r="G28" i="15"/>
  <c r="E32" i="15"/>
  <c r="G32" i="15"/>
  <c r="E33" i="15"/>
  <c r="G33" i="15"/>
  <c r="E40" i="15"/>
  <c r="G40" i="15"/>
  <c r="E38" i="15"/>
  <c r="G38" i="15"/>
  <c r="E39" i="15"/>
  <c r="G39" i="15"/>
  <c r="E34" i="15"/>
  <c r="E35" i="15"/>
  <c r="G35" i="15"/>
  <c r="I35" i="15" l="1"/>
  <c r="I34" i="15"/>
  <c r="I39" i="15"/>
  <c r="I38" i="15"/>
  <c r="I40" i="15"/>
  <c r="I33" i="15"/>
  <c r="I32" i="15"/>
  <c r="I28" i="15"/>
  <c r="I25" i="15"/>
  <c r="I22" i="15"/>
  <c r="I20" i="15"/>
  <c r="I17" i="15"/>
  <c r="I19" i="15"/>
  <c r="I37" i="15"/>
  <c r="I36" i="15"/>
  <c r="I31" i="15"/>
  <c r="I27" i="15"/>
  <c r="I41" i="15"/>
  <c r="I26" i="15"/>
  <c r="I23" i="15"/>
  <c r="I21" i="15"/>
  <c r="I18" i="15"/>
  <c r="I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ABC1E88C-CD94-42EB-9FCB-2BF3BEA437ED}">
      <text>
        <r>
          <rPr>
            <sz val="12"/>
            <color indexed="81"/>
            <rFont val="Times New Roman"/>
            <family val="1"/>
          </rPr>
          <t>Next level at 2000 XPs</t>
        </r>
      </text>
    </comment>
    <comment ref="E11" authorId="0" shapeId="0" xr:uid="{9F90969E-A873-48D2-ADE1-84BF5E2AFE6E}">
      <text>
        <r>
          <rPr>
            <sz val="12"/>
            <color indexed="81"/>
            <rFont val="Times New Roman"/>
            <family val="1"/>
          </rPr>
          <t>See PHB 162</t>
        </r>
      </text>
    </comment>
    <comment ref="E13" authorId="0" shapeId="0" xr:uid="{00000000-0006-0000-0000-00000A000000}">
      <text>
        <r>
          <rPr>
            <sz val="12"/>
            <color indexed="81"/>
            <rFont val="Times New Roman"/>
            <family val="1"/>
          </rPr>
          <t xml:space="preserve">   [(2 * 6 Rogue) * 75%]
+ (2 * 1 Con)</t>
        </r>
      </text>
    </comment>
    <comment ref="E14" authorId="0" shapeId="0" xr:uid="{00000000-0006-0000-0000-00000B000000}">
      <text>
        <r>
          <rPr>
            <sz val="12"/>
            <color indexed="81"/>
            <rFont val="Times New Roman"/>
            <family val="1"/>
          </rPr>
          <t>+1 Small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21" authorId="0" shapeId="0" xr:uid="{00000000-0006-0000-0100-000004000000}">
      <text>
        <r>
          <rPr>
            <sz val="12"/>
            <color indexed="81"/>
            <rFont val="Times New Roman"/>
            <family val="1"/>
          </rPr>
          <t>Small +4</t>
        </r>
      </text>
    </comment>
    <comment ref="F25" authorId="0" shapeId="0" xr:uid="{00000000-0006-0000-0100-000005000000}">
      <text>
        <r>
          <rPr>
            <sz val="12"/>
            <color indexed="81"/>
            <rFont val="Times New Roman"/>
            <family val="1"/>
          </rPr>
          <t>Gnome +2</t>
        </r>
      </text>
    </comment>
    <comment ref="F26" authorId="0" shapeId="0" xr:uid="{00000000-0006-0000-0100-000006000000}">
      <text>
        <r>
          <rPr>
            <sz val="12"/>
            <color indexed="81"/>
            <rFont val="Times New Roman"/>
            <family val="1"/>
          </rPr>
          <t>Gnome (Small) +4</t>
        </r>
      </text>
    </comment>
    <comment ref="F36" authorId="0" shapeId="0" xr:uid="{00000000-0006-0000-0100-000008000000}">
      <text>
        <r>
          <rPr>
            <sz val="12"/>
            <color indexed="81"/>
            <rFont val="Times New Roman"/>
            <family val="1"/>
          </rPr>
          <t>Gnome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ED1960EA-635E-416B-97E3-DB6631400E5F}">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3" authorId="0" shapeId="0" xr:uid="{BE37330F-357E-4B5D-AB1A-BFB05AECB7F4}">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4" authorId="0" shapeId="0" xr:uid="{B349AFCA-6596-412B-897D-433042ED9333}">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7" authorId="0" shapeId="0" xr:uid="{5FC6298E-2D01-40FA-BAED-1270D7884C5C}">
      <text>
        <r>
          <rPr>
            <sz val="12"/>
            <color indexed="81"/>
            <rFont val="Times New Roman"/>
            <family val="1"/>
          </rPr>
          <t>Hand crossbow, rapier, sap, shortbow, and short sword.
PHB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6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<sst xmlns="http://schemas.openxmlformats.org/spreadsheetml/2006/main" count="343" uniqueCount="207">
  <si>
    <t>Melee Weapon</t>
  </si>
  <si>
    <t>Dmg</t>
  </si>
  <si>
    <t>Qty.</t>
  </si>
  <si>
    <t>Ranged Weapon</t>
  </si>
  <si>
    <t>Dmg.</t>
  </si>
  <si>
    <t>Rng.</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</si>
  <si>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</si>
  <si>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</si>
  <si>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</si>
  <si>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</si>
  <si>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</si>
  <si>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</si>
  <si>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</si>
  <si>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</si>
  <si>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</si>
  <si>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</si>
  <si>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</si>
  <si>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</si>
  <si>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</si>
  <si>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</si>
  <si>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</si>
  <si>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</si>
  <si>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</si>
  <si>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</si>
  <si>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</si>
  <si>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</si>
  <si>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</si>
  <si>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</si>
  <si>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</si>
  <si>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</si>
  <si>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</si>
  <si>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</si>
  <si>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</si>
  <si>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</si>
  <si>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</si>
  <si>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</si>
  <si>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</si>
  <si>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</si>
  <si>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</si>
  <si>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</si>
  <si>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</si>
  <si>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</si>
  <si>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</si>
  <si>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</si>
  <si>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</si>
  <si>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</si>
  <si>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</si>
  <si>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</si>
  <si>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</si>
  <si>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</si>
  <si>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</si>
  <si>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</si>
  <si>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</si>
  <si>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</si>
  <si>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</si>
  <si>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</si>
  <si>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Will</t>
  </si>
  <si>
    <t>Armor &amp; Shield</t>
  </si>
  <si>
    <t>Missiles</t>
  </si>
  <si>
    <t>Languages</t>
  </si>
  <si>
    <t>Equipment Worn</t>
  </si>
  <si>
    <t>Item</t>
  </si>
  <si>
    <t>Effects/</t>
  </si>
  <si>
    <t>Notes</t>
  </si>
  <si>
    <t>Equipment Carried</t>
  </si>
  <si>
    <t>Check</t>
  </si>
  <si>
    <t>Arcane</t>
  </si>
  <si>
    <t>Speed</t>
  </si>
  <si>
    <t>Knowledge:  Arcana</t>
  </si>
  <si>
    <t>Sleight of Hand</t>
  </si>
  <si>
    <t>Survival</t>
  </si>
  <si>
    <t>Weapon Proficiencies</t>
  </si>
  <si>
    <t>Atk</t>
  </si>
  <si>
    <t>Feats</t>
  </si>
  <si>
    <t>2</t>
  </si>
  <si>
    <t>Roll</t>
  </si>
  <si>
    <t>Spell</t>
  </si>
  <si>
    <t>-</t>
  </si>
  <si>
    <t>Gnome</t>
  </si>
  <si>
    <t>Level</t>
  </si>
  <si>
    <t>DC</t>
  </si>
  <si>
    <t>Cast?</t>
  </si>
  <si>
    <t>Skill/Save</t>
  </si>
  <si>
    <t>Ghost Sound</t>
  </si>
  <si>
    <t>Racial Abilities</t>
  </si>
  <si>
    <t>+1 vs. kobolds &amp; goblinoids</t>
  </si>
  <si>
    <t>+4 dodge vs. Giant type</t>
  </si>
  <si>
    <t>Bludgeon</t>
  </si>
  <si>
    <t>1d3</t>
  </si>
  <si>
    <t>Gold Pieces</t>
  </si>
  <si>
    <t>CLev</t>
  </si>
  <si>
    <t>Low-light Vision</t>
  </si>
  <si>
    <t>Traveller’s Outfit</t>
  </si>
  <si>
    <t>Backpack</t>
  </si>
  <si>
    <t>4</t>
  </si>
  <si>
    <t>Wands, Scrolls and Potions</t>
  </si>
  <si>
    <t>Grapple, Unarmed Strike</t>
  </si>
  <si>
    <t>x2</t>
  </si>
  <si>
    <t>Value</t>
  </si>
  <si>
    <t>Fortitude</t>
  </si>
  <si>
    <t>Reflex</t>
  </si>
  <si>
    <t>Gnome Hammer treated as martial</t>
  </si>
  <si>
    <t>Simple Weapons, Light Armor</t>
  </si>
  <si>
    <t>Perform:  [type]</t>
  </si>
  <si>
    <t>Equity:</t>
  </si>
  <si>
    <t>q</t>
  </si>
  <si>
    <t>Ranged Touch Spell</t>
  </si>
  <si>
    <t>Played by JR Roberts</t>
  </si>
  <si>
    <t>Saradette</t>
  </si>
  <si>
    <r>
      <rPr>
        <i/>
        <sz val="18"/>
        <color rgb="FFFFC000"/>
        <rFont val="Times New Roman"/>
        <family val="1"/>
      </rPr>
      <t xml:space="preserve">Tarapple </t>
    </r>
    <r>
      <rPr>
        <i/>
        <sz val="16"/>
        <color rgb="FFFFC000"/>
        <rFont val="Times New Roman"/>
        <family val="1"/>
      </rPr>
      <t xml:space="preserve">Febble </t>
    </r>
    <r>
      <rPr>
        <i/>
        <sz val="14"/>
        <color rgb="FFFFC000"/>
        <rFont val="Times New Roman"/>
        <family val="1"/>
      </rPr>
      <t xml:space="preserve">Tallniss </t>
    </r>
    <r>
      <rPr>
        <i/>
        <sz val="12"/>
        <color rgb="FFFFC000"/>
        <rFont val="Times New Roman"/>
        <family val="1"/>
      </rPr>
      <t xml:space="preserve">Nensy </t>
    </r>
    <r>
      <rPr>
        <i/>
        <sz val="11"/>
        <color rgb="FFFFC000"/>
        <rFont val="Times New Roman"/>
        <family val="1"/>
      </rPr>
      <t xml:space="preserve">Gwaella </t>
    </r>
    <r>
      <rPr>
        <i/>
        <sz val="10"/>
        <color rgb="FFFFC000"/>
        <rFont val="Times New Roman"/>
        <family val="1"/>
      </rPr>
      <t xml:space="preserve">Grangytee </t>
    </r>
    <r>
      <rPr>
        <i/>
        <sz val="9"/>
        <color rgb="FFFFC000"/>
        <rFont val="Times New Roman"/>
        <family val="1"/>
      </rPr>
      <t>of Clan Warblerivet</t>
    </r>
  </si>
  <si>
    <t>Female</t>
  </si>
  <si>
    <t>3’ 9”</t>
  </si>
  <si>
    <t>44 lbs.</t>
  </si>
  <si>
    <t>Mayaheine</t>
  </si>
  <si>
    <t>Chaotic Good</t>
  </si>
  <si>
    <t>The Dalelands</t>
  </si>
  <si>
    <t>Personality, History, and Notes</t>
  </si>
  <si>
    <t>30’</t>
  </si>
  <si>
    <t>Rogue</t>
  </si>
  <si>
    <t>Rogue 1</t>
  </si>
  <si>
    <t>Rogue Features</t>
  </si>
  <si>
    <t>Sneak Attack 1d6</t>
  </si>
  <si>
    <t>Trapfinding</t>
  </si>
  <si>
    <t>Profession:  Metalsmith</t>
  </si>
  <si>
    <t>Goblinoid</t>
  </si>
  <si>
    <t>Gnomish, Common, Elvish</t>
  </si>
  <si>
    <t>1st:  Run</t>
  </si>
  <si>
    <t>Rogue Weapons</t>
  </si>
  <si>
    <t>Shortbow</t>
  </si>
  <si>
    <t>Short Sword</t>
  </si>
  <si>
    <t>1d4</t>
  </si>
  <si>
    <t>Dagger 1</t>
  </si>
  <si>
    <t>Dagger 2</t>
  </si>
  <si>
    <t>19-20/x2</t>
  </si>
  <si>
    <t>Slsh/Prc</t>
  </si>
  <si>
    <t>Padded Armor</t>
  </si>
  <si>
    <t>Arrows</t>
  </si>
  <si>
    <t>Thieves’ Tools</t>
  </si>
  <si>
    <t>Bedroll</t>
  </si>
  <si>
    <t>Possibles Bag</t>
  </si>
  <si>
    <t>Flint and Steel</t>
  </si>
  <si>
    <t>Waterskin</t>
  </si>
  <si>
    <t>Trail Rations</t>
  </si>
  <si>
    <t>Sapphires</t>
  </si>
  <si>
    <t>Silver Pieces</t>
  </si>
  <si>
    <t>Copper Pieces</t>
  </si>
  <si>
    <t>Speak Language:  [Language]</t>
  </si>
  <si>
    <t>Craft:  Metalworking</t>
  </si>
  <si>
    <t>Rock</t>
  </si>
  <si>
    <r>
      <t>25</t>
    </r>
    <r>
      <rPr>
        <sz val="13"/>
        <rFont val="Times New Roman"/>
        <family val="1"/>
      </rPr>
      <t>/</t>
    </r>
    <r>
      <rPr>
        <sz val="13"/>
        <color indexed="51"/>
        <rFont val="Times New Roman"/>
        <family val="1"/>
      </rPr>
      <t>50</t>
    </r>
    <r>
      <rPr>
        <sz val="13"/>
        <rFont val="Times New Roman"/>
        <family val="1"/>
      </rPr>
      <t>/</t>
    </r>
    <r>
      <rPr>
        <sz val="13"/>
        <color indexed="10"/>
        <rFont val="Times New Roman"/>
        <family val="1"/>
      </rPr>
      <t>75</t>
    </r>
  </si>
  <si>
    <t>SF</t>
  </si>
  <si>
    <t>1</t>
  </si>
  <si>
    <t>Dancing Lights</t>
  </si>
  <si>
    <t>Prestidigitation</t>
  </si>
  <si>
    <t>Speak with Animals</t>
  </si>
  <si>
    <t>Piercing</t>
  </si>
  <si>
    <t>x3</t>
  </si>
  <si>
    <t>60’</t>
  </si>
  <si>
    <t xml:space="preserve">3rd:  </t>
  </si>
  <si>
    <t>Clothes &amp; Toiletries</t>
  </si>
  <si>
    <t>Rock Gnome Spells</t>
  </si>
  <si>
    <t>Artificer</t>
  </si>
  <si>
    <t>Race</t>
  </si>
  <si>
    <t>Subrace</t>
  </si>
  <si>
    <t>Class</t>
  </si>
  <si>
    <t>Deity</t>
  </si>
  <si>
    <t>Height</t>
  </si>
  <si>
    <t>Age</t>
  </si>
  <si>
    <t>Weight</t>
  </si>
  <si>
    <t>Region</t>
  </si>
  <si>
    <t>Sex</t>
  </si>
  <si>
    <t>Alignment</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</si>
  <si>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</si>
  <si>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</si>
  <si>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</si>
  <si>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</si>
  <si>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</si>
  <si>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</si>
  <si>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</si>
  <si>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</si>
  <si>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</si>
  <si>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</si>
  <si>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</si>
  <si>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</si>
  <si>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</si>
  <si>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</si>
  <si>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</si>
  <si>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</si>
  <si>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</si>
  <si>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</si>
  <si>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</si>
  <si>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</si>
  <si>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</si>
  <si>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</si>
  <si>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</si>
  <si>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</si>
  <si>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20’</t>
  </si>
  <si>
    <t>Attention to spelling &amp; punctuation; Consistent use of past tense, third person</t>
  </si>
  <si>
    <t>Thoroughness and clarity</t>
  </si>
  <si>
    <t>Average</t>
  </si>
  <si>
    <t>Level-appropriate use of skills, feats, limitations, and other features</t>
  </si>
  <si>
    <t>Convincing role-playing and character development</t>
  </si>
  <si>
    <t>Consistency with other characters’ actions and setting description</t>
  </si>
  <si>
    <t>Good</t>
  </si>
  <si>
    <t>Rogue 2</t>
  </si>
  <si>
    <t>CROSS-CLASS</t>
  </si>
  <si>
    <t>Evasion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</si>
</sst>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6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b/>
      <sz val="12"/>
      <color rgb="FFFFC000"/>
      <name val="Times New Roman"/>
      <family val="1"/>
    </font>
    <font>
      <sz val="12"/>
      <color rgb="FFFFC000"/>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3"/>
      <color rgb="FFFF0000"/>
      <name val="Times New Roman"/>
      <family val="1"/>
    </font>
    <font>
      <sz val="13"/>
      <name val="Wingdings"/>
      <charset val="2"/>
    </font>
    <font>
      <b/>
      <sz val="13"/>
      <color theme="0"/>
      <name val="Times New Roman"/>
      <family val="1"/>
    </font>
    <font>
      <i/>
      <sz val="16"/>
      <name val="Times New Roman"/>
      <family val="1"/>
    </font>
    <font>
      <i/>
      <sz val="16"/>
      <color rgb="FFFFC000"/>
      <name val="Times New Roman"/>
      <family val="1"/>
    </font>
    <font>
      <i/>
      <sz val="14"/>
      <color rgb="FFFFC000"/>
      <name val="Times New Roman"/>
      <family val="1"/>
    </font>
    <font>
      <i/>
      <sz val="12"/>
      <color rgb="FFFFC000"/>
      <name val="Times New Roman"/>
      <family val="1"/>
    </font>
    <font>
      <i/>
      <sz val="11"/>
      <color rgb="FFFFC000"/>
      <name val="Times New Roman"/>
      <family val="1"/>
    </font>
    <font>
      <i/>
      <sz val="10"/>
      <color rgb="FFFFC000"/>
      <name val="Times New Roman"/>
      <family val="1"/>
    </font>
    <font>
      <i/>
      <sz val="9"/>
      <color rgb="FFFFC000"/>
      <name val="Times New Roman"/>
      <family val="1"/>
    </font>
    <font>
      <sz val="18"/>
      <name val="Times New Roman"/>
      <family val="1"/>
    </font>
    <font>
      <sz val="13"/>
      <color rgb="FF009900"/>
      <name val="Times New Roman"/>
      <family val="1"/>
    </font>
    <font>
      <i/>
      <sz val="18"/>
      <color theme="0" tint="-0.499984740745262"/>
      <name val="Times New Roman"/>
      <family val="1"/>
    </font>
  </fonts>
  <fills count="1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CCFFCC"/>
        <bgColor indexed="55"/>
      </patternFill>
    </fill>
    <fill>
      <patternFill patternType="solid">
        <fgColor rgb="FF9966FF"/>
        <bgColor indexed="64"/>
      </patternFill>
    </fill>
    <fill>
      <patternFill patternType="solid">
        <fgColor rgb="FF6600CC"/>
        <bgColor indexed="64"/>
      </patternFill>
    </fill>
  </fills>
  <borders count="12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404">
    <xf numFmtId="0" fontId="0" fillId="0" borderId="0" xfId="0"/>
    <xf numFmtId="0" fontId="12" fillId="3" borderId="71"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72" xfId="0" applyFont="1" applyFill="1" applyBorder="1" applyAlignment="1">
      <alignment horizontal="center" vertical="center"/>
    </xf>
    <xf numFmtId="0" fontId="4" fillId="0" borderId="0" xfId="0" applyFont="1" applyBorder="1" applyAlignment="1">
      <alignment vertical="center"/>
    </xf>
    <xf numFmtId="0" fontId="2" fillId="0" borderId="78" xfId="0" applyFont="1" applyFill="1" applyBorder="1" applyAlignment="1">
      <alignment horizontal="center" vertical="center"/>
    </xf>
    <xf numFmtId="0" fontId="2" fillId="0" borderId="78" xfId="0" quotePrefix="1" applyFont="1" applyFill="1" applyBorder="1" applyAlignment="1">
      <alignment horizontal="center" vertical="center" wrapText="1"/>
    </xf>
    <xf numFmtId="49" fontId="2" fillId="0" borderId="78" xfId="2" applyNumberFormat="1" applyFont="1" applyFill="1" applyBorder="1" applyAlignment="1">
      <alignment horizontal="center" vertical="center"/>
    </xf>
    <xf numFmtId="0" fontId="2" fillId="0" borderId="78" xfId="0" applyFont="1" applyFill="1" applyBorder="1" applyAlignment="1">
      <alignment horizontal="center" vertical="center" shrinkToFit="1"/>
    </xf>
    <xf numFmtId="164" fontId="2" fillId="0" borderId="78" xfId="0" applyNumberFormat="1"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0" fontId="5" fillId="0" borderId="82" xfId="0" quotePrefix="1" applyFont="1" applyFill="1" applyBorder="1" applyAlignment="1">
      <alignment horizontal="center" vertical="center" wrapText="1"/>
    </xf>
    <xf numFmtId="49" fontId="2" fillId="0" borderId="82" xfId="2" applyNumberFormat="1" applyFont="1" applyFill="1" applyBorder="1" applyAlignment="1">
      <alignment horizontal="center" vertical="center"/>
    </xf>
    <xf numFmtId="0" fontId="2" fillId="0" borderId="82" xfId="0" applyFont="1" applyFill="1" applyBorder="1" applyAlignment="1">
      <alignment horizontal="center" vertical="center" shrinkToFit="1"/>
    </xf>
    <xf numFmtId="164" fontId="2" fillId="0" borderId="82" xfId="0" applyNumberFormat="1" applyFont="1" applyFill="1" applyBorder="1" applyAlignment="1">
      <alignment horizontal="center" vertical="center"/>
    </xf>
    <xf numFmtId="0" fontId="2" fillId="0" borderId="80" xfId="0" quotePrefix="1" applyFont="1" applyBorder="1" applyAlignment="1">
      <alignment horizontal="center" vertical="center"/>
    </xf>
    <xf numFmtId="1" fontId="5" fillId="0" borderId="83" xfId="0" applyNumberFormat="1" applyFont="1" applyFill="1" applyBorder="1" applyAlignment="1">
      <alignment horizontal="center" vertical="center"/>
    </xf>
    <xf numFmtId="0" fontId="2" fillId="0" borderId="100" xfId="0" quotePrefix="1" applyFont="1" applyFill="1" applyBorder="1" applyAlignment="1">
      <alignment horizontal="center" vertical="center"/>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87" xfId="0" applyFont="1" applyBorder="1" applyAlignment="1">
      <alignment horizontal="center" vertical="center" shrinkToFit="1"/>
    </xf>
    <xf numFmtId="0" fontId="2" fillId="0" borderId="91"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5" xfId="0" applyFont="1" applyFill="1" applyBorder="1" applyAlignment="1">
      <alignment horizontal="center" vertical="center" shrinkToFit="1"/>
    </xf>
    <xf numFmtId="0" fontId="2" fillId="0" borderId="65" xfId="0" applyFont="1" applyBorder="1" applyAlignment="1">
      <alignment horizontal="center" vertical="center" shrinkToFit="1"/>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88" xfId="0" applyFont="1" applyFill="1" applyBorder="1" applyAlignment="1">
      <alignment horizontal="center" vertical="center" shrinkToFit="1"/>
    </xf>
    <xf numFmtId="0" fontId="2" fillId="0" borderId="66"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7"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5" fillId="9" borderId="22" xfId="0" applyFont="1" applyFill="1" applyBorder="1" applyAlignment="1">
      <alignment horizontal="center" vertical="center"/>
    </xf>
    <xf numFmtId="0" fontId="21" fillId="7" borderId="19" xfId="0" applyFont="1" applyFill="1" applyBorder="1" applyAlignment="1">
      <alignment horizontal="center" vertical="center"/>
    </xf>
    <xf numFmtId="1" fontId="46" fillId="9" borderId="83" xfId="0" applyNumberFormat="1" applyFont="1" applyFill="1" applyBorder="1" applyAlignment="1">
      <alignment horizontal="center" vertical="center"/>
    </xf>
    <xf numFmtId="1" fontId="2" fillId="0" borderId="83"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85" xfId="0" applyFont="1" applyFill="1" applyBorder="1" applyAlignment="1">
      <alignment horizontal="centerContinuous" vertical="center"/>
    </xf>
    <xf numFmtId="0" fontId="21" fillId="7" borderId="47" xfId="0" applyFont="1" applyFill="1" applyBorder="1" applyAlignment="1">
      <alignment horizontal="centerContinuous" vertical="center"/>
    </xf>
    <xf numFmtId="0" fontId="2" fillId="0" borderId="82" xfId="0" quotePrefix="1" applyFont="1" applyFill="1" applyBorder="1" applyAlignment="1">
      <alignment horizontal="center" vertical="center"/>
    </xf>
    <xf numFmtId="164" fontId="2" fillId="0" borderId="83" xfId="0" applyNumberFormat="1" applyFont="1" applyFill="1" applyBorder="1" applyAlignment="1">
      <alignment horizontal="centerContinuous" vertical="center"/>
    </xf>
    <xf numFmtId="164" fontId="2" fillId="0" borderId="86" xfId="0" applyNumberFormat="1" applyFont="1" applyFill="1" applyBorder="1" applyAlignment="1">
      <alignment horizontal="centerContinuous" vertical="center"/>
    </xf>
    <xf numFmtId="0" fontId="5" fillId="0" borderId="84"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92" xfId="0" applyFont="1" applyFill="1" applyBorder="1" applyAlignment="1">
      <alignment horizontal="centerContinuous" vertical="center"/>
    </xf>
    <xf numFmtId="0" fontId="2" fillId="0" borderId="93" xfId="0" applyFont="1" applyFill="1" applyBorder="1" applyAlignment="1">
      <alignment horizontal="centerContinuous" vertical="center"/>
    </xf>
    <xf numFmtId="0" fontId="2" fillId="0" borderId="79" xfId="0" applyFont="1" applyFill="1" applyBorder="1" applyAlignment="1">
      <alignment horizontal="centerContinuous" vertical="center"/>
    </xf>
    <xf numFmtId="49" fontId="2" fillId="0" borderId="79" xfId="0" applyNumberFormat="1" applyFont="1" applyFill="1" applyBorder="1" applyAlignment="1">
      <alignment horizontal="center" vertical="center"/>
    </xf>
    <xf numFmtId="49" fontId="2" fillId="0" borderId="79"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 fillId="0" borderId="95" xfId="0" applyFont="1" applyFill="1" applyBorder="1" applyAlignment="1">
      <alignment horizontal="centerContinuous" vertical="center"/>
    </xf>
    <xf numFmtId="0" fontId="2" fillId="0" borderId="96" xfId="0" applyFont="1" applyFill="1" applyBorder="1" applyAlignment="1">
      <alignment horizontal="centerContinuous" vertical="center"/>
    </xf>
    <xf numFmtId="0" fontId="5" fillId="0" borderId="97" xfId="0" applyFont="1" applyFill="1" applyBorder="1" applyAlignment="1">
      <alignment horizontal="centerContinuous" vertical="center"/>
    </xf>
    <xf numFmtId="0" fontId="5" fillId="0" borderId="83" xfId="0" applyFont="1" applyFill="1" applyBorder="1" applyAlignment="1">
      <alignment horizontal="centerContinuous" vertical="center"/>
    </xf>
    <xf numFmtId="49" fontId="2" fillId="0" borderId="82" xfId="0" applyNumberFormat="1" applyFont="1" applyFill="1" applyBorder="1" applyAlignment="1">
      <alignment horizontal="center" vertical="center"/>
    </xf>
    <xf numFmtId="49" fontId="2" fillId="0" borderId="83" xfId="0" applyNumberFormat="1" applyFont="1" applyFill="1" applyBorder="1" applyAlignment="1">
      <alignment horizontal="centerContinuous" vertical="center"/>
    </xf>
    <xf numFmtId="49" fontId="2" fillId="0" borderId="86" xfId="0" applyNumberFormat="1" applyFont="1" applyFill="1" applyBorder="1" applyAlignment="1">
      <alignment horizontal="centerContinuous" vertical="center"/>
    </xf>
    <xf numFmtId="0" fontId="21" fillId="7" borderId="89" xfId="0" applyFont="1" applyFill="1" applyBorder="1" applyAlignment="1">
      <alignment horizontal="center" vertical="center"/>
    </xf>
    <xf numFmtId="0" fontId="21" fillId="7" borderId="90"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3" xfId="0" applyFont="1" applyFill="1" applyBorder="1" applyAlignment="1">
      <alignment horizontal="centerContinuous" vertical="center"/>
    </xf>
    <xf numFmtId="0" fontId="7" fillId="0" borderId="7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46" xfId="0" applyFont="1" applyFill="1" applyBorder="1" applyAlignment="1">
      <alignment horizontal="centerContinuous" vertical="center"/>
    </xf>
    <xf numFmtId="0" fontId="7" fillId="0" borderId="74" xfId="0" quotePrefix="1" applyFont="1" applyFill="1" applyBorder="1" applyAlignment="1">
      <alignment horizontal="centerContinuous" vertical="center"/>
    </xf>
    <xf numFmtId="0" fontId="7" fillId="0" borderId="54"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13" fillId="0" borderId="26" xfId="0" applyNumberFormat="1" applyFont="1" applyFill="1" applyBorder="1" applyAlignment="1">
      <alignment horizontal="center" vertical="center"/>
    </xf>
    <xf numFmtId="0" fontId="41" fillId="0" borderId="56" xfId="0" applyFont="1" applyFill="1" applyBorder="1" applyAlignment="1">
      <alignment vertical="center"/>
    </xf>
    <xf numFmtId="0" fontId="6" fillId="0" borderId="57" xfId="0" applyFont="1" applyFill="1" applyBorder="1" applyAlignment="1">
      <alignment horizontal="center" vertical="center"/>
    </xf>
    <xf numFmtId="0" fontId="7" fillId="0" borderId="57" xfId="0" applyFont="1" applyFill="1" applyBorder="1" applyAlignment="1">
      <alignment horizontal="center" vertical="center"/>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NumberFormat="1" applyFont="1" applyFill="1" applyBorder="1" applyAlignment="1">
      <alignment horizontal="center" vertical="center"/>
    </xf>
    <xf numFmtId="0" fontId="11" fillId="8"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2" fillId="2" borderId="63" xfId="0" applyFont="1" applyFill="1" applyBorder="1" applyAlignment="1">
      <alignment horizontal="right" vertical="center"/>
    </xf>
    <xf numFmtId="0" fontId="42" fillId="2" borderId="64" xfId="0" applyFont="1" applyFill="1" applyBorder="1" applyAlignment="1">
      <alignment horizontal="left" vertical="center"/>
    </xf>
    <xf numFmtId="0" fontId="20"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5" fillId="2" borderId="101"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7"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69"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99"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8"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49"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2" fillId="0" borderId="38" xfId="0" applyFont="1" applyBorder="1" applyAlignment="1">
      <alignment horizontal="left" vertical="center"/>
    </xf>
    <xf numFmtId="0" fontId="2" fillId="0" borderId="103" xfId="0" applyFont="1" applyFill="1" applyBorder="1" applyAlignment="1">
      <alignment horizontal="centerContinuous" vertical="center" shrinkToFit="1"/>
    </xf>
    <xf numFmtId="0" fontId="21" fillId="0" borderId="104" xfId="0" applyFont="1" applyFill="1" applyBorder="1" applyAlignment="1">
      <alignment horizontal="centerContinuous" vertical="center"/>
    </xf>
    <xf numFmtId="0" fontId="2" fillId="0" borderId="105" xfId="0" applyFont="1" applyFill="1" applyBorder="1" applyAlignment="1">
      <alignment horizontal="center" vertical="center"/>
    </xf>
    <xf numFmtId="0" fontId="2" fillId="0" borderId="106"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0" xfId="0" applyFont="1" applyBorder="1" applyAlignment="1">
      <alignment vertical="center"/>
    </xf>
    <xf numFmtId="0" fontId="2" fillId="0" borderId="96" xfId="0" applyFont="1" applyFill="1" applyBorder="1" applyAlignment="1">
      <alignment horizontal="centerContinuous" vertical="center" shrinkToFit="1"/>
    </xf>
    <xf numFmtId="0" fontId="21" fillId="0" borderId="86"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84" xfId="0" applyFont="1" applyFill="1" applyBorder="1" applyAlignment="1">
      <alignment horizontal="centerContinuous" vertical="center"/>
    </xf>
    <xf numFmtId="1" fontId="5" fillId="0" borderId="106" xfId="0" applyNumberFormat="1" applyFont="1" applyFill="1" applyBorder="1" applyAlignment="1">
      <alignment horizontal="center" vertical="center"/>
    </xf>
    <xf numFmtId="1" fontId="46" fillId="9" borderId="106" xfId="0" applyNumberFormat="1" applyFont="1" applyFill="1" applyBorder="1" applyAlignment="1">
      <alignment horizontal="center" vertical="center"/>
    </xf>
    <xf numFmtId="1" fontId="2" fillId="0" borderId="106"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3" xfId="0" applyNumberFormat="1" applyFont="1" applyFill="1" applyBorder="1" applyAlignment="1">
      <alignment horizontal="center" vertical="center"/>
    </xf>
    <xf numFmtId="1" fontId="2" fillId="0" borderId="74" xfId="0" applyNumberFormat="1" applyFont="1" applyFill="1" applyBorder="1" applyAlignment="1">
      <alignment horizontal="center" vertical="center"/>
    </xf>
    <xf numFmtId="1" fontId="2" fillId="0" borderId="46"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77" xfId="0" applyFont="1" applyFill="1" applyBorder="1" applyAlignment="1">
      <alignment horizontal="center" vertical="center"/>
    </xf>
    <xf numFmtId="0" fontId="47" fillId="0" borderId="1" xfId="0" applyFont="1" applyFill="1" applyBorder="1" applyAlignment="1">
      <alignment vertical="center"/>
    </xf>
    <xf numFmtId="0" fontId="6" fillId="0" borderId="25" xfId="0" applyFont="1" applyFill="1" applyBorder="1" applyAlignment="1">
      <alignment horizontal="center" vertical="center"/>
    </xf>
    <xf numFmtId="0" fontId="48" fillId="0" borderId="1" xfId="0" applyFont="1" applyFill="1" applyBorder="1" applyAlignment="1">
      <alignment vertical="center"/>
    </xf>
    <xf numFmtId="0" fontId="7" fillId="0" borderId="62"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8" borderId="46" xfId="0" applyNumberFormat="1"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0" fillId="0" borderId="31" xfId="0" applyFont="1" applyFill="1" applyBorder="1" applyAlignment="1">
      <alignment horizontal="centerContinuous" vertical="center"/>
    </xf>
    <xf numFmtId="0" fontId="49" fillId="0" borderId="31" xfId="0" applyFont="1" applyBorder="1" applyAlignment="1">
      <alignment horizontal="centerContinuous" vertical="center" wrapText="1"/>
    </xf>
    <xf numFmtId="0" fontId="50" fillId="0" borderId="31" xfId="0" applyFont="1" applyBorder="1" applyAlignment="1">
      <alignment horizontal="centerContinuous" vertical="center" wrapText="1"/>
    </xf>
    <xf numFmtId="0" fontId="51" fillId="0" borderId="31" xfId="0" applyFont="1" applyFill="1" applyBorder="1" applyAlignment="1">
      <alignment horizontal="centerContinuous" vertical="center" wrapText="1"/>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8" borderId="27" xfId="0" quotePrefix="1" applyNumberFormat="1" applyFont="1" applyFill="1" applyBorder="1" applyAlignment="1">
      <alignment horizontal="center" vertical="center"/>
    </xf>
    <xf numFmtId="0" fontId="5" fillId="0" borderId="0" xfId="0" applyFont="1" applyFill="1" applyBorder="1" applyAlignment="1">
      <alignment horizontal="center" vertical="center"/>
    </xf>
    <xf numFmtId="1" fontId="46" fillId="9" borderId="78" xfId="0" applyNumberFormat="1" applyFont="1" applyFill="1" applyBorder="1" applyAlignment="1">
      <alignment horizontal="center" vertical="center"/>
    </xf>
    <xf numFmtId="1" fontId="46" fillId="9" borderId="75" xfId="0" applyNumberFormat="1" applyFont="1" applyFill="1" applyBorder="1" applyAlignment="1">
      <alignment horizontal="center" vertical="center"/>
    </xf>
    <xf numFmtId="1" fontId="46" fillId="9" borderId="82" xfId="0" applyNumberFormat="1" applyFont="1" applyFill="1" applyBorder="1" applyAlignment="1">
      <alignment horizontal="center" vertical="center"/>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2" fillId="0" borderId="53"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6" xfId="0" applyNumberFormat="1" applyFont="1" applyBorder="1" applyAlignment="1">
      <alignment horizontal="center" vertical="center" shrinkToFit="1"/>
    </xf>
    <xf numFmtId="1" fontId="5" fillId="0" borderId="53"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49" fontId="7" fillId="10" borderId="26" xfId="0" applyNumberFormat="1" applyFont="1" applyFill="1" applyBorder="1" applyAlignment="1">
      <alignment horizontal="center" vertical="center"/>
    </xf>
    <xf numFmtId="9" fontId="2" fillId="0" borderId="82" xfId="0" applyNumberFormat="1" applyFont="1" applyFill="1" applyBorder="1" applyAlignment="1">
      <alignment horizontal="center" vertical="center"/>
    </xf>
    <xf numFmtId="49" fontId="7" fillId="0" borderId="44" xfId="0" applyNumberFormat="1" applyFont="1" applyFill="1" applyBorder="1" applyAlignment="1">
      <alignment horizontal="center" vertical="center"/>
    </xf>
    <xf numFmtId="0" fontId="6" fillId="0" borderId="59" xfId="0" applyFont="1" applyBorder="1" applyAlignment="1">
      <alignment horizontal="centerContinuous" vertical="center" wrapText="1"/>
    </xf>
    <xf numFmtId="0" fontId="6" fillId="0" borderId="60" xfId="0" applyFont="1" applyBorder="1" applyAlignment="1">
      <alignment horizontal="centerContinuous" vertical="center" wrapText="1"/>
    </xf>
    <xf numFmtId="0" fontId="7" fillId="0" borderId="7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54" fillId="9" borderId="56" xfId="0" applyFont="1" applyFill="1" applyBorder="1" applyAlignment="1">
      <alignment horizontal="centerContinuous" vertical="center" wrapText="1"/>
    </xf>
    <xf numFmtId="0" fontId="54" fillId="9" borderId="61" xfId="0" applyFont="1" applyFill="1" applyBorder="1" applyAlignment="1">
      <alignment horizontal="center" vertical="center" wrapText="1"/>
    </xf>
    <xf numFmtId="0" fontId="55" fillId="0" borderId="58" xfId="0" applyFont="1" applyBorder="1" applyAlignment="1">
      <alignment horizontal="centerContinuous" vertical="center" wrapText="1"/>
    </xf>
    <xf numFmtId="165" fontId="2" fillId="0" borderId="0" xfId="0" applyNumberFormat="1" applyFont="1" applyBorder="1" applyAlignment="1">
      <alignment vertical="center"/>
    </xf>
    <xf numFmtId="0" fontId="27" fillId="0" borderId="46" xfId="0" applyFont="1" applyFill="1" applyBorder="1" applyAlignment="1">
      <alignment horizontal="centerContinuous" vertical="center" shrinkToFit="1"/>
    </xf>
    <xf numFmtId="0" fontId="54" fillId="9" borderId="115"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26" xfId="0" applyFont="1" applyFill="1" applyBorder="1" applyAlignment="1">
      <alignment horizontal="centerContinuous" vertical="center"/>
    </xf>
    <xf numFmtId="0" fontId="7" fillId="0" borderId="45" xfId="0" applyFont="1" applyFill="1" applyBorder="1" applyAlignment="1">
      <alignment horizontal="centerContinuous" vertical="center"/>
    </xf>
    <xf numFmtId="0" fontId="53" fillId="5" borderId="52" xfId="2" applyNumberFormat="1" applyFont="1" applyFill="1" applyBorder="1" applyAlignment="1">
      <alignment horizontal="centerContinuous" vertical="center" shrinkToFit="1"/>
    </xf>
    <xf numFmtId="0" fontId="53" fillId="5" borderId="2" xfId="2" applyNumberFormat="1" applyFont="1" applyFill="1" applyBorder="1" applyAlignment="1">
      <alignment horizontal="centerContinuous" vertical="center" shrinkToFit="1"/>
    </xf>
    <xf numFmtId="0" fontId="53" fillId="5" borderId="10" xfId="2" applyNumberFormat="1" applyFont="1" applyFill="1" applyBorder="1" applyAlignment="1">
      <alignment horizontal="centerContinuous" vertical="center" shrinkToFit="1"/>
    </xf>
    <xf numFmtId="0" fontId="54" fillId="9" borderId="102" xfId="0" applyFont="1" applyFill="1" applyBorder="1" applyAlignment="1">
      <alignment horizontal="centerContinuous" vertical="center"/>
    </xf>
    <xf numFmtId="0" fontId="2" fillId="11" borderId="77" xfId="0" applyFont="1" applyFill="1" applyBorder="1" applyAlignment="1">
      <alignment horizontal="center" vertical="center"/>
    </xf>
    <xf numFmtId="0" fontId="2" fillId="11" borderId="78" xfId="0" applyFont="1" applyFill="1" applyBorder="1" applyAlignment="1">
      <alignment horizontal="center" vertical="center"/>
    </xf>
    <xf numFmtId="0" fontId="2" fillId="11" borderId="78" xfId="0" quotePrefix="1" applyFont="1" applyFill="1" applyBorder="1" applyAlignment="1">
      <alignment horizontal="center" vertical="center" wrapText="1"/>
    </xf>
    <xf numFmtId="49" fontId="2" fillId="11" borderId="78" xfId="2" applyNumberFormat="1" applyFont="1" applyFill="1" applyBorder="1" applyAlignment="1">
      <alignment horizontal="center" vertical="center"/>
    </xf>
    <xf numFmtId="0" fontId="2" fillId="11" borderId="78" xfId="0" applyFont="1" applyFill="1" applyBorder="1" applyAlignment="1">
      <alignment horizontal="center" vertical="center" shrinkToFit="1"/>
    </xf>
    <xf numFmtId="164" fontId="2" fillId="11" borderId="78" xfId="0" applyNumberFormat="1" applyFont="1" applyFill="1" applyBorder="1" applyAlignment="1">
      <alignment horizontal="center" vertical="center"/>
    </xf>
    <xf numFmtId="1" fontId="2" fillId="11" borderId="78" xfId="0" applyNumberFormat="1" applyFont="1" applyFill="1" applyBorder="1" applyAlignment="1">
      <alignment horizontal="center" vertical="center"/>
    </xf>
    <xf numFmtId="1" fontId="2" fillId="11" borderId="79" xfId="0" applyNumberFormat="1" applyFont="1" applyFill="1" applyBorder="1" applyAlignment="1">
      <alignment horizontal="center" vertical="center"/>
    </xf>
    <xf numFmtId="0" fontId="2" fillId="11" borderId="80" xfId="0" quotePrefix="1" applyFont="1" applyFill="1" applyBorder="1" applyAlignment="1">
      <alignment horizontal="center" vertical="center"/>
    </xf>
    <xf numFmtId="1" fontId="2" fillId="11" borderId="53"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xf>
    <xf numFmtId="0" fontId="6" fillId="4" borderId="30" xfId="0" applyFont="1" applyFill="1" applyBorder="1" applyAlignment="1">
      <alignment horizontal="right" vertical="center"/>
    </xf>
    <xf numFmtId="0" fontId="2" fillId="0" borderId="108" xfId="0" applyFont="1" applyFill="1" applyBorder="1" applyAlignment="1">
      <alignment horizontal="center" vertical="center" shrinkToFit="1"/>
    </xf>
    <xf numFmtId="0" fontId="2" fillId="0" borderId="116" xfId="0" applyFont="1" applyFill="1" applyBorder="1" applyAlignment="1">
      <alignment horizontal="center" vertical="center"/>
    </xf>
    <xf numFmtId="0" fontId="2" fillId="0" borderId="116" xfId="0" quotePrefix="1" applyFont="1" applyFill="1" applyBorder="1" applyAlignment="1">
      <alignment horizontal="center" vertical="center"/>
    </xf>
    <xf numFmtId="9" fontId="2" fillId="0" borderId="116" xfId="0" applyNumberFormat="1" applyFont="1" applyFill="1" applyBorder="1" applyAlignment="1">
      <alignment horizontal="center" vertical="center"/>
    </xf>
    <xf numFmtId="49" fontId="2" fillId="0" borderId="116" xfId="0" quotePrefix="1" applyNumberFormat="1" applyFont="1" applyFill="1" applyBorder="1" applyAlignment="1">
      <alignment horizontal="center" vertical="center"/>
    </xf>
    <xf numFmtId="164" fontId="2" fillId="0" borderId="116" xfId="0" applyNumberFormat="1" applyFont="1" applyFill="1" applyBorder="1" applyAlignment="1">
      <alignment horizontal="center" vertical="center"/>
    </xf>
    <xf numFmtId="164" fontId="2" fillId="0" borderId="110" xfId="0" applyNumberFormat="1" applyFont="1" applyFill="1" applyBorder="1" applyAlignment="1">
      <alignment horizontal="centerContinuous" vertical="center"/>
    </xf>
    <xf numFmtId="164" fontId="2" fillId="0" borderId="109" xfId="0" applyNumberFormat="1" applyFont="1" applyFill="1" applyBorder="1" applyAlignment="1">
      <alignment horizontal="centerContinuous" vertical="center"/>
    </xf>
    <xf numFmtId="0" fontId="5" fillId="0" borderId="111" xfId="0" quotePrefix="1" applyFont="1" applyFill="1" applyBorder="1" applyAlignment="1">
      <alignment horizontal="centerContinuous" vertical="center"/>
    </xf>
    <xf numFmtId="1" fontId="2" fillId="0" borderId="117" xfId="0" applyNumberFormat="1" applyFont="1" applyFill="1" applyBorder="1" applyAlignment="1">
      <alignment horizontal="center" vertical="center"/>
    </xf>
    <xf numFmtId="0" fontId="2" fillId="0" borderId="112" xfId="0" applyFont="1" applyFill="1" applyBorder="1" applyAlignment="1">
      <alignment horizontal="center" vertical="center" shrinkToFit="1"/>
    </xf>
    <xf numFmtId="0" fontId="2" fillId="0" borderId="75" xfId="0" applyFont="1" applyFill="1" applyBorder="1" applyAlignment="1">
      <alignment horizontal="center" vertical="center"/>
    </xf>
    <xf numFmtId="0" fontId="2" fillId="0" borderId="75" xfId="0" quotePrefix="1" applyFont="1" applyFill="1" applyBorder="1" applyAlignment="1">
      <alignment horizontal="center" vertical="center"/>
    </xf>
    <xf numFmtId="9" fontId="2" fillId="0" borderId="75" xfId="0" applyNumberFormat="1" applyFont="1" applyFill="1" applyBorder="1" applyAlignment="1">
      <alignment horizontal="center" vertical="center"/>
    </xf>
    <xf numFmtId="49" fontId="2" fillId="0" borderId="75" xfId="0" quotePrefix="1" applyNumberFormat="1" applyFont="1" applyFill="1" applyBorder="1" applyAlignment="1">
      <alignment horizontal="center" vertical="center"/>
    </xf>
    <xf numFmtId="164" fontId="2" fillId="0" borderId="75" xfId="0" applyNumberFormat="1" applyFont="1" applyFill="1" applyBorder="1" applyAlignment="1">
      <alignment horizontal="center" vertical="center"/>
    </xf>
    <xf numFmtId="164" fontId="2" fillId="0" borderId="76" xfId="0" applyNumberFormat="1" applyFont="1" applyFill="1" applyBorder="1" applyAlignment="1">
      <alignment horizontal="centerContinuous" vertical="center"/>
    </xf>
    <xf numFmtId="164" fontId="2" fillId="0" borderId="118" xfId="0" applyNumberFormat="1" applyFont="1" applyFill="1" applyBorder="1" applyAlignment="1">
      <alignment horizontal="centerContinuous" vertical="center"/>
    </xf>
    <xf numFmtId="0" fontId="5" fillId="0" borderId="119" xfId="0" quotePrefix="1" applyFont="1" applyFill="1" applyBorder="1" applyAlignment="1">
      <alignment horizontal="centerContinuous" vertical="center"/>
    </xf>
    <xf numFmtId="1" fontId="2" fillId="0" borderId="34" xfId="0" applyNumberFormat="1" applyFont="1" applyFill="1" applyBorder="1" applyAlignment="1">
      <alignment horizontal="center" vertical="center"/>
    </xf>
    <xf numFmtId="1" fontId="7" fillId="0" borderId="28"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xf>
    <xf numFmtId="0" fontId="7" fillId="0" borderId="68" xfId="0" applyNumberFormat="1" applyFont="1" applyFill="1" applyBorder="1" applyAlignment="1">
      <alignment horizontal="centerContinuous" vertical="center"/>
    </xf>
    <xf numFmtId="0" fontId="2" fillId="0" borderId="70" xfId="0" applyNumberFormat="1" applyFont="1" applyFill="1" applyBorder="1" applyAlignment="1">
      <alignment horizontal="centerContinuous" vertical="center"/>
    </xf>
    <xf numFmtId="0" fontId="7" fillId="0" borderId="15" xfId="0" applyFont="1" applyFill="1" applyBorder="1" applyAlignment="1">
      <alignment horizontal="center" vertical="center"/>
    </xf>
    <xf numFmtId="0" fontId="3" fillId="0" borderId="1" xfId="0" applyFont="1" applyBorder="1" applyAlignment="1">
      <alignment vertical="center"/>
    </xf>
    <xf numFmtId="0" fontId="62" fillId="0" borderId="0" xfId="0" applyFont="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2" fillId="0" borderId="0" xfId="0" applyFont="1" applyAlignment="1">
      <alignment horizontal="left" vertical="center"/>
    </xf>
    <xf numFmtId="0" fontId="6" fillId="8" borderId="1" xfId="0" applyFont="1" applyFill="1" applyBorder="1" applyAlignment="1">
      <alignment horizontal="right" vertical="center"/>
    </xf>
    <xf numFmtId="0" fontId="7" fillId="8" borderId="0" xfId="0" applyFont="1" applyFill="1" applyBorder="1" applyAlignment="1">
      <alignment horizontal="centerContinuous" vertical="center"/>
    </xf>
    <xf numFmtId="0" fontId="6" fillId="8" borderId="0" xfId="0" applyFont="1" applyFill="1" applyBorder="1" applyAlignment="1">
      <alignment horizontal="right" vertical="center"/>
    </xf>
    <xf numFmtId="0" fontId="7" fillId="8" borderId="0" xfId="0" applyFont="1" applyFill="1" applyBorder="1" applyAlignment="1">
      <alignment horizontal="center" vertical="center"/>
    </xf>
    <xf numFmtId="49" fontId="5" fillId="0" borderId="0" xfId="0" applyNumberFormat="1" applyFont="1" applyBorder="1" applyAlignment="1">
      <alignment horizontal="center" vertical="center"/>
    </xf>
    <xf numFmtId="0" fontId="52" fillId="0" borderId="34" xfId="0" applyFont="1" applyBorder="1" applyAlignment="1">
      <alignment horizontal="center" shrinkToFit="1"/>
    </xf>
    <xf numFmtId="0" fontId="63" fillId="0" borderId="46" xfId="0" applyFont="1" applyBorder="1" applyAlignment="1">
      <alignment horizontal="center" shrinkToFit="1"/>
    </xf>
    <xf numFmtId="0" fontId="7" fillId="0" borderId="114" xfId="0" applyFont="1" applyFill="1" applyBorder="1" applyAlignment="1">
      <alignment horizontal="centerContinuous" vertical="center"/>
    </xf>
    <xf numFmtId="0" fontId="2" fillId="0" borderId="112" xfId="0" applyFont="1" applyFill="1" applyBorder="1" applyAlignment="1">
      <alignment horizontal="center" vertical="center"/>
    </xf>
    <xf numFmtId="0" fontId="2" fillId="0" borderId="75" xfId="0" quotePrefix="1" applyFont="1" applyFill="1" applyBorder="1" applyAlignment="1">
      <alignment horizontal="center" vertical="center" wrapText="1"/>
    </xf>
    <xf numFmtId="49" fontId="2" fillId="0" borderId="75" xfId="2" applyNumberFormat="1" applyFont="1" applyFill="1" applyBorder="1" applyAlignment="1">
      <alignment horizontal="center" vertical="center"/>
    </xf>
    <xf numFmtId="0" fontId="2" fillId="0" borderId="75" xfId="0" applyFont="1" applyFill="1" applyBorder="1" applyAlignment="1">
      <alignment horizontal="center" vertical="center" shrinkToFit="1"/>
    </xf>
    <xf numFmtId="1" fontId="2" fillId="0" borderId="76" xfId="0" applyNumberFormat="1" applyFont="1" applyFill="1" applyBorder="1" applyAlignment="1">
      <alignment horizontal="center" vertical="center"/>
    </xf>
    <xf numFmtId="0" fontId="2" fillId="0" borderId="113" xfId="0" quotePrefix="1" applyFont="1" applyFill="1" applyBorder="1" applyAlignment="1">
      <alignment horizontal="center" vertical="center"/>
    </xf>
    <xf numFmtId="0" fontId="2" fillId="0" borderId="100" xfId="0" applyFont="1" applyFill="1" applyBorder="1" applyAlignment="1">
      <alignment horizontal="center" vertical="center"/>
    </xf>
    <xf numFmtId="1" fontId="5" fillId="0" borderId="76" xfId="0" applyNumberFormat="1" applyFont="1" applyFill="1" applyBorder="1" applyAlignment="1">
      <alignment horizontal="center" vertical="center"/>
    </xf>
    <xf numFmtId="1" fontId="46" fillId="9" borderId="76" xfId="0" applyNumberFormat="1" applyFont="1" applyFill="1" applyBorder="1" applyAlignment="1">
      <alignment horizontal="center" vertical="center"/>
    </xf>
    <xf numFmtId="1" fontId="2" fillId="0" borderId="76" xfId="0" applyNumberFormat="1" applyFont="1" applyBorder="1" applyAlignment="1">
      <alignment horizontal="center" vertical="center"/>
    </xf>
    <xf numFmtId="0" fontId="2" fillId="0" borderId="113" xfId="0" quotePrefix="1" applyFont="1" applyBorder="1" applyAlignment="1">
      <alignment horizontal="center" vertical="center"/>
    </xf>
    <xf numFmtId="0" fontId="8" fillId="6" borderId="1" xfId="0" applyFont="1" applyFill="1" applyBorder="1" applyAlignment="1">
      <alignment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10" fillId="0" borderId="1" xfId="0" applyFont="1" applyFill="1" applyBorder="1" applyAlignment="1">
      <alignment vertical="center"/>
    </xf>
    <xf numFmtId="49" fontId="27" fillId="0" borderId="25" xfId="0" applyNumberFormat="1" applyFont="1" applyFill="1" applyBorder="1" applyAlignment="1">
      <alignment horizontal="center" vertical="center"/>
    </xf>
    <xf numFmtId="0" fontId="27" fillId="0" borderId="26" xfId="0" applyNumberFormat="1" applyFont="1" applyFill="1" applyBorder="1" applyAlignment="1">
      <alignment horizontal="center" vertical="center"/>
    </xf>
    <xf numFmtId="2" fontId="2" fillId="0" borderId="53" xfId="0" applyNumberFormat="1" applyFont="1" applyFill="1" applyBorder="1" applyAlignment="1">
      <alignment horizontal="center" vertical="center"/>
    </xf>
    <xf numFmtId="2" fontId="5" fillId="0" borderId="38" xfId="0" applyNumberFormat="1" applyFont="1" applyBorder="1" applyAlignment="1">
      <alignment horizontal="center" vertical="center" shrinkToFit="1"/>
    </xf>
    <xf numFmtId="2" fontId="5" fillId="0" borderId="34" xfId="0" applyNumberFormat="1" applyFont="1" applyBorder="1" applyAlignment="1">
      <alignment horizontal="center" vertical="center" shrinkToFit="1"/>
    </xf>
    <xf numFmtId="0" fontId="12" fillId="3" borderId="36" xfId="0" applyNumberFormat="1" applyFont="1" applyFill="1" applyBorder="1" applyAlignment="1">
      <alignment horizontal="center" vertical="center"/>
    </xf>
    <xf numFmtId="1" fontId="7" fillId="0" borderId="25" xfId="0" applyNumberFormat="1" applyFont="1" applyFill="1" applyBorder="1" applyAlignment="1">
      <alignment horizontal="center" vertical="center"/>
    </xf>
    <xf numFmtId="0" fontId="43" fillId="0" borderId="57" xfId="0" applyFont="1" applyFill="1" applyBorder="1" applyAlignment="1">
      <alignment horizontal="center" vertical="center"/>
    </xf>
    <xf numFmtId="1" fontId="7" fillId="0" borderId="57"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xf>
    <xf numFmtId="0" fontId="2" fillId="0" borderId="120" xfId="0" applyFont="1" applyFill="1" applyBorder="1" applyAlignment="1">
      <alignment horizontal="center" vertical="center" shrinkToFit="1"/>
    </xf>
    <xf numFmtId="0" fontId="2" fillId="0" borderId="121" xfId="0" applyFont="1" applyBorder="1" applyAlignment="1">
      <alignment horizontal="center" vertical="center" shrinkToFit="1"/>
    </xf>
    <xf numFmtId="164" fontId="5" fillId="0" borderId="122" xfId="0" applyNumberFormat="1" applyFont="1" applyBorder="1" applyAlignment="1">
      <alignment horizontal="center" vertical="center" shrinkToFit="1"/>
    </xf>
    <xf numFmtId="0" fontId="2" fillId="0" borderId="122" xfId="0" applyFont="1" applyBorder="1" applyAlignment="1">
      <alignment horizontal="left" vertical="center"/>
    </xf>
    <xf numFmtId="0" fontId="5" fillId="0" borderId="123" xfId="0" applyFont="1" applyBorder="1" applyAlignment="1">
      <alignment horizontal="left" vertical="center" shrinkToFit="1"/>
    </xf>
    <xf numFmtId="1" fontId="5" fillId="0" borderId="74" xfId="0" applyNumberFormat="1" applyFont="1" applyBorder="1" applyAlignment="1">
      <alignment horizontal="center" vertical="center" shrinkToFit="1"/>
    </xf>
    <xf numFmtId="0" fontId="64" fillId="0" borderId="31" xfId="0" applyFont="1" applyBorder="1" applyAlignment="1">
      <alignment horizontal="centerContinuous"/>
    </xf>
    <xf numFmtId="0" fontId="13" fillId="6" borderId="8" xfId="0" applyFont="1" applyFill="1" applyBorder="1" applyAlignment="1">
      <alignment vertical="center"/>
    </xf>
    <xf numFmtId="0" fontId="7" fillId="6" borderId="44" xfId="0" applyNumberFormat="1" applyFont="1" applyFill="1" applyBorder="1" applyAlignment="1">
      <alignment horizontal="center" vertical="center"/>
    </xf>
    <xf numFmtId="49" fontId="24" fillId="6" borderId="44" xfId="0" applyNumberFormat="1" applyFont="1" applyFill="1" applyBorder="1" applyAlignment="1">
      <alignment horizontal="center" vertical="center"/>
    </xf>
    <xf numFmtId="0" fontId="24" fillId="6" borderId="45" xfId="0" applyNumberFormat="1" applyFont="1" applyFill="1" applyBorder="1" applyAlignment="1">
      <alignment horizontal="center" vertical="center"/>
    </xf>
    <xf numFmtId="0" fontId="13" fillId="6" borderId="45" xfId="0" applyNumberFormat="1" applyFont="1" applyFill="1" applyBorder="1" applyAlignment="1">
      <alignment horizontal="center" vertical="center"/>
    </xf>
    <xf numFmtId="49" fontId="7" fillId="6" borderId="45" xfId="0" applyNumberFormat="1" applyFont="1" applyFill="1" applyBorder="1" applyAlignment="1">
      <alignment horizontal="center" vertical="center"/>
    </xf>
    <xf numFmtId="0" fontId="7" fillId="6" borderId="33" xfId="0" applyNumberFormat="1" applyFont="1" applyFill="1" applyBorder="1" applyAlignment="1">
      <alignment horizontal="center" vertical="center"/>
    </xf>
    <xf numFmtId="0" fontId="44" fillId="12" borderId="26" xfId="0" applyNumberFormat="1" applyFont="1" applyFill="1" applyBorder="1" applyAlignment="1">
      <alignment horizontal="center" vertical="center"/>
    </xf>
    <xf numFmtId="0" fontId="44" fillId="12" borderId="57" xfId="0" applyNumberFormat="1" applyFont="1" applyFill="1" applyBorder="1" applyAlignment="1">
      <alignment horizontal="center" vertical="center"/>
    </xf>
    <xf numFmtId="0" fontId="44" fillId="12" borderId="13" xfId="0" applyNumberFormat="1" applyFont="1" applyFill="1" applyBorder="1" applyAlignment="1">
      <alignment horizontal="center" vertical="center"/>
    </xf>
    <xf numFmtId="0" fontId="44" fillId="12" borderId="44" xfId="0" applyNumberFormat="1" applyFont="1" applyFill="1" applyBorder="1" applyAlignment="1">
      <alignment horizontal="center"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24"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43" fillId="12" borderId="35"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0" fontId="22" fillId="6" borderId="1" xfId="0" applyFont="1" applyFill="1" applyBorder="1" applyAlignment="1">
      <alignment vertical="center"/>
    </xf>
    <xf numFmtId="0" fontId="52" fillId="0" borderId="114" xfId="0" applyFont="1" applyBorder="1" applyAlignment="1">
      <alignment horizontal="center" shrinkToFit="1"/>
    </xf>
    <xf numFmtId="0" fontId="7" fillId="8" borderId="25" xfId="0" applyFont="1" applyFill="1" applyBorder="1" applyAlignment="1">
      <alignment horizontal="center" vertical="center"/>
    </xf>
    <xf numFmtId="0" fontId="16" fillId="8" borderId="26" xfId="0" applyFont="1" applyFill="1" applyBorder="1" applyAlignment="1">
      <alignment horizontal="center" vertical="center"/>
    </xf>
    <xf numFmtId="0" fontId="11" fillId="8" borderId="26" xfId="0" applyFont="1" applyFill="1" applyBorder="1" applyAlignment="1">
      <alignment horizontal="center" vertical="center"/>
    </xf>
    <xf numFmtId="0" fontId="44" fillId="12" borderId="26" xfId="0" applyFont="1" applyFill="1" applyBorder="1" applyAlignment="1">
      <alignment horizontal="center" vertical="center"/>
    </xf>
    <xf numFmtId="0" fontId="7" fillId="8" borderId="27" xfId="0" quotePrefix="1" applyFont="1" applyFill="1" applyBorder="1" applyAlignment="1">
      <alignment horizontal="center" vertical="center"/>
    </xf>
  </cellXfs>
  <cellStyles count="12">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3" xfId="11" xr:uid="{00000000-0005-0000-0000-000005000000}"/>
    <cellStyle name="Normal 3" xfId="8" xr:uid="{00000000-0005-0000-0000-000006000000}"/>
    <cellStyle name="Normal 4" xfId="9" xr:uid="{00000000-0005-0000-0000-000007000000}"/>
    <cellStyle name="Normal 5" xfId="7" xr:uid="{00000000-0005-0000-0000-000008000000}"/>
    <cellStyle name="Percent" xfId="2" builtinId="5"/>
    <cellStyle name="Percent 2" xfId="3" xr:uid="{00000000-0005-0000-0000-00000A000000}"/>
    <cellStyle name="Percent 2 2" xfId="10" xr:uid="{00000000-0005-0000-0000-00000B000000}"/>
  </cellStyles>
  <dxfs count="1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6600CC"/>
      <color rgb="FF009900"/>
      <color rgb="FF9966FF"/>
      <color rgb="FF00FF99"/>
      <color rgb="FF00FF00"/>
      <color rgb="FF0000FF"/>
      <color rgb="FF00CC66"/>
      <color rgb="FF66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81809</xdr:colOff>
      <xdr:row>1</xdr:row>
      <xdr:rowOff>76199</xdr:rowOff>
    </xdr:from>
    <xdr:to>
      <xdr:col>6</xdr:col>
      <xdr:colOff>1066800</xdr:colOff>
      <xdr:row>16</xdr:row>
      <xdr:rowOff>226182</xdr:rowOff>
    </xdr:to>
    <xdr:pic>
      <xdr:nvPicPr>
        <xdr:cNvPr id="4" name="Picture 3">
          <a:extLst>
            <a:ext uri="{FF2B5EF4-FFF2-40B4-BE49-F238E27FC236}">
              <a16:creationId xmlns:a16="http://schemas.microsoft.com/office/drawing/2014/main" id="{C1565F5F-6A66-492C-946D-1948E61CB769}"/>
            </a:ext>
          </a:extLst>
        </xdr:cNvPr>
        <xdr:cNvPicPr>
          <a:picLocks noChangeAspect="1"/>
        </xdr:cNvPicPr>
      </xdr:nvPicPr>
      <xdr:blipFill>
        <a:blip xmlns:r="http://schemas.openxmlformats.org/officeDocument/2006/relationships" r:embed="rId1"/>
        <a:stretch>
          <a:fillRect/>
        </a:stretch>
      </xdr:blipFill>
      <xdr:spPr>
        <a:xfrm>
          <a:off x="4326149" y="449579"/>
          <a:ext cx="2135611" cy="3396103"/>
        </a:xfrm>
        <a:prstGeom prst="rect">
          <a:avLst/>
        </a:prstGeom>
        <a:ln w="38100" cmpd="dbl">
          <a:solidFill>
            <a:srgbClr val="FFC000"/>
          </a:solidFill>
        </a:ln>
      </xdr:spPr>
    </xdr:pic>
    <xdr:clientData/>
  </xdr:twoCellAnchor>
  <xdr:twoCellAnchor>
    <xdr:from>
      <xdr:col>5</xdr:col>
      <xdr:colOff>45720</xdr:colOff>
      <xdr:row>15</xdr:row>
      <xdr:rowOff>1904</xdr:rowOff>
    </xdr:from>
    <xdr:to>
      <xdr:col>6</xdr:col>
      <xdr:colOff>1242060</xdr:colOff>
      <xdr:row>16</xdr:row>
      <xdr:rowOff>243840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290060" y="3400424"/>
          <a:ext cx="2316480" cy="462916"/>
        </a:xfrm>
        <a:prstGeom prst="rect">
          <a:avLst/>
        </a:prstGeom>
        <a:solidFill>
          <a:srgbClr xmlns:mc="http://schemas.openxmlformats.org/markup-compatibility/2006" xmlns:a14="http://schemas.microsoft.com/office/drawing/2010/main" val="CCFFFF" mc:Ignorable="a14" a14:legacySpreadsheetColorIndex="41">
            <a:alpha val="64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r>
            <a:rPr lang="en-US" sz="1200" b="1" i="0" baseline="0">
              <a:effectLst/>
              <a:latin typeface="Times New Roman" panose="02020603050405020304" pitchFamily="18" charset="0"/>
              <a:ea typeface="+mn-ea"/>
              <a:cs typeface="Times New Roman" panose="02020603050405020304" pitchFamily="18" charset="0"/>
            </a:rPr>
            <a:t>Current Effects:</a:t>
          </a:r>
          <a:endParaRPr lang="en-US" sz="1200" b="0" i="1" baseline="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41910</xdr:colOff>
      <xdr:row>17</xdr:row>
      <xdr:rowOff>51434</xdr:rowOff>
    </xdr:from>
    <xdr:to>
      <xdr:col>6</xdr:col>
      <xdr:colOff>1261110</xdr:colOff>
      <xdr:row>39</xdr:row>
      <xdr:rowOff>190499</xdr:rowOff>
    </xdr:to>
    <xdr:sp macro="" textlink="">
      <xdr:nvSpPr>
        <xdr:cNvPr id="5" name="Text 6">
          <a:extLst>
            <a:ext uri="{FF2B5EF4-FFF2-40B4-BE49-F238E27FC236}">
              <a16:creationId xmlns:a16="http://schemas.microsoft.com/office/drawing/2014/main" id="{A1E6F62E-C980-4693-83FE-BA392389D585}"/>
            </a:ext>
          </a:extLst>
        </xdr:cNvPr>
        <xdr:cNvSpPr txBox="1">
          <a:spLocks noChangeArrowheads="1"/>
        </xdr:cNvSpPr>
      </xdr:nvSpPr>
      <xdr:spPr bwMode="auto">
        <a:xfrm>
          <a:off x="41910" y="3762374"/>
          <a:ext cx="6499860" cy="505396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Medium brown skin, green pixie cut hair, blue eyes, curvy, considered tall for a gnome.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Saradette is Tassaran, from Tasseldale, the tassel (or town) of Tasselheart, located in the Dalelands near Sembria. Gnomes are a tiny minority among the mostly human Dalelanders, but they are well respected as craftsmen. Saradette's parents were gemcutters, supplying other craftsman in Tasseldale with superior gemstones for jewelry and magical uses. Her favorite uncle was a inveterate tinkerer, and Saradette became fascinated with his avocation. Her mother, who taught her how to use weapons, pick locks, and other tradecraft, was also an investigator for the Mairshars (local constabulary). Her father taught her about metalcraft and gemcutting.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Her mother became embroiled in a case against the Zhentarim, one of the Dale's bitter enemies. Saradette knew nothing of this until one evening when she and her mother were staying in Tegal's Mark, Tasseldale's administrative center. Her mother awakened her in the dead of night, bid her to dress, and pressed a small linen pouch into her hands. "You must flee," her mother said. "The Zhentarim and some within the Mairshars are conspiring to kill me, your father, and you. I will send for you when it is safe for you to return."</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So, Saradette fled, heading away from her home. Along the way, she bought weapons, armor, and other supplies, being careful to not display her wealth. She hasn't dared stay in one place for more than a single night since she left home.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Saradette has the optimism of the young, though it has been tempered with a deep concern for her parents. To the dismay of her family and her fellow Tassarans, Saradette believes strongly in the individual's right to choose their own path over devotion to law and order. A year ago, she became a follower of Mayaheine, as the goddess' message of helping the downtrodden and protecting the helpless appealed to her. Normally of cheerful demeanor and given to light conversation, Saradette has kept to herself in her travels, avoiding conversations and interactions with strangers.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230505</xdr:colOff>
      <xdr:row>1</xdr:row>
      <xdr:rowOff>123825</xdr:rowOff>
    </xdr:from>
    <xdr:to>
      <xdr:col>4</xdr:col>
      <xdr:colOff>116205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152400</xdr:colOff>
      <xdr:row>2</xdr:row>
      <xdr:rowOff>45720</xdr:rowOff>
    </xdr:from>
    <xdr:to>
      <xdr:col>9</xdr:col>
      <xdr:colOff>449580</xdr:colOff>
      <xdr:row>16</xdr:row>
      <xdr:rowOff>72507</xdr:rowOff>
    </xdr:to>
    <xdr:pic>
      <xdr:nvPicPr>
        <xdr:cNvPr id="2" name="Picture 1">
          <a:extLst>
            <a:ext uri="{FF2B5EF4-FFF2-40B4-BE49-F238E27FC236}">
              <a16:creationId xmlns:a16="http://schemas.microsoft.com/office/drawing/2014/main" id="{7614D129-001D-4793-AB15-D793CE7A97DE}"/>
            </a:ext>
          </a:extLst>
        </xdr:cNvPr>
        <xdr:cNvPicPr>
          <a:picLocks noChangeAspect="1"/>
        </xdr:cNvPicPr>
      </xdr:nvPicPr>
      <xdr:blipFill>
        <a:blip xmlns:r="http://schemas.openxmlformats.org/officeDocument/2006/relationships" r:embed="rId1"/>
        <a:stretch>
          <a:fillRect/>
        </a:stretch>
      </xdr:blipFill>
      <xdr:spPr>
        <a:xfrm>
          <a:off x="4030980" y="556260"/>
          <a:ext cx="1607820" cy="2930007"/>
        </a:xfrm>
        <a:prstGeom prst="rect">
          <a:avLst/>
        </a:prstGeom>
        <a:ln w="38100" cmpd="dbl">
          <a:solidFill>
            <a:srgbClr val="FFC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20%3cjoertexas@earthlink.net%3e?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Normal="100" workbookViewId="0"/>
  </sheetViews>
  <sheetFormatPr defaultColWidth="13" defaultRowHeight="15.6"/>
  <cols>
    <col min="1" max="1" width="16.8984375" style="148" bestFit="1" customWidth="1"/>
    <col min="2" max="2" width="10" style="150" customWidth="1"/>
    <col min="3" max="3" width="5.5" style="150" customWidth="1"/>
    <col min="4" max="4" width="13.69921875" style="148" bestFit="1" customWidth="1"/>
    <col min="5" max="5" width="9.59765625" style="150" bestFit="1" customWidth="1"/>
    <col min="6" max="6" width="15.09765625" style="148" customWidth="1"/>
    <col min="7" max="7" width="15.09765625" style="150" customWidth="1"/>
    <col min="8" max="16384" width="13" style="22"/>
  </cols>
  <sheetData>
    <row r="1" spans="1:7" ht="29.4" thickTop="1" thickBot="1">
      <c r="A1" s="153" t="s">
        <v>108</v>
      </c>
      <c r="B1" s="154" t="s">
        <v>109</v>
      </c>
      <c r="C1" s="155"/>
      <c r="D1" s="156"/>
      <c r="E1" s="157"/>
      <c r="F1" s="156"/>
      <c r="G1" s="158" t="s">
        <v>107</v>
      </c>
    </row>
    <row r="2" spans="1:7" ht="17.399999999999999" thickTop="1">
      <c r="A2" s="159" t="s">
        <v>162</v>
      </c>
      <c r="B2" s="160" t="s">
        <v>78</v>
      </c>
      <c r="C2" s="160"/>
      <c r="D2" s="161" t="s">
        <v>163</v>
      </c>
      <c r="E2" s="162" t="s">
        <v>148</v>
      </c>
      <c r="F2" s="163"/>
      <c r="G2" s="164"/>
    </row>
    <row r="3" spans="1:7" ht="16.8">
      <c r="A3" s="159" t="s">
        <v>164</v>
      </c>
      <c r="B3" s="160" t="s">
        <v>118</v>
      </c>
      <c r="C3" s="160"/>
      <c r="D3" s="161" t="s">
        <v>79</v>
      </c>
      <c r="E3" s="162">
        <v>2</v>
      </c>
      <c r="F3" s="161"/>
      <c r="G3" s="164"/>
    </row>
    <row r="4" spans="1:7" ht="16.8">
      <c r="A4" s="329" t="s">
        <v>164</v>
      </c>
      <c r="B4" s="330" t="s">
        <v>161</v>
      </c>
      <c r="C4" s="330"/>
      <c r="D4" s="331" t="s">
        <v>79</v>
      </c>
      <c r="E4" s="332">
        <v>0</v>
      </c>
      <c r="F4" s="161"/>
      <c r="G4" s="164"/>
    </row>
    <row r="5" spans="1:7" ht="16.8">
      <c r="A5" s="159" t="s">
        <v>165</v>
      </c>
      <c r="B5" s="160" t="s">
        <v>113</v>
      </c>
      <c r="C5" s="160"/>
      <c r="D5" s="161" t="s">
        <v>166</v>
      </c>
      <c r="E5" s="162" t="s">
        <v>111</v>
      </c>
      <c r="F5" s="161"/>
      <c r="G5" s="164"/>
    </row>
    <row r="6" spans="1:7" ht="16.8">
      <c r="A6" s="159" t="s">
        <v>167</v>
      </c>
      <c r="B6" s="160">
        <v>40</v>
      </c>
      <c r="C6" s="160"/>
      <c r="D6" s="161" t="s">
        <v>168</v>
      </c>
      <c r="E6" s="162" t="s">
        <v>112</v>
      </c>
      <c r="F6" s="161"/>
      <c r="G6" s="164"/>
    </row>
    <row r="7" spans="1:7" ht="16.8">
      <c r="A7" s="159" t="s">
        <v>169</v>
      </c>
      <c r="B7" s="160" t="s">
        <v>115</v>
      </c>
      <c r="C7" s="160"/>
      <c r="D7" s="161" t="s">
        <v>170</v>
      </c>
      <c r="E7" s="162" t="s">
        <v>110</v>
      </c>
      <c r="F7" s="161"/>
      <c r="G7" s="164"/>
    </row>
    <row r="8" spans="1:7" ht="17.399999999999999" thickBot="1">
      <c r="A8" s="159" t="s">
        <v>171</v>
      </c>
      <c r="B8" s="160" t="s">
        <v>114</v>
      </c>
      <c r="C8" s="160"/>
      <c r="D8" s="161"/>
      <c r="E8" s="162"/>
      <c r="F8" s="161"/>
      <c r="G8" s="164"/>
    </row>
    <row r="9" spans="1:7" ht="17.399999999999999" thickTop="1">
      <c r="A9" s="165" t="s">
        <v>172</v>
      </c>
      <c r="B9" s="319">
        <v>1</v>
      </c>
      <c r="C9" s="320"/>
      <c r="D9" s="166" t="s">
        <v>67</v>
      </c>
      <c r="E9" s="167" t="s">
        <v>196</v>
      </c>
      <c r="F9" s="168"/>
      <c r="G9" s="164"/>
    </row>
    <row r="10" spans="1:7" ht="17.399999999999999" thickBot="1">
      <c r="A10" s="169" t="s">
        <v>173</v>
      </c>
      <c r="B10" s="170" t="str">
        <f>C12</f>
        <v>+3</v>
      </c>
      <c r="C10" s="171"/>
      <c r="D10" s="296" t="s">
        <v>174</v>
      </c>
      <c r="E10" s="295">
        <v>1760</v>
      </c>
      <c r="F10" s="168"/>
      <c r="G10" s="164"/>
    </row>
    <row r="11" spans="1:7" ht="17.399999999999999" thickTop="1">
      <c r="A11" s="172" t="s">
        <v>175</v>
      </c>
      <c r="B11" s="321">
        <f>8+2</f>
        <v>10</v>
      </c>
      <c r="C11" s="173" t="str">
        <f>IF(B11&gt;9.9,CONCATENATE("+",ROUNDDOWN((B11-10)/2,0)),ROUNDUP((B11-10)/2,0))</f>
        <v>+0</v>
      </c>
      <c r="D11" s="174" t="s">
        <v>176</v>
      </c>
      <c r="E11" s="229" t="s">
        <v>149</v>
      </c>
      <c r="F11" s="168"/>
      <c r="G11" s="164"/>
    </row>
    <row r="12" spans="1:7" ht="16.8">
      <c r="A12" s="175" t="s">
        <v>177</v>
      </c>
      <c r="B12" s="228">
        <v>16</v>
      </c>
      <c r="C12" s="176" t="str">
        <f t="shared" ref="C12:C16" si="0">IF(B12&gt;9.9,CONCATENATE("+",ROUNDDOWN((B12-10)/2,0)),ROUNDUP((B12-10)/2,0))</f>
        <v>+3</v>
      </c>
      <c r="D12" s="177" t="s">
        <v>178</v>
      </c>
      <c r="E12" s="178">
        <f>SUM(Martial!G6:G20)+SUM(Equipment!C3:C17)</f>
        <v>18.2425</v>
      </c>
      <c r="F12" s="168"/>
      <c r="G12" s="164"/>
    </row>
    <row r="13" spans="1:7" ht="16.8">
      <c r="A13" s="179" t="s">
        <v>179</v>
      </c>
      <c r="B13" s="228">
        <v>13</v>
      </c>
      <c r="C13" s="181" t="str">
        <f t="shared" si="0"/>
        <v>+1</v>
      </c>
      <c r="D13" s="177" t="s">
        <v>180</v>
      </c>
      <c r="E13" s="182">
        <f>ROUNDUP(((E3*6)*0.75)+((E4*0)*0.75)+((E3+E4)*C13),0)</f>
        <v>11</v>
      </c>
      <c r="F13" s="168"/>
      <c r="G13" s="164"/>
    </row>
    <row r="14" spans="1:7" ht="16.8">
      <c r="A14" s="183" t="s">
        <v>181</v>
      </c>
      <c r="B14" s="228">
        <v>14</v>
      </c>
      <c r="C14" s="176" t="str">
        <f t="shared" si="0"/>
        <v>+2</v>
      </c>
      <c r="D14" s="184" t="s">
        <v>182</v>
      </c>
      <c r="E14" s="317">
        <f>11+C12</f>
        <v>14</v>
      </c>
      <c r="F14" s="243"/>
      <c r="G14" s="164"/>
    </row>
    <row r="15" spans="1:7" ht="16.8">
      <c r="A15" s="185" t="s">
        <v>183</v>
      </c>
      <c r="B15" s="180">
        <v>10</v>
      </c>
      <c r="C15" s="176" t="str">
        <f t="shared" si="0"/>
        <v>+0</v>
      </c>
      <c r="D15" s="184" t="s">
        <v>184</v>
      </c>
      <c r="E15" s="317">
        <f>E16-C12</f>
        <v>12</v>
      </c>
      <c r="F15" s="243"/>
      <c r="G15" s="164"/>
    </row>
    <row r="16" spans="1:7" ht="17.399999999999999" thickBot="1">
      <c r="A16" s="186" t="s">
        <v>185</v>
      </c>
      <c r="B16" s="187">
        <v>10</v>
      </c>
      <c r="C16" s="188" t="str">
        <f t="shared" si="0"/>
        <v>+0</v>
      </c>
      <c r="D16" s="189" t="s">
        <v>186</v>
      </c>
      <c r="E16" s="318">
        <f>E14+SUM(Martial!B14:B16)</f>
        <v>15</v>
      </c>
      <c r="F16" s="243"/>
      <c r="G16" s="164"/>
    </row>
    <row r="17" spans="1:7" s="5" customFormat="1" ht="24" thickTop="1" thickBot="1">
      <c r="A17" s="322" t="s">
        <v>116</v>
      </c>
      <c r="B17" s="323"/>
      <c r="C17" s="323"/>
      <c r="D17" s="324"/>
      <c r="E17" s="324"/>
      <c r="F17" s="324"/>
      <c r="G17" s="325"/>
    </row>
    <row r="18" spans="1:7" s="5" customFormat="1" ht="17.399999999999999" thickTop="1">
      <c r="A18" s="190"/>
      <c r="B18" s="191"/>
      <c r="C18" s="191"/>
      <c r="D18" s="191"/>
      <c r="E18" s="191"/>
      <c r="F18" s="191"/>
      <c r="G18" s="192"/>
    </row>
    <row r="19" spans="1:7" s="5" customFormat="1" ht="16.8">
      <c r="A19" s="193"/>
      <c r="B19" s="326"/>
      <c r="C19" s="326"/>
      <c r="D19" s="326"/>
      <c r="E19" s="326"/>
      <c r="F19" s="326"/>
      <c r="G19" s="194"/>
    </row>
    <row r="20" spans="1:7" s="5" customFormat="1" ht="16.8">
      <c r="A20" s="193"/>
      <c r="B20" s="326"/>
      <c r="C20" s="326"/>
      <c r="D20" s="326"/>
      <c r="E20" s="326"/>
      <c r="F20" s="326"/>
      <c r="G20" s="194"/>
    </row>
    <row r="21" spans="1:7" s="5" customFormat="1" ht="16.8">
      <c r="A21" s="193"/>
      <c r="B21" s="326"/>
      <c r="C21" s="326"/>
      <c r="D21" s="326"/>
      <c r="E21" s="326"/>
      <c r="F21" s="326"/>
      <c r="G21" s="194"/>
    </row>
    <row r="22" spans="1:7" s="5" customFormat="1" ht="16.8">
      <c r="A22" s="193"/>
      <c r="B22" s="326"/>
      <c r="C22" s="326"/>
      <c r="D22" s="326"/>
      <c r="E22" s="326"/>
      <c r="F22" s="326"/>
      <c r="G22" s="194"/>
    </row>
    <row r="23" spans="1:7" ht="16.8">
      <c r="A23" s="193"/>
      <c r="B23" s="326"/>
      <c r="C23" s="326"/>
      <c r="D23" s="326"/>
      <c r="E23" s="326"/>
      <c r="F23" s="326"/>
      <c r="G23" s="194"/>
    </row>
    <row r="24" spans="1:7" ht="16.8">
      <c r="A24" s="193"/>
      <c r="B24" s="326"/>
      <c r="C24" s="326"/>
      <c r="D24" s="326"/>
      <c r="E24" s="326"/>
      <c r="F24" s="326"/>
      <c r="G24" s="194"/>
    </row>
    <row r="25" spans="1:7" ht="16.8">
      <c r="A25" s="193"/>
      <c r="B25" s="326"/>
      <c r="C25" s="326"/>
      <c r="D25" s="326"/>
      <c r="E25" s="326"/>
      <c r="F25" s="326"/>
      <c r="G25" s="194"/>
    </row>
    <row r="26" spans="1:7" ht="16.8">
      <c r="A26" s="193"/>
      <c r="B26" s="326"/>
      <c r="C26" s="326"/>
      <c r="D26" s="326"/>
      <c r="E26" s="326"/>
      <c r="F26" s="326"/>
      <c r="G26" s="194"/>
    </row>
    <row r="27" spans="1:7" ht="16.8">
      <c r="A27" s="193"/>
      <c r="B27" s="326"/>
      <c r="C27" s="326"/>
      <c r="D27" s="326"/>
      <c r="E27" s="326"/>
      <c r="F27" s="326"/>
      <c r="G27" s="194"/>
    </row>
    <row r="28" spans="1:7" ht="16.8">
      <c r="A28" s="193"/>
      <c r="B28" s="326"/>
      <c r="C28" s="326"/>
      <c r="D28" s="326"/>
      <c r="E28" s="326"/>
      <c r="F28" s="326"/>
      <c r="G28" s="194"/>
    </row>
    <row r="29" spans="1:7" ht="16.8">
      <c r="A29" s="193"/>
      <c r="B29" s="326"/>
      <c r="C29" s="326"/>
      <c r="D29" s="326"/>
      <c r="E29" s="326"/>
      <c r="F29" s="326"/>
      <c r="G29" s="194"/>
    </row>
    <row r="30" spans="1:7" ht="16.8">
      <c r="A30" s="193"/>
      <c r="B30" s="326"/>
      <c r="C30" s="326"/>
      <c r="D30" s="326"/>
      <c r="E30" s="326"/>
      <c r="F30" s="326"/>
      <c r="G30" s="194"/>
    </row>
    <row r="31" spans="1:7" ht="16.8">
      <c r="A31" s="193"/>
      <c r="B31" s="326"/>
      <c r="C31" s="326"/>
      <c r="D31" s="326"/>
      <c r="E31" s="326"/>
      <c r="F31" s="326"/>
      <c r="G31" s="194"/>
    </row>
    <row r="32" spans="1:7" ht="16.8">
      <c r="A32" s="193"/>
      <c r="B32" s="326"/>
      <c r="C32" s="326"/>
      <c r="D32" s="326"/>
      <c r="E32" s="326"/>
      <c r="F32" s="326"/>
      <c r="G32" s="194"/>
    </row>
    <row r="33" spans="1:7" ht="16.8">
      <c r="A33" s="193"/>
      <c r="B33" s="326"/>
      <c r="C33" s="326"/>
      <c r="D33" s="326"/>
      <c r="E33" s="326"/>
      <c r="F33" s="326"/>
      <c r="G33" s="194"/>
    </row>
    <row r="34" spans="1:7" ht="16.8">
      <c r="A34" s="193"/>
      <c r="B34" s="326"/>
      <c r="C34" s="326"/>
      <c r="D34" s="326"/>
      <c r="E34" s="326"/>
      <c r="F34" s="326"/>
      <c r="G34" s="194"/>
    </row>
    <row r="35" spans="1:7" ht="16.8">
      <c r="A35" s="193"/>
      <c r="B35" s="326"/>
      <c r="C35" s="326"/>
      <c r="D35" s="326"/>
      <c r="E35" s="326"/>
      <c r="F35" s="326"/>
      <c r="G35" s="194"/>
    </row>
    <row r="36" spans="1:7" ht="16.8">
      <c r="A36" s="193"/>
      <c r="B36" s="326"/>
      <c r="C36" s="326"/>
      <c r="D36" s="326"/>
      <c r="E36" s="326"/>
      <c r="F36" s="326"/>
      <c r="G36" s="194"/>
    </row>
    <row r="37" spans="1:7" ht="16.8">
      <c r="A37" s="193"/>
      <c r="B37" s="326"/>
      <c r="C37" s="326"/>
      <c r="D37" s="326"/>
      <c r="E37" s="326"/>
      <c r="F37" s="326"/>
      <c r="G37" s="194"/>
    </row>
    <row r="38" spans="1:7" ht="16.8">
      <c r="A38" s="193"/>
      <c r="B38" s="326"/>
      <c r="C38" s="326"/>
      <c r="D38" s="326"/>
      <c r="E38" s="326"/>
      <c r="F38" s="326"/>
      <c r="G38" s="194"/>
    </row>
    <row r="39" spans="1:7" ht="16.8">
      <c r="A39" s="193"/>
      <c r="B39" s="326"/>
      <c r="C39" s="326"/>
      <c r="D39" s="326"/>
      <c r="E39" s="326"/>
      <c r="F39" s="326"/>
      <c r="G39" s="194"/>
    </row>
    <row r="40" spans="1:7" ht="17.399999999999999" thickBot="1">
      <c r="A40" s="195"/>
      <c r="B40" s="196"/>
      <c r="C40" s="196"/>
      <c r="D40" s="196"/>
      <c r="E40" s="196"/>
      <c r="F40" s="196"/>
      <c r="G40" s="197"/>
    </row>
    <row r="41" spans="1:7" ht="16.2" thickTop="1">
      <c r="A41" s="327"/>
      <c r="B41" s="328"/>
      <c r="C41" s="328"/>
      <c r="D41" s="327"/>
      <c r="E41" s="328"/>
      <c r="F41" s="327"/>
      <c r="G41" s="328"/>
    </row>
  </sheetData>
  <phoneticPr fontId="0" type="noConversion"/>
  <conditionalFormatting sqref="E12">
    <cfRule type="cellIs" dxfId="9" priority="1" stopIfTrue="1" operator="greaterThan">
      <formula>50</formula>
    </cfRule>
    <cfRule type="cellIs" dxfId="8" priority="2" stopIfTrue="1" operator="between">
      <formula>25</formula>
      <formula>50</formula>
    </cfRule>
  </conditionalFormatting>
  <hyperlinks>
    <hyperlink ref="G1" r:id="rId1" xr:uid="{F88A9D46-7E58-4EC8-80C0-E2FAC845C3DB}"/>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showGridLines="0" workbookViewId="0">
      <pane ySplit="2" topLeftCell="A3" activePane="bottomLeft" state="frozen"/>
      <selection pane="bottomLeft" activeCell="A3" sqref="A3"/>
    </sheetView>
  </sheetViews>
  <sheetFormatPr defaultColWidth="13" defaultRowHeight="15.6"/>
  <cols>
    <col min="1" max="1" width="32.796875" style="148" bestFit="1" customWidth="1"/>
    <col min="2" max="2" width="5.8984375" style="148" bestFit="1" customWidth="1"/>
    <col min="3" max="3" width="7.59765625" style="150" hidden="1" customWidth="1"/>
    <col min="4" max="4" width="7.19921875" style="150" hidden="1" customWidth="1"/>
    <col min="5" max="5" width="9.19921875" style="150" bestFit="1" customWidth="1"/>
    <col min="6" max="6" width="7.3984375" style="150" customWidth="1"/>
    <col min="7" max="7" width="6" style="151" bestFit="1" customWidth="1"/>
    <col min="8" max="8" width="5.19921875" style="151" bestFit="1" customWidth="1"/>
    <col min="9" max="9" width="7.5" style="151" customWidth="1"/>
    <col min="10" max="10" width="26.59765625" style="148" customWidth="1"/>
    <col min="11" max="16384" width="13" style="22"/>
  </cols>
  <sheetData>
    <row r="1" spans="1:10" ht="23.4" thickBot="1">
      <c r="A1" s="95" t="s">
        <v>6</v>
      </c>
      <c r="B1" s="96"/>
      <c r="C1" s="96"/>
      <c r="D1" s="96"/>
      <c r="E1" s="96"/>
      <c r="F1" s="96"/>
      <c r="G1" s="97"/>
      <c r="H1" s="97"/>
      <c r="I1" s="97"/>
      <c r="J1" s="96"/>
    </row>
    <row r="2" spans="1:10" s="5" customFormat="1" ht="34.200000000000003" thickBot="1">
      <c r="A2" s="1" t="s">
        <v>82</v>
      </c>
      <c r="B2" s="2" t="s">
        <v>20</v>
      </c>
      <c r="C2" s="2" t="s">
        <v>27</v>
      </c>
      <c r="D2" s="2" t="s">
        <v>19</v>
      </c>
      <c r="E2" s="3" t="s">
        <v>52</v>
      </c>
      <c r="F2" s="3" t="s">
        <v>28</v>
      </c>
      <c r="G2" s="360" t="s">
        <v>54</v>
      </c>
      <c r="H2" s="395" t="s">
        <v>75</v>
      </c>
      <c r="I2" s="360" t="s">
        <v>65</v>
      </c>
      <c r="J2" s="4" t="s">
        <v>63</v>
      </c>
    </row>
    <row r="3" spans="1:10" s="5" customFormat="1" ht="16.8">
      <c r="A3" s="220" t="s">
        <v>99</v>
      </c>
      <c r="B3" s="221">
        <v>0</v>
      </c>
      <c r="C3" s="93" t="s">
        <v>22</v>
      </c>
      <c r="D3" s="93" t="str">
        <f>IF(C3="Str",'Personal File'!$C$11,IF(C3="Dex",'Personal File'!$C$12,IF(C3="Con",'Personal File'!$C$13,IF(C3="Int",'Personal File'!$C$14,IF(C3="Wis",'Personal File'!$C$15,IF(C3="Cha",'Personal File'!$C$16))))))</f>
        <v>+1</v>
      </c>
      <c r="E3" s="224" t="str">
        <f t="shared" ref="E3" si="0">CONCATENATE(C3," (",D3,")")</f>
        <v>Con (+1)</v>
      </c>
      <c r="F3" s="93">
        <v>3</v>
      </c>
      <c r="G3" s="361">
        <f t="shared" ref="G3:G4" si="1">B3+D3+F3</f>
        <v>4</v>
      </c>
      <c r="H3" s="379">
        <f t="shared" ref="H3:H40" ca="1" si="2">RANDBETWEEN(1,20)</f>
        <v>2</v>
      </c>
      <c r="I3" s="198">
        <f t="shared" ref="I3:I4" ca="1" si="3">SUM(G3:H3)</f>
        <v>6</v>
      </c>
      <c r="J3" s="244"/>
    </row>
    <row r="4" spans="1:10" s="5" customFormat="1" ht="16.8">
      <c r="A4" s="222" t="s">
        <v>100</v>
      </c>
      <c r="B4" s="221">
        <v>3</v>
      </c>
      <c r="C4" s="93" t="s">
        <v>25</v>
      </c>
      <c r="D4" s="93" t="str">
        <f>IF(C4="Str",'Personal File'!$C$11,IF(C4="Dex",'Personal File'!$C$12,IF(C4="Con",'Personal File'!$C$13,IF(C4="Int",'Personal File'!$C$14,IF(C4="Wis",'Personal File'!$C$15,IF(C4="Cha",'Personal File'!$C$16))))))</f>
        <v>+3</v>
      </c>
      <c r="E4" s="98" t="str">
        <f t="shared" ref="E4" si="4">CONCATENATE(C4," (",D4,")")</f>
        <v>Dex (+3)</v>
      </c>
      <c r="F4" s="115">
        <v>3</v>
      </c>
      <c r="G4" s="361">
        <f t="shared" si="1"/>
        <v>9</v>
      </c>
      <c r="H4" s="379">
        <f t="shared" ca="1" si="2"/>
        <v>10</v>
      </c>
      <c r="I4" s="198">
        <f t="shared" ca="1" si="3"/>
        <v>19</v>
      </c>
      <c r="J4" s="147"/>
    </row>
    <row r="5" spans="1:10" s="5" customFormat="1" ht="16.8">
      <c r="A5" s="99" t="s">
        <v>56</v>
      </c>
      <c r="B5" s="100">
        <v>0</v>
      </c>
      <c r="C5" s="101" t="s">
        <v>24</v>
      </c>
      <c r="D5" s="101" t="str">
        <f>IF(C5="Str",'Personal File'!$C$11,IF(C5="Dex",'Personal File'!$C$12,IF(C5="Con",'Personal File'!$C$13,IF(C5="Int",'Personal File'!$C$14,IF(C5="Wis",'Personal File'!$C$15,IF(C5="Cha",'Personal File'!$C$16))))))</f>
        <v>+0</v>
      </c>
      <c r="E5" s="362" t="str">
        <f t="shared" ref="E5:E6" si="5">CONCATENATE(C5," (",D5,")")</f>
        <v>Wis (+0)</v>
      </c>
      <c r="F5" s="101">
        <v>3</v>
      </c>
      <c r="G5" s="363">
        <f t="shared" ref="G5:G41" si="6">B5+D5+F5</f>
        <v>3</v>
      </c>
      <c r="H5" s="380">
        <f t="shared" ca="1" si="2"/>
        <v>17</v>
      </c>
      <c r="I5" s="364">
        <f t="shared" ref="I5" ca="1" si="7">SUM(G5:H5)</f>
        <v>20</v>
      </c>
      <c r="J5" s="223"/>
    </row>
    <row r="6" spans="1:10" s="109" customFormat="1" ht="16.8">
      <c r="A6" s="123" t="s">
        <v>29</v>
      </c>
      <c r="B6" s="94">
        <v>0</v>
      </c>
      <c r="C6" s="124" t="s">
        <v>23</v>
      </c>
      <c r="D6" s="125" t="str">
        <f>IF(C6="Str",'Personal File'!$C$11,IF(C6="Dex",'Personal File'!$C$12,IF(C6="Con",'Personal File'!$C$13,IF(C6="Int",'Personal File'!$C$14,IF(C6="Wis",'Personal File'!$C$15,IF(C6="Cha",'Personal File'!$C$16))))))</f>
        <v>+2</v>
      </c>
      <c r="E6" s="126" t="str">
        <f t="shared" si="5"/>
        <v>Int (+2)</v>
      </c>
      <c r="F6" s="115" t="s">
        <v>53</v>
      </c>
      <c r="G6" s="115">
        <f t="shared" si="6"/>
        <v>2</v>
      </c>
      <c r="H6" s="381">
        <f t="shared" ca="1" si="2"/>
        <v>12</v>
      </c>
      <c r="I6" s="115">
        <f ca="1">SUM(G6:H6)</f>
        <v>14</v>
      </c>
      <c r="J6" s="147"/>
    </row>
    <row r="7" spans="1:10" s="110" customFormat="1" ht="16.8">
      <c r="A7" s="239" t="s">
        <v>30</v>
      </c>
      <c r="B7" s="103">
        <v>4</v>
      </c>
      <c r="C7" s="240" t="s">
        <v>25</v>
      </c>
      <c r="D7" s="241" t="str">
        <f>IF(C7="Str",'Personal File'!$C$11,IF(C7="Dex",'Personal File'!$C$12,IF(C7="Con",'Personal File'!$C$13,IF(C7="Int",'Personal File'!$C$14,IF(C7="Wis",'Personal File'!$C$15,IF(C7="Cha",'Personal File'!$C$16))))))</f>
        <v>+3</v>
      </c>
      <c r="E7" s="242" t="str">
        <f t="shared" ref="E7:E41" si="8">CONCATENATE(C7," (",D7,")")</f>
        <v>Dex (+3)</v>
      </c>
      <c r="F7" s="107" t="s">
        <v>53</v>
      </c>
      <c r="G7" s="107">
        <f t="shared" si="6"/>
        <v>7</v>
      </c>
      <c r="H7" s="379">
        <f t="shared" ca="1" si="2"/>
        <v>19</v>
      </c>
      <c r="I7" s="107">
        <f t="shared" ref="I7" ca="1" si="9">SUM(G7:H7)</f>
        <v>26</v>
      </c>
      <c r="J7" s="146"/>
    </row>
    <row r="8" spans="1:10" s="117" customFormat="1" ht="16.8">
      <c r="A8" s="111" t="s">
        <v>31</v>
      </c>
      <c r="B8" s="94">
        <v>0</v>
      </c>
      <c r="C8" s="112" t="s">
        <v>21</v>
      </c>
      <c r="D8" s="113" t="str">
        <f>IF(C8="Str",'Personal File'!$C$11,IF(C8="Dex",'Personal File'!$C$12,IF(C8="Con",'Personal File'!$C$13,IF(C8="Int",'Personal File'!$C$14,IF(C8="Wis",'Personal File'!$C$15,IF(C8="Cha",'Personal File'!$C$16))))))</f>
        <v>+0</v>
      </c>
      <c r="E8" s="114" t="str">
        <f t="shared" si="8"/>
        <v>Cha (+0)</v>
      </c>
      <c r="F8" s="115" t="s">
        <v>53</v>
      </c>
      <c r="G8" s="115">
        <f t="shared" si="6"/>
        <v>0</v>
      </c>
      <c r="H8" s="379">
        <f t="shared" ca="1" si="2"/>
        <v>7</v>
      </c>
      <c r="I8" s="115">
        <f t="shared" ref="I8:I41" ca="1" si="10">SUM(G8:H8)</f>
        <v>7</v>
      </c>
      <c r="J8" s="147"/>
    </row>
    <row r="9" spans="1:10" s="118" customFormat="1" ht="16.8">
      <c r="A9" s="348" t="s">
        <v>32</v>
      </c>
      <c r="B9" s="103">
        <v>6</v>
      </c>
      <c r="C9" s="349" t="s">
        <v>26</v>
      </c>
      <c r="D9" s="350" t="str">
        <f>IF(C9="Str",'Personal File'!$C$11,IF(C9="Dex",'Personal File'!$C$12,IF(C9="Con",'Personal File'!$C$13,IF(C9="Int",'Personal File'!$C$14,IF(C9="Wis",'Personal File'!$C$15,IF(C9="Cha",'Personal File'!$C$16))))))</f>
        <v>+0</v>
      </c>
      <c r="E9" s="351" t="str">
        <f t="shared" si="8"/>
        <v>Str (+0)</v>
      </c>
      <c r="F9" s="107" t="s">
        <v>53</v>
      </c>
      <c r="G9" s="107">
        <f t="shared" si="6"/>
        <v>6</v>
      </c>
      <c r="H9" s="379">
        <f t="shared" ca="1" si="2"/>
        <v>9</v>
      </c>
      <c r="I9" s="107">
        <f t="shared" ca="1" si="10"/>
        <v>15</v>
      </c>
      <c r="J9" s="146"/>
    </row>
    <row r="10" spans="1:10" s="118" customFormat="1" ht="16.8">
      <c r="A10" s="354" t="s">
        <v>7</v>
      </c>
      <c r="B10" s="94">
        <v>0</v>
      </c>
      <c r="C10" s="355" t="s">
        <v>22</v>
      </c>
      <c r="D10" s="356" t="str">
        <f>IF(C10="Str",'Personal File'!$C$11,IF(C10="Dex",'Personal File'!$C$12,IF(C10="Con",'Personal File'!$C$13,IF(C10="Int",'Personal File'!$C$14,IF(C10="Wis",'Personal File'!$C$15,IF(C10="Cha",'Personal File'!$C$16))))))</f>
        <v>+1</v>
      </c>
      <c r="E10" s="224" t="str">
        <f t="shared" si="8"/>
        <v>Con (+1)</v>
      </c>
      <c r="F10" s="115" t="s">
        <v>53</v>
      </c>
      <c r="G10" s="115">
        <f t="shared" si="6"/>
        <v>1</v>
      </c>
      <c r="H10" s="379">
        <f t="shared" ca="1" si="2"/>
        <v>14</v>
      </c>
      <c r="I10" s="115">
        <f t="shared" ca="1" si="10"/>
        <v>15</v>
      </c>
      <c r="J10" s="147"/>
    </row>
    <row r="11" spans="1:10" s="109" customFormat="1" ht="16.8">
      <c r="A11" s="102" t="s">
        <v>147</v>
      </c>
      <c r="B11" s="103">
        <v>4</v>
      </c>
      <c r="C11" s="104" t="s">
        <v>23</v>
      </c>
      <c r="D11" s="105" t="str">
        <f>IF(C11="Str",'Personal File'!$C$11,IF(C11="Dex",'Personal File'!$C$12,IF(C11="Con",'Personal File'!$C$13,IF(C11="Int",'Personal File'!$C$14,IF(C11="Wis",'Personal File'!$C$15,IF(C11="Cha",'Personal File'!$C$16))))))</f>
        <v>+2</v>
      </c>
      <c r="E11" s="106" t="str">
        <f t="shared" si="8"/>
        <v>Int (+2)</v>
      </c>
      <c r="F11" s="107" t="s">
        <v>53</v>
      </c>
      <c r="G11" s="107">
        <f t="shared" si="6"/>
        <v>6</v>
      </c>
      <c r="H11" s="379">
        <f t="shared" ca="1" si="2"/>
        <v>5</v>
      </c>
      <c r="I11" s="352">
        <f t="shared" ca="1" si="10"/>
        <v>11</v>
      </c>
      <c r="J11" s="353"/>
    </row>
    <row r="12" spans="1:10" s="119" customFormat="1" ht="16.8">
      <c r="A12" s="142" t="s">
        <v>33</v>
      </c>
      <c r="B12" s="128">
        <v>0</v>
      </c>
      <c r="C12" s="143" t="s">
        <v>23</v>
      </c>
      <c r="D12" s="144" t="str">
        <f>IF(C12="Str",'Personal File'!$C$11,IF(C12="Dex",'Personal File'!$C$12,IF(C12="Con",'Personal File'!$C$13,IF(C12="Int",'Personal File'!$C$14,IF(C12="Wis",'Personal File'!$C$15,IF(C12="Cha",'Personal File'!$C$16))))))</f>
        <v>+2</v>
      </c>
      <c r="E12" s="145" t="str">
        <f t="shared" si="8"/>
        <v>Int (+2)</v>
      </c>
      <c r="F12" s="132" t="s">
        <v>53</v>
      </c>
      <c r="G12" s="132">
        <f t="shared" si="6"/>
        <v>2</v>
      </c>
      <c r="H12" s="379">
        <f t="shared" ca="1" si="2"/>
        <v>19</v>
      </c>
      <c r="I12" s="132">
        <f t="shared" ca="1" si="10"/>
        <v>21</v>
      </c>
      <c r="J12" s="245"/>
    </row>
    <row r="13" spans="1:10" s="110" customFormat="1" ht="16.8">
      <c r="A13" s="111" t="s">
        <v>34</v>
      </c>
      <c r="B13" s="94">
        <v>0</v>
      </c>
      <c r="C13" s="112" t="s">
        <v>21</v>
      </c>
      <c r="D13" s="113" t="str">
        <f>IF(C13="Str",'Personal File'!$C$11,IF(C13="Dex",'Personal File'!$C$12,IF(C13="Con",'Personal File'!$C$13,IF(C13="Int",'Personal File'!$C$14,IF(C13="Wis",'Personal File'!$C$15,IF(C13="Cha",'Personal File'!$C$16))))))</f>
        <v>+0</v>
      </c>
      <c r="E13" s="114" t="str">
        <f t="shared" si="8"/>
        <v>Cha (+0)</v>
      </c>
      <c r="F13" s="115" t="s">
        <v>53</v>
      </c>
      <c r="G13" s="115">
        <f t="shared" si="6"/>
        <v>0</v>
      </c>
      <c r="H13" s="379">
        <f t="shared" ca="1" si="2"/>
        <v>10</v>
      </c>
      <c r="I13" s="115">
        <f t="shared" ca="1" si="10"/>
        <v>10</v>
      </c>
      <c r="J13" s="147"/>
    </row>
    <row r="14" spans="1:10" s="110" customFormat="1" ht="16.8">
      <c r="A14" s="102" t="s">
        <v>35</v>
      </c>
      <c r="B14" s="103">
        <v>4</v>
      </c>
      <c r="C14" s="104" t="s">
        <v>23</v>
      </c>
      <c r="D14" s="105" t="str">
        <f>IF(C14="Str",'Personal File'!$C$11,IF(C14="Dex",'Personal File'!$C$12,IF(C14="Con",'Personal File'!$C$13,IF(C14="Int",'Personal File'!$C$14,IF(C14="Wis",'Personal File'!$C$15,IF(C14="Cha",'Personal File'!$C$16))))))</f>
        <v>+2</v>
      </c>
      <c r="E14" s="106" t="str">
        <f t="shared" si="8"/>
        <v>Int (+2)</v>
      </c>
      <c r="F14" s="107" t="s">
        <v>53</v>
      </c>
      <c r="G14" s="107">
        <f t="shared" si="6"/>
        <v>6</v>
      </c>
      <c r="H14" s="379">
        <f t="shared" ca="1" si="2"/>
        <v>4</v>
      </c>
      <c r="I14" s="107">
        <f t="shared" ca="1" si="10"/>
        <v>10</v>
      </c>
      <c r="J14" s="146"/>
    </row>
    <row r="15" spans="1:10" s="110" customFormat="1" ht="16.8">
      <c r="A15" s="111" t="s">
        <v>36</v>
      </c>
      <c r="B15" s="94">
        <v>0</v>
      </c>
      <c r="C15" s="112" t="s">
        <v>21</v>
      </c>
      <c r="D15" s="113" t="str">
        <f>IF(C15="Str",'Personal File'!$C$11,IF(C15="Dex",'Personal File'!$C$12,IF(C15="Con",'Personal File'!$C$13,IF(C15="Int",'Personal File'!$C$14,IF(C15="Wis",'Personal File'!$C$15,IF(C15="Cha",'Personal File'!$C$16))))))</f>
        <v>+0</v>
      </c>
      <c r="E15" s="114" t="str">
        <f t="shared" si="8"/>
        <v>Cha (+0)</v>
      </c>
      <c r="F15" s="115" t="s">
        <v>53</v>
      </c>
      <c r="G15" s="115">
        <f t="shared" si="6"/>
        <v>0</v>
      </c>
      <c r="H15" s="379">
        <f t="shared" ca="1" si="2"/>
        <v>14</v>
      </c>
      <c r="I15" s="115">
        <f t="shared" ca="1" si="10"/>
        <v>14</v>
      </c>
      <c r="J15" s="147"/>
    </row>
    <row r="16" spans="1:10" s="110" customFormat="1" ht="16.8">
      <c r="A16" s="120" t="s">
        <v>37</v>
      </c>
      <c r="B16" s="94">
        <v>0</v>
      </c>
      <c r="C16" s="121" t="s">
        <v>25</v>
      </c>
      <c r="D16" s="122" t="str">
        <f>IF(C16="Str",'Personal File'!$C$11,IF(C16="Dex",'Personal File'!$C$12,IF(C16="Con",'Personal File'!$C$13,IF(C16="Int",'Personal File'!$C$14,IF(C16="Wis",'Personal File'!$C$15,IF(C16="Cha",'Personal File'!$C$16))))))</f>
        <v>+3</v>
      </c>
      <c r="E16" s="98" t="str">
        <f t="shared" si="8"/>
        <v>Dex (+3)</v>
      </c>
      <c r="F16" s="115" t="s">
        <v>53</v>
      </c>
      <c r="G16" s="115">
        <f t="shared" si="6"/>
        <v>3</v>
      </c>
      <c r="H16" s="379">
        <f t="shared" ca="1" si="2"/>
        <v>14</v>
      </c>
      <c r="I16" s="115">
        <f t="shared" ca="1" si="10"/>
        <v>17</v>
      </c>
      <c r="J16" s="147"/>
    </row>
    <row r="17" spans="1:10" s="110" customFormat="1" ht="16.8">
      <c r="A17" s="123" t="s">
        <v>38</v>
      </c>
      <c r="B17" s="94">
        <v>0</v>
      </c>
      <c r="C17" s="124" t="s">
        <v>23</v>
      </c>
      <c r="D17" s="125" t="str">
        <f>IF(C17="Str",'Personal File'!$C$11,IF(C17="Dex",'Personal File'!$C$12,IF(C17="Con",'Personal File'!$C$13,IF(C17="Int",'Personal File'!$C$14,IF(C17="Wis",'Personal File'!$C$15,IF(C17="Cha",'Personal File'!$C$16))))))</f>
        <v>+2</v>
      </c>
      <c r="E17" s="126" t="str">
        <f t="shared" si="8"/>
        <v>Int (+2)</v>
      </c>
      <c r="F17" s="115" t="s">
        <v>53</v>
      </c>
      <c r="G17" s="115">
        <f t="shared" si="6"/>
        <v>2</v>
      </c>
      <c r="H17" s="379">
        <f t="shared" ca="1" si="2"/>
        <v>3</v>
      </c>
      <c r="I17" s="115">
        <f t="shared" ca="1" si="10"/>
        <v>5</v>
      </c>
      <c r="J17" s="147"/>
    </row>
    <row r="18" spans="1:10" s="110" customFormat="1" ht="16.8">
      <c r="A18" s="111" t="s">
        <v>39</v>
      </c>
      <c r="B18" s="94">
        <v>0</v>
      </c>
      <c r="C18" s="112" t="s">
        <v>21</v>
      </c>
      <c r="D18" s="113" t="str">
        <f>IF(C18="Str",'Personal File'!$C$11,IF(C18="Dex",'Personal File'!$C$12,IF(C18="Con",'Personal File'!$C$13,IF(C18="Int",'Personal File'!$C$14,IF(C18="Wis",'Personal File'!$C$15,IF(C18="Cha",'Personal File'!$C$16))))))</f>
        <v>+0</v>
      </c>
      <c r="E18" s="114" t="str">
        <f t="shared" si="8"/>
        <v>Cha (+0)</v>
      </c>
      <c r="F18" s="115" t="s">
        <v>53</v>
      </c>
      <c r="G18" s="115">
        <f t="shared" si="6"/>
        <v>0</v>
      </c>
      <c r="H18" s="379">
        <f t="shared" ca="1" si="2"/>
        <v>5</v>
      </c>
      <c r="I18" s="115">
        <f t="shared" ca="1" si="10"/>
        <v>5</v>
      </c>
      <c r="J18" s="147"/>
    </row>
    <row r="19" spans="1:10" s="110" customFormat="1" ht="16.8">
      <c r="A19" s="127" t="s">
        <v>9</v>
      </c>
      <c r="B19" s="128">
        <v>0</v>
      </c>
      <c r="C19" s="129" t="s">
        <v>21</v>
      </c>
      <c r="D19" s="130" t="str">
        <f>IF(C19="Str",'Personal File'!$C$11,IF(C19="Dex",'Personal File'!$C$12,IF(C19="Con",'Personal File'!$C$13,IF(C19="Int",'Personal File'!$C$14,IF(C19="Wis",'Personal File'!$C$15,IF(C19="Cha",'Personal File'!$C$16))))))</f>
        <v>+0</v>
      </c>
      <c r="E19" s="131" t="str">
        <f t="shared" si="8"/>
        <v>Cha (+0)</v>
      </c>
      <c r="F19" s="132" t="s">
        <v>53</v>
      </c>
      <c r="G19" s="132">
        <f t="shared" si="6"/>
        <v>0</v>
      </c>
      <c r="H19" s="379">
        <f t="shared" ca="1" si="2"/>
        <v>13</v>
      </c>
      <c r="I19" s="132">
        <f t="shared" ca="1" si="10"/>
        <v>13</v>
      </c>
      <c r="J19" s="245"/>
    </row>
    <row r="20" spans="1:10" s="110" customFormat="1" ht="16.8">
      <c r="A20" s="134" t="s">
        <v>40</v>
      </c>
      <c r="B20" s="94">
        <v>0</v>
      </c>
      <c r="C20" s="135" t="s">
        <v>24</v>
      </c>
      <c r="D20" s="136" t="str">
        <f>IF(C20="Str",'Personal File'!$C$11,IF(C20="Dex",'Personal File'!$C$12,IF(C20="Con",'Personal File'!$C$13,IF(C20="Int",'Personal File'!$C$14,IF(C20="Wis",'Personal File'!$C$15,IF(C20="Cha",'Personal File'!$C$16))))))</f>
        <v>+0</v>
      </c>
      <c r="E20" s="137" t="str">
        <f t="shared" si="8"/>
        <v>Wis (+0)</v>
      </c>
      <c r="F20" s="115" t="s">
        <v>53</v>
      </c>
      <c r="G20" s="115">
        <f t="shared" si="6"/>
        <v>0</v>
      </c>
      <c r="H20" s="379">
        <f t="shared" ca="1" si="2"/>
        <v>11</v>
      </c>
      <c r="I20" s="115">
        <f t="shared" ca="1" si="10"/>
        <v>11</v>
      </c>
      <c r="J20" s="147"/>
    </row>
    <row r="21" spans="1:10" s="110" customFormat="1" ht="16.8">
      <c r="A21" s="239" t="s">
        <v>41</v>
      </c>
      <c r="B21" s="103">
        <v>4</v>
      </c>
      <c r="C21" s="240" t="s">
        <v>25</v>
      </c>
      <c r="D21" s="241" t="str">
        <f>IF(C21="Str",'Personal File'!$C$11,IF(C21="Dex",'Personal File'!$C$12,IF(C21="Con",'Personal File'!$C$13,IF(C21="Int",'Personal File'!$C$14,IF(C21="Wis",'Personal File'!$C$15,IF(C21="Cha",'Personal File'!$C$16))))))</f>
        <v>+3</v>
      </c>
      <c r="E21" s="242" t="str">
        <f t="shared" si="8"/>
        <v>Dex (+3)</v>
      </c>
      <c r="F21" s="107" t="s">
        <v>94</v>
      </c>
      <c r="G21" s="107">
        <f t="shared" si="6"/>
        <v>11</v>
      </c>
      <c r="H21" s="379">
        <f t="shared" ca="1" si="2"/>
        <v>3</v>
      </c>
      <c r="I21" s="107">
        <f t="shared" ca="1" si="10"/>
        <v>14</v>
      </c>
      <c r="J21" s="146"/>
    </row>
    <row r="22" spans="1:10" s="110" customFormat="1" ht="16.8">
      <c r="A22" s="111" t="s">
        <v>42</v>
      </c>
      <c r="B22" s="94">
        <v>0</v>
      </c>
      <c r="C22" s="112" t="s">
        <v>21</v>
      </c>
      <c r="D22" s="113" t="str">
        <f>IF(C22="Str",'Personal File'!$C$11,IF(C22="Dex",'Personal File'!$C$12,IF(C22="Con",'Personal File'!$C$13,IF(C22="Int",'Personal File'!$C$14,IF(C22="Wis",'Personal File'!$C$15,IF(C22="Cha",'Personal File'!$C$16))))))</f>
        <v>+0</v>
      </c>
      <c r="E22" s="114" t="str">
        <f t="shared" si="8"/>
        <v>Cha (+0)</v>
      </c>
      <c r="F22" s="115" t="s">
        <v>53</v>
      </c>
      <c r="G22" s="115">
        <f t="shared" si="6"/>
        <v>0</v>
      </c>
      <c r="H22" s="379">
        <f t="shared" ca="1" si="2"/>
        <v>7</v>
      </c>
      <c r="I22" s="115">
        <f t="shared" ca="1" si="10"/>
        <v>7</v>
      </c>
      <c r="J22" s="147"/>
    </row>
    <row r="23" spans="1:10" s="110" customFormat="1" ht="16.8">
      <c r="A23" s="138" t="s">
        <v>43</v>
      </c>
      <c r="B23" s="94">
        <v>0</v>
      </c>
      <c r="C23" s="139" t="s">
        <v>26</v>
      </c>
      <c r="D23" s="140" t="str">
        <f>IF(C23="Str",'Personal File'!$C$11,IF(C23="Dex",'Personal File'!$C$12,IF(C23="Con",'Personal File'!$C$13,IF(C23="Int",'Personal File'!$C$14,IF(C23="Wis",'Personal File'!$C$15,IF(C23="Cha",'Personal File'!$C$16))))))</f>
        <v>+0</v>
      </c>
      <c r="E23" s="141" t="str">
        <f t="shared" si="8"/>
        <v>Str (+0)</v>
      </c>
      <c r="F23" s="115" t="s">
        <v>53</v>
      </c>
      <c r="G23" s="115">
        <f t="shared" si="6"/>
        <v>0</v>
      </c>
      <c r="H23" s="379">
        <f t="shared" ca="1" si="2"/>
        <v>18</v>
      </c>
      <c r="I23" s="115">
        <f t="shared" ca="1" si="10"/>
        <v>18</v>
      </c>
      <c r="J23" s="147"/>
    </row>
    <row r="24" spans="1:10" s="110" customFormat="1" ht="16.8">
      <c r="A24" s="142" t="s">
        <v>68</v>
      </c>
      <c r="B24" s="399">
        <v>0</v>
      </c>
      <c r="C24" s="143" t="s">
        <v>23</v>
      </c>
      <c r="D24" s="400" t="str">
        <f>IF(C24="Str",'Personal File'!$C$11,IF(C24="Dex",'Personal File'!$C$12,IF(C24="Con",'Personal File'!$C$13,IF(C24="Int",'Personal File'!$C$14,IF(C24="Wis",'Personal File'!$C$15,IF(C24="Cha",'Personal File'!$C$16))))))</f>
        <v>+2</v>
      </c>
      <c r="E24" s="401" t="str">
        <f t="shared" si="8"/>
        <v>Int (+2)</v>
      </c>
      <c r="F24" s="132" t="s">
        <v>53</v>
      </c>
      <c r="G24" s="132">
        <f t="shared" si="6"/>
        <v>2</v>
      </c>
      <c r="H24" s="402">
        <f t="shared" ca="1" si="2"/>
        <v>5</v>
      </c>
      <c r="I24" s="132">
        <f t="shared" ca="1" si="10"/>
        <v>7</v>
      </c>
      <c r="J24" s="403"/>
    </row>
    <row r="25" spans="1:10" s="110" customFormat="1" ht="16.8">
      <c r="A25" s="134" t="s">
        <v>44</v>
      </c>
      <c r="B25" s="94">
        <v>0</v>
      </c>
      <c r="C25" s="135" t="s">
        <v>24</v>
      </c>
      <c r="D25" s="136" t="str">
        <f>IF(C25="Str",'Personal File'!$C$11,IF(C25="Dex",'Personal File'!$C$12,IF(C25="Con",'Personal File'!$C$13,IF(C25="Int",'Personal File'!$C$14,IF(C25="Wis",'Personal File'!$C$15,IF(C25="Cha",'Personal File'!$C$16))))))</f>
        <v>+0</v>
      </c>
      <c r="E25" s="137" t="str">
        <f t="shared" si="8"/>
        <v>Wis (+0)</v>
      </c>
      <c r="F25" s="115" t="s">
        <v>74</v>
      </c>
      <c r="G25" s="115">
        <f t="shared" si="6"/>
        <v>2</v>
      </c>
      <c r="H25" s="379">
        <f t="shared" ca="1" si="2"/>
        <v>18</v>
      </c>
      <c r="I25" s="115">
        <f t="shared" ca="1" si="10"/>
        <v>20</v>
      </c>
      <c r="J25" s="147"/>
    </row>
    <row r="26" spans="1:10" s="110" customFormat="1" ht="16.8">
      <c r="A26" s="239" t="s">
        <v>10</v>
      </c>
      <c r="B26" s="103">
        <v>4</v>
      </c>
      <c r="C26" s="240" t="s">
        <v>25</v>
      </c>
      <c r="D26" s="241" t="str">
        <f>IF(C26="Str",'Personal File'!$C$11,IF(C26="Dex",'Personal File'!$C$12,IF(C26="Con",'Personal File'!$C$13,IF(C26="Int",'Personal File'!$C$14,IF(C26="Wis",'Personal File'!$C$15,IF(C26="Cha",'Personal File'!$C$16))))))</f>
        <v>+3</v>
      </c>
      <c r="E26" s="242" t="str">
        <f t="shared" si="8"/>
        <v>Dex (+3)</v>
      </c>
      <c r="F26" s="107" t="s">
        <v>94</v>
      </c>
      <c r="G26" s="107">
        <f t="shared" si="6"/>
        <v>11</v>
      </c>
      <c r="H26" s="379">
        <f t="shared" ca="1" si="2"/>
        <v>3</v>
      </c>
      <c r="I26" s="107">
        <f t="shared" ca="1" si="10"/>
        <v>14</v>
      </c>
      <c r="J26" s="146"/>
    </row>
    <row r="27" spans="1:10" s="110" customFormat="1" ht="16.8">
      <c r="A27" s="239" t="s">
        <v>45</v>
      </c>
      <c r="B27" s="103">
        <v>4</v>
      </c>
      <c r="C27" s="240" t="s">
        <v>25</v>
      </c>
      <c r="D27" s="241" t="str">
        <f>IF(C27="Str",'Personal File'!$C$11,IF(C27="Dex",'Personal File'!$C$12,IF(C27="Con",'Personal File'!$C$13,IF(C27="Int",'Personal File'!$C$14,IF(C27="Wis",'Personal File'!$C$15,IF(C27="Cha",'Personal File'!$C$16))))))</f>
        <v>+3</v>
      </c>
      <c r="E27" s="242" t="str">
        <f t="shared" si="8"/>
        <v>Dex (+3)</v>
      </c>
      <c r="F27" s="107" t="s">
        <v>53</v>
      </c>
      <c r="G27" s="107">
        <f t="shared" si="6"/>
        <v>7</v>
      </c>
      <c r="H27" s="379">
        <f t="shared" ca="1" si="2"/>
        <v>3</v>
      </c>
      <c r="I27" s="107">
        <f t="shared" ca="1" si="10"/>
        <v>10</v>
      </c>
      <c r="J27" s="146"/>
    </row>
    <row r="28" spans="1:10" ht="16.8">
      <c r="A28" s="111" t="s">
        <v>103</v>
      </c>
      <c r="B28" s="94">
        <v>0</v>
      </c>
      <c r="C28" s="112" t="s">
        <v>21</v>
      </c>
      <c r="D28" s="113" t="str">
        <f>IF(C28="Str",'Personal File'!$C$11,IF(C28="Dex",'Personal File'!$C$12,IF(C28="Con",'Personal File'!$C$13,IF(C28="Int",'Personal File'!$C$14,IF(C28="Wis",'Personal File'!$C$15,IF(C28="Cha",'Personal File'!$C$16))))))</f>
        <v>+0</v>
      </c>
      <c r="E28" s="114" t="str">
        <f t="shared" si="8"/>
        <v>Cha (+0)</v>
      </c>
      <c r="F28" s="115" t="s">
        <v>53</v>
      </c>
      <c r="G28" s="115">
        <f t="shared" si="6"/>
        <v>0</v>
      </c>
      <c r="H28" s="379">
        <f t="shared" ca="1" si="2"/>
        <v>5</v>
      </c>
      <c r="I28" s="115">
        <f t="shared" ca="1" si="10"/>
        <v>5</v>
      </c>
      <c r="J28" s="147"/>
    </row>
    <row r="29" spans="1:10" ht="16.8">
      <c r="A29" s="250" t="s">
        <v>123</v>
      </c>
      <c r="B29" s="103">
        <v>4</v>
      </c>
      <c r="C29" s="260" t="s">
        <v>24</v>
      </c>
      <c r="D29" s="261" t="str">
        <f>IF(C29="Str",'Personal File'!$C$11,IF(C29="Dex",'Personal File'!$C$12,IF(C29="Con",'Personal File'!$C$13,IF(C29="Int",'Personal File'!$C$14,IF(C29="Wis",'Personal File'!$C$15,IF(C29="Cha",'Personal File'!$C$16))))))</f>
        <v>+0</v>
      </c>
      <c r="E29" s="262" t="str">
        <f t="shared" ref="E29" si="11">CONCATENATE(C29," (",D29,")")</f>
        <v>Wis (+0)</v>
      </c>
      <c r="F29" s="107" t="s">
        <v>53</v>
      </c>
      <c r="G29" s="263">
        <f t="shared" si="6"/>
        <v>4</v>
      </c>
      <c r="H29" s="379">
        <f t="shared" ca="1" si="2"/>
        <v>5</v>
      </c>
      <c r="I29" s="263">
        <f t="shared" ca="1" si="10"/>
        <v>9</v>
      </c>
      <c r="J29" s="146"/>
    </row>
    <row r="30" spans="1:10" ht="16.8">
      <c r="A30" s="120" t="s">
        <v>11</v>
      </c>
      <c r="B30" s="94">
        <v>0</v>
      </c>
      <c r="C30" s="121" t="s">
        <v>25</v>
      </c>
      <c r="D30" s="122" t="str">
        <f>IF(C30="Str",'Personal File'!$C$11,IF(C30="Dex",'Personal File'!$C$12,IF(C30="Con",'Personal File'!$C$13,IF(C30="Int",'Personal File'!$C$14,IF(C30="Wis",'Personal File'!$C$15,IF(C30="Cha",'Personal File'!$C$16))))))</f>
        <v>+3</v>
      </c>
      <c r="E30" s="98" t="str">
        <f t="shared" si="8"/>
        <v>Dex (+3)</v>
      </c>
      <c r="F30" s="115" t="s">
        <v>53</v>
      </c>
      <c r="G30" s="115">
        <f t="shared" si="6"/>
        <v>3</v>
      </c>
      <c r="H30" s="379">
        <f t="shared" ca="1" si="2"/>
        <v>14</v>
      </c>
      <c r="I30" s="115">
        <f t="shared" ca="1" si="10"/>
        <v>17</v>
      </c>
      <c r="J30" s="116"/>
    </row>
    <row r="31" spans="1:10" ht="16.8">
      <c r="A31" s="102" t="s">
        <v>12</v>
      </c>
      <c r="B31" s="103">
        <v>2</v>
      </c>
      <c r="C31" s="104" t="s">
        <v>23</v>
      </c>
      <c r="D31" s="105" t="str">
        <f>IF(C31="Str",'Personal File'!$C$11,IF(C31="Dex",'Personal File'!$C$12,IF(C31="Con",'Personal File'!$C$13,IF(C31="Int",'Personal File'!$C$14,IF(C31="Wis",'Personal File'!$C$15,IF(C31="Cha",'Personal File'!$C$16))))))</f>
        <v>+2</v>
      </c>
      <c r="E31" s="106" t="str">
        <f t="shared" si="8"/>
        <v>Int (+2)</v>
      </c>
      <c r="F31" s="107" t="s">
        <v>53</v>
      </c>
      <c r="G31" s="107">
        <f t="shared" si="6"/>
        <v>4</v>
      </c>
      <c r="H31" s="379">
        <f t="shared" ca="1" si="2"/>
        <v>4</v>
      </c>
      <c r="I31" s="107">
        <f t="shared" ca="1" si="10"/>
        <v>8</v>
      </c>
      <c r="J31" s="108"/>
    </row>
    <row r="32" spans="1:10" ht="16.8">
      <c r="A32" s="134" t="s">
        <v>46</v>
      </c>
      <c r="B32" s="94">
        <v>0</v>
      </c>
      <c r="C32" s="135" t="s">
        <v>24</v>
      </c>
      <c r="D32" s="136" t="str">
        <f>IF(C32="Str",'Personal File'!$C$11,IF(C32="Dex",'Personal File'!$C$12,IF(C32="Con",'Personal File'!$C$13,IF(C32="Int",'Personal File'!$C$14,IF(C32="Wis",'Personal File'!$C$15,IF(C32="Cha",'Personal File'!$C$16))))))</f>
        <v>+0</v>
      </c>
      <c r="E32" s="137" t="str">
        <f t="shared" si="8"/>
        <v>Wis (+0)</v>
      </c>
      <c r="F32" s="115" t="s">
        <v>53</v>
      </c>
      <c r="G32" s="115">
        <f t="shared" si="6"/>
        <v>0</v>
      </c>
      <c r="H32" s="379">
        <f t="shared" ca="1" si="2"/>
        <v>2</v>
      </c>
      <c r="I32" s="115">
        <f t="shared" ca="1" si="10"/>
        <v>2</v>
      </c>
      <c r="J32" s="116"/>
    </row>
    <row r="33" spans="1:10" ht="16.8">
      <c r="A33" s="235" t="s">
        <v>69</v>
      </c>
      <c r="B33" s="128">
        <v>0</v>
      </c>
      <c r="C33" s="236" t="s">
        <v>25</v>
      </c>
      <c r="D33" s="237" t="str">
        <f>IF(C33="Str",'Personal File'!$C$11,IF(C33="Dex",'Personal File'!$C$12,IF(C33="Con",'Personal File'!$C$13,IF(C33="Int",'Personal File'!$C$14,IF(C33="Wis",'Personal File'!$C$15,IF(C33="Cha",'Personal File'!$C$16))))))</f>
        <v>+3</v>
      </c>
      <c r="E33" s="238" t="str">
        <f t="shared" si="8"/>
        <v>Dex (+3)</v>
      </c>
      <c r="F33" s="132" t="s">
        <v>53</v>
      </c>
      <c r="G33" s="132">
        <f t="shared" si="6"/>
        <v>3</v>
      </c>
      <c r="H33" s="379">
        <f t="shared" ca="1" si="2"/>
        <v>6</v>
      </c>
      <c r="I33" s="132">
        <f t="shared" ca="1" si="10"/>
        <v>9</v>
      </c>
      <c r="J33" s="133"/>
    </row>
    <row r="34" spans="1:10" ht="16.8">
      <c r="A34" s="142" t="s">
        <v>146</v>
      </c>
      <c r="B34" s="128">
        <v>0</v>
      </c>
      <c r="C34" s="143" t="s">
        <v>23</v>
      </c>
      <c r="D34" s="144" t="str">
        <f>IF(C34="Str",'Personal File'!$C$11,IF(C34="Dex",'Personal File'!$C$12,IF(C34="Con",'Personal File'!$C$13,IF(C34="Int",'Personal File'!$C$14,IF(C34="Wis",'Personal File'!$C$15,IF(C34="Cha",'Personal File'!$C$16))))))</f>
        <v>+2</v>
      </c>
      <c r="E34" s="145" t="str">
        <f t="shared" si="8"/>
        <v>Int (+2)</v>
      </c>
      <c r="F34" s="132" t="s">
        <v>53</v>
      </c>
      <c r="G34" s="132" t="s">
        <v>53</v>
      </c>
      <c r="H34" s="379">
        <f t="shared" ca="1" si="2"/>
        <v>19</v>
      </c>
      <c r="I34" s="132">
        <f t="shared" ca="1" si="10"/>
        <v>19</v>
      </c>
      <c r="J34" s="245"/>
    </row>
    <row r="35" spans="1:10" ht="16.8">
      <c r="A35" s="102" t="s">
        <v>47</v>
      </c>
      <c r="B35" s="103">
        <v>0</v>
      </c>
      <c r="C35" s="104" t="s">
        <v>23</v>
      </c>
      <c r="D35" s="105" t="str">
        <f>IF(C35="Str",'Personal File'!$C$11,IF(C35="Dex",'Personal File'!$C$12,IF(C35="Con",'Personal File'!$C$13,IF(C35="Int",'Personal File'!$C$14,IF(C35="Wis",'Personal File'!$C$15,IF(C35="Cha",'Personal File'!$C$16))))))</f>
        <v>+2</v>
      </c>
      <c r="E35" s="106" t="str">
        <f t="shared" si="8"/>
        <v>Int (+2)</v>
      </c>
      <c r="F35" s="107" t="s">
        <v>53</v>
      </c>
      <c r="G35" s="107">
        <f t="shared" si="6"/>
        <v>2</v>
      </c>
      <c r="H35" s="379">
        <f t="shared" ca="1" si="2"/>
        <v>4</v>
      </c>
      <c r="I35" s="107">
        <f t="shared" ca="1" si="10"/>
        <v>6</v>
      </c>
      <c r="J35" s="146"/>
    </row>
    <row r="36" spans="1:10" ht="16.8">
      <c r="A36" s="397" t="s">
        <v>48</v>
      </c>
      <c r="B36" s="103">
        <v>2</v>
      </c>
      <c r="C36" s="260" t="s">
        <v>24</v>
      </c>
      <c r="D36" s="261" t="str">
        <f>IF(C36="Str",'Personal File'!$C$11,IF(C36="Dex",'Personal File'!$C$12,IF(C36="Con",'Personal File'!$C$13,IF(C36="Int",'Personal File'!$C$14,IF(C36="Wis",'Personal File'!$C$15,IF(C36="Cha",'Personal File'!$C$16))))))</f>
        <v>+0</v>
      </c>
      <c r="E36" s="262" t="str">
        <f t="shared" si="8"/>
        <v>Wis (+0)</v>
      </c>
      <c r="F36" s="107" t="s">
        <v>74</v>
      </c>
      <c r="G36" s="107">
        <f t="shared" si="6"/>
        <v>4</v>
      </c>
      <c r="H36" s="379">
        <f t="shared" ca="1" si="2"/>
        <v>7</v>
      </c>
      <c r="I36" s="107">
        <f t="shared" ca="1" si="10"/>
        <v>11</v>
      </c>
      <c r="J36" s="108"/>
    </row>
    <row r="37" spans="1:10" ht="16.8">
      <c r="A37" s="397" t="s">
        <v>70</v>
      </c>
      <c r="B37" s="103">
        <v>2</v>
      </c>
      <c r="C37" s="260" t="s">
        <v>24</v>
      </c>
      <c r="D37" s="261" t="str">
        <f>IF(C37="Str",'Personal File'!$C$11,IF(C37="Dex",'Personal File'!$C$12,IF(C37="Con",'Personal File'!$C$13,IF(C37="Int",'Personal File'!$C$14,IF(C37="Wis",'Personal File'!$C$15,IF(C37="Cha",'Personal File'!$C$16))))))</f>
        <v>+0</v>
      </c>
      <c r="E37" s="262" t="str">
        <f t="shared" si="8"/>
        <v>Wis (+0)</v>
      </c>
      <c r="F37" s="107" t="s">
        <v>53</v>
      </c>
      <c r="G37" s="107">
        <f t="shared" si="6"/>
        <v>2</v>
      </c>
      <c r="H37" s="379">
        <f t="shared" ca="1" si="2"/>
        <v>3</v>
      </c>
      <c r="I37" s="107">
        <f t="shared" ca="1" si="10"/>
        <v>5</v>
      </c>
      <c r="J37" s="146" t="s">
        <v>205</v>
      </c>
    </row>
    <row r="38" spans="1:10" ht="16.8">
      <c r="A38" s="138" t="s">
        <v>13</v>
      </c>
      <c r="B38" s="94">
        <v>0</v>
      </c>
      <c r="C38" s="139" t="s">
        <v>26</v>
      </c>
      <c r="D38" s="140" t="str">
        <f>IF(C38="Str",'Personal File'!$C$11,IF(C38="Dex",'Personal File'!$C$12,IF(C38="Con",'Personal File'!$C$13,IF(C38="Int",'Personal File'!$C$14,IF(C38="Wis",'Personal File'!$C$15,IF(C38="Cha",'Personal File'!$C$16))))))</f>
        <v>+0</v>
      </c>
      <c r="E38" s="141" t="str">
        <f t="shared" si="8"/>
        <v>Str (+0)</v>
      </c>
      <c r="F38" s="115" t="s">
        <v>53</v>
      </c>
      <c r="G38" s="115">
        <f t="shared" si="6"/>
        <v>0</v>
      </c>
      <c r="H38" s="379">
        <f t="shared" ca="1" si="2"/>
        <v>16</v>
      </c>
      <c r="I38" s="115">
        <f t="shared" ca="1" si="10"/>
        <v>16</v>
      </c>
      <c r="J38" s="116"/>
    </row>
    <row r="39" spans="1:10" ht="16.8">
      <c r="A39" s="235" t="s">
        <v>49</v>
      </c>
      <c r="B39" s="128">
        <v>0</v>
      </c>
      <c r="C39" s="236" t="s">
        <v>25</v>
      </c>
      <c r="D39" s="237" t="str">
        <f>IF(C39="Str",'Personal File'!$C$11,IF(C39="Dex",'Personal File'!$C$12,IF(C39="Con",'Personal File'!$C$13,IF(C39="Int",'Personal File'!$C$14,IF(C39="Wis",'Personal File'!$C$15,IF(C39="Cha",'Personal File'!$C$16))))))</f>
        <v>+3</v>
      </c>
      <c r="E39" s="238" t="str">
        <f t="shared" si="8"/>
        <v>Dex (+3)</v>
      </c>
      <c r="F39" s="132" t="s">
        <v>53</v>
      </c>
      <c r="G39" s="132">
        <f t="shared" si="6"/>
        <v>3</v>
      </c>
      <c r="H39" s="379">
        <f t="shared" ca="1" si="2"/>
        <v>11</v>
      </c>
      <c r="I39" s="132">
        <f t="shared" ca="1" si="10"/>
        <v>14</v>
      </c>
      <c r="J39" s="133"/>
    </row>
    <row r="40" spans="1:10" ht="16.8">
      <c r="A40" s="250" t="s">
        <v>50</v>
      </c>
      <c r="B40" s="103">
        <v>4</v>
      </c>
      <c r="C40" s="251" t="s">
        <v>21</v>
      </c>
      <c r="D40" s="252" t="str">
        <f>IF(C40="Str",'Personal File'!$C$11,IF(C40="Dex",'Personal File'!$C$12,IF(C40="Con",'Personal File'!$C$13,IF(C40="Int",'Personal File'!$C$14,IF(C40="Wis",'Personal File'!$C$15,IF(C40="Cha",'Personal File'!$C$16))))))</f>
        <v>+0</v>
      </c>
      <c r="E40" s="253" t="str">
        <f t="shared" si="8"/>
        <v>Cha (+0)</v>
      </c>
      <c r="F40" s="107" t="s">
        <v>53</v>
      </c>
      <c r="G40" s="107">
        <f t="shared" si="6"/>
        <v>4</v>
      </c>
      <c r="H40" s="379">
        <f t="shared" ca="1" si="2"/>
        <v>13</v>
      </c>
      <c r="I40" s="107">
        <f t="shared" ca="1" si="10"/>
        <v>17</v>
      </c>
      <c r="J40" s="108"/>
    </row>
    <row r="41" spans="1:10" ht="17.399999999999999" thickBot="1">
      <c r="A41" s="372" t="s">
        <v>51</v>
      </c>
      <c r="B41" s="373">
        <v>4</v>
      </c>
      <c r="C41" s="374" t="s">
        <v>25</v>
      </c>
      <c r="D41" s="375" t="str">
        <f>IF(C41="Str",'Personal File'!$C$11,IF(C41="Dex",'Personal File'!$C$12,IF(C41="Con",'Personal File'!$C$13,IF(C41="Int",'Personal File'!$C$14,IF(C41="Wis",'Personal File'!$C$15,IF(C41="Cha",'Personal File'!$C$16))))))</f>
        <v>+3</v>
      </c>
      <c r="E41" s="376" t="str">
        <f t="shared" si="8"/>
        <v>Dex (+3)</v>
      </c>
      <c r="F41" s="377" t="s">
        <v>53</v>
      </c>
      <c r="G41" s="377">
        <f t="shared" si="6"/>
        <v>7</v>
      </c>
      <c r="H41" s="382">
        <f t="shared" ref="H41" ca="1" si="12">RANDBETWEEN(1,20)</f>
        <v>20</v>
      </c>
      <c r="I41" s="377">
        <f t="shared" ca="1" si="10"/>
        <v>27</v>
      </c>
      <c r="J41" s="378"/>
    </row>
    <row r="42" spans="1:10" ht="16.2" thickTop="1">
      <c r="B42" s="149">
        <f>SUM(B6:B41)+B37</f>
        <v>50</v>
      </c>
      <c r="E42" s="149">
        <f>SUM(E43:E44)</f>
        <v>50</v>
      </c>
    </row>
    <row r="43" spans="1:10">
      <c r="B43" s="149"/>
      <c r="E43" s="333">
        <f>4*(8+'Personal File'!$C$14)</f>
        <v>40</v>
      </c>
      <c r="F43" s="152" t="s">
        <v>119</v>
      </c>
    </row>
    <row r="44" spans="1:10">
      <c r="E44" s="396">
        <f>8+'Personal File'!$C$14</f>
        <v>10</v>
      </c>
      <c r="F44" s="152" t="s">
        <v>204</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showGridLines="0" workbookViewId="0"/>
  </sheetViews>
  <sheetFormatPr defaultColWidth="10.59765625" defaultRowHeight="16.8"/>
  <cols>
    <col min="1" max="1" width="31.5" style="85" bestFit="1" customWidth="1"/>
    <col min="2" max="2" width="2.59765625" style="83" customWidth="1"/>
    <col min="3" max="3" width="26.3984375" style="84" bestFit="1" customWidth="1"/>
    <col min="4" max="4" width="2.19921875" style="84" customWidth="1"/>
    <col min="5" max="5" width="18.69921875" style="84" bestFit="1" customWidth="1"/>
    <col min="6" max="6" width="6.19921875" style="84" bestFit="1" customWidth="1"/>
    <col min="7" max="7" width="3.5" style="84" bestFit="1" customWidth="1"/>
    <col min="8" max="8" width="6.5" style="84" bestFit="1" customWidth="1"/>
    <col min="9" max="9" width="6.296875" style="84" bestFit="1" customWidth="1"/>
    <col min="10" max="16384" width="10.59765625" style="84"/>
  </cols>
  <sheetData>
    <row r="1" spans="1:9" ht="24" thickTop="1" thickBot="1">
      <c r="A1" s="231" t="s">
        <v>73</v>
      </c>
      <c r="C1" s="371" t="s">
        <v>120</v>
      </c>
      <c r="E1" s="274" t="s">
        <v>160</v>
      </c>
      <c r="F1" s="266"/>
      <c r="G1" s="266"/>
      <c r="H1" s="266"/>
      <c r="I1" s="267"/>
    </row>
    <row r="2" spans="1:9" ht="17.399999999999999" thickTop="1">
      <c r="A2" s="230" t="s">
        <v>126</v>
      </c>
      <c r="C2" s="334" t="s">
        <v>121</v>
      </c>
      <c r="E2" s="272" t="s">
        <v>76</v>
      </c>
      <c r="F2" s="277" t="s">
        <v>79</v>
      </c>
      <c r="G2" s="273" t="s">
        <v>150</v>
      </c>
      <c r="H2" s="273" t="s">
        <v>80</v>
      </c>
      <c r="I2" s="284" t="s">
        <v>81</v>
      </c>
    </row>
    <row r="3" spans="1:9" ht="17.399999999999999" thickBot="1">
      <c r="A3" s="276" t="s">
        <v>158</v>
      </c>
      <c r="C3" s="398" t="s">
        <v>206</v>
      </c>
      <c r="E3" s="268" t="s">
        <v>83</v>
      </c>
      <c r="F3" s="278">
        <v>0</v>
      </c>
      <c r="G3" s="269" t="s">
        <v>151</v>
      </c>
      <c r="H3" s="269">
        <f>10+F3+G3+'Personal File'!$C$14</f>
        <v>13</v>
      </c>
      <c r="I3" s="281" t="s">
        <v>105</v>
      </c>
    </row>
    <row r="4" spans="1:9" ht="18" thickTop="1" thickBot="1">
      <c r="C4" s="335" t="s">
        <v>122</v>
      </c>
      <c r="E4" s="270" t="s">
        <v>152</v>
      </c>
      <c r="F4" s="279">
        <v>0</v>
      </c>
      <c r="G4" s="198" t="s">
        <v>151</v>
      </c>
      <c r="H4" s="198">
        <f>10+F4+G4+'Personal File'!$C$14</f>
        <v>13</v>
      </c>
      <c r="I4" s="282" t="s">
        <v>105</v>
      </c>
    </row>
    <row r="5" spans="1:9" ht="24" thickTop="1" thickBot="1">
      <c r="A5" s="232" t="s">
        <v>71</v>
      </c>
      <c r="E5" s="270" t="s">
        <v>153</v>
      </c>
      <c r="F5" s="279">
        <v>0</v>
      </c>
      <c r="G5" s="198" t="s">
        <v>53</v>
      </c>
      <c r="H5" s="198">
        <f>10+F5+G5+'Personal File'!$C$14</f>
        <v>12</v>
      </c>
      <c r="I5" s="282" t="s">
        <v>105</v>
      </c>
    </row>
    <row r="6" spans="1:9" ht="24" thickTop="1" thickBot="1">
      <c r="A6" s="86" t="s">
        <v>102</v>
      </c>
      <c r="C6" s="233" t="s">
        <v>84</v>
      </c>
      <c r="E6" s="271" t="s">
        <v>154</v>
      </c>
      <c r="F6" s="280">
        <v>1</v>
      </c>
      <c r="G6" s="265" t="s">
        <v>53</v>
      </c>
      <c r="H6" s="265">
        <f>10+F6+G6+'Personal File'!$C$14</f>
        <v>13</v>
      </c>
      <c r="I6" s="283" t="s">
        <v>105</v>
      </c>
    </row>
    <row r="7" spans="1:9">
      <c r="A7" s="336" t="s">
        <v>127</v>
      </c>
      <c r="C7" s="88" t="s">
        <v>91</v>
      </c>
    </row>
    <row r="8" spans="1:9" ht="17.399999999999999" thickBot="1">
      <c r="A8" s="90" t="s">
        <v>101</v>
      </c>
      <c r="C8" s="91" t="s">
        <v>85</v>
      </c>
    </row>
    <row r="9" spans="1:9" ht="18" thickTop="1" thickBot="1">
      <c r="C9" s="92" t="s">
        <v>86</v>
      </c>
    </row>
    <row r="10" spans="1:9" ht="24" thickTop="1" thickBot="1">
      <c r="A10" s="234" t="s">
        <v>59</v>
      </c>
    </row>
    <row r="11" spans="1:9">
      <c r="A11" s="87" t="s">
        <v>125</v>
      </c>
    </row>
    <row r="12" spans="1:9" ht="17.399999999999999" thickBot="1">
      <c r="A12" s="89" t="s">
        <v>124</v>
      </c>
    </row>
    <row r="13" spans="1:9"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0"/>
  <sheetViews>
    <sheetView showGridLines="0" workbookViewId="0"/>
  </sheetViews>
  <sheetFormatPr defaultColWidth="13" defaultRowHeight="15.6"/>
  <cols>
    <col min="1" max="1" width="20.8984375" style="27" bestFit="1" customWidth="1"/>
    <col min="2" max="2" width="8.5" style="27" bestFit="1" customWidth="1"/>
    <col min="3" max="3" width="4.296875" style="27" bestFit="1" customWidth="1"/>
    <col min="4" max="4" width="6.296875" style="27" bestFit="1" customWidth="1"/>
    <col min="5" max="5" width="8.09765625" style="27" bestFit="1" customWidth="1"/>
    <col min="6" max="6" width="8.3984375" style="27" bestFit="1" customWidth="1"/>
    <col min="7" max="7" width="4.69921875" style="27" bestFit="1" customWidth="1"/>
    <col min="8" max="8" width="5.69921875" style="27" bestFit="1" customWidth="1"/>
    <col min="9" max="9" width="5.59765625" style="27" bestFit="1" customWidth="1"/>
    <col min="10" max="10" width="6.296875" style="27" bestFit="1" customWidth="1"/>
    <col min="11" max="11" width="23.796875" style="27" bestFit="1" customWidth="1"/>
    <col min="12" max="12" width="3.3984375" style="22" customWidth="1"/>
    <col min="13" max="13" width="5.796875" style="213" bestFit="1" customWidth="1"/>
    <col min="14" max="14" width="7.69921875" style="27" bestFit="1" customWidth="1"/>
    <col min="15" max="16384" width="13" style="22"/>
  </cols>
  <sheetData>
    <row r="1" spans="1:14" ht="23.4" thickBot="1">
      <c r="A1" s="20" t="s">
        <v>14</v>
      </c>
      <c r="B1" s="20"/>
      <c r="C1" s="20"/>
      <c r="D1" s="20"/>
      <c r="E1" s="20"/>
      <c r="F1" s="20"/>
      <c r="G1" s="20"/>
      <c r="H1" s="20"/>
      <c r="I1" s="20"/>
      <c r="J1" s="20"/>
      <c r="K1" s="20"/>
    </row>
    <row r="2" spans="1:14" ht="16.8" thickTop="1" thickBot="1">
      <c r="A2" s="48" t="s">
        <v>0</v>
      </c>
      <c r="B2" s="49" t="s">
        <v>1</v>
      </c>
      <c r="C2" s="49" t="s">
        <v>16</v>
      </c>
      <c r="D2" s="49" t="s">
        <v>17</v>
      </c>
      <c r="E2" s="50" t="s">
        <v>55</v>
      </c>
      <c r="F2" s="49" t="s">
        <v>15</v>
      </c>
      <c r="G2" s="49" t="s">
        <v>18</v>
      </c>
      <c r="H2" s="51" t="s">
        <v>72</v>
      </c>
      <c r="I2" s="52" t="s">
        <v>75</v>
      </c>
      <c r="J2" s="51" t="s">
        <v>65</v>
      </c>
      <c r="K2" s="53" t="s">
        <v>63</v>
      </c>
      <c r="M2" s="214" t="s">
        <v>98</v>
      </c>
    </row>
    <row r="3" spans="1:14">
      <c r="A3" s="219" t="s">
        <v>129</v>
      </c>
      <c r="B3" s="6" t="s">
        <v>130</v>
      </c>
      <c r="C3" s="7" t="str">
        <f>'Personal File'!$C$11</f>
        <v>+0</v>
      </c>
      <c r="D3" s="8" t="s">
        <v>53</v>
      </c>
      <c r="E3" s="339" t="s">
        <v>133</v>
      </c>
      <c r="F3" s="9" t="s">
        <v>155</v>
      </c>
      <c r="G3" s="10">
        <v>1</v>
      </c>
      <c r="H3" s="210">
        <f>'Personal File'!$B$9+'Personal File'!$C$11+D3</f>
        <v>1</v>
      </c>
      <c r="I3" s="211">
        <f t="shared" ref="I3:I5" ca="1" si="0">RANDBETWEEN(1,20)</f>
        <v>18</v>
      </c>
      <c r="J3" s="212">
        <f t="shared" ref="J3" ca="1" si="1">I3+H3</f>
        <v>19</v>
      </c>
      <c r="K3" s="17"/>
      <c r="M3" s="215">
        <v>10</v>
      </c>
    </row>
    <row r="4" spans="1:14">
      <c r="A4" s="337" t="s">
        <v>131</v>
      </c>
      <c r="B4" s="308" t="s">
        <v>88</v>
      </c>
      <c r="C4" s="338" t="str">
        <f>'Personal File'!$C$11</f>
        <v>+0</v>
      </c>
      <c r="D4" s="339">
        <v>0</v>
      </c>
      <c r="E4" s="339" t="s">
        <v>133</v>
      </c>
      <c r="F4" s="340" t="s">
        <v>134</v>
      </c>
      <c r="G4" s="312">
        <v>0.5</v>
      </c>
      <c r="H4" s="344">
        <f>'Personal File'!$B$9+'Personal File'!$C$11+D4</f>
        <v>1</v>
      </c>
      <c r="I4" s="345">
        <f t="shared" ca="1" si="0"/>
        <v>9</v>
      </c>
      <c r="J4" s="346">
        <f t="shared" ref="J4:J5" ca="1" si="2">I4+H4</f>
        <v>10</v>
      </c>
      <c r="K4" s="347"/>
      <c r="M4" s="316">
        <v>2</v>
      </c>
    </row>
    <row r="5" spans="1:14">
      <c r="A5" s="337" t="s">
        <v>132</v>
      </c>
      <c r="B5" s="308" t="s">
        <v>88</v>
      </c>
      <c r="C5" s="338" t="str">
        <f>'Personal File'!$C$11</f>
        <v>+0</v>
      </c>
      <c r="D5" s="339">
        <v>0</v>
      </c>
      <c r="E5" s="339" t="s">
        <v>133</v>
      </c>
      <c r="F5" s="340" t="s">
        <v>134</v>
      </c>
      <c r="G5" s="312">
        <v>0.5</v>
      </c>
      <c r="H5" s="344">
        <f>'Personal File'!$B$9+'Personal File'!$C$11+D5</f>
        <v>1</v>
      </c>
      <c r="I5" s="345">
        <f t="shared" ca="1" si="0"/>
        <v>20</v>
      </c>
      <c r="J5" s="346">
        <f t="shared" ca="1" si="2"/>
        <v>21</v>
      </c>
      <c r="K5" s="347"/>
      <c r="M5" s="316">
        <v>2</v>
      </c>
    </row>
    <row r="6" spans="1:14" ht="16.2" thickBot="1">
      <c r="A6" s="11" t="s">
        <v>96</v>
      </c>
      <c r="B6" s="12" t="s">
        <v>88</v>
      </c>
      <c r="C6" s="13" t="str">
        <f>'Personal File'!$C$11</f>
        <v>+0</v>
      </c>
      <c r="D6" s="14" t="s">
        <v>53</v>
      </c>
      <c r="E6" s="14" t="s">
        <v>97</v>
      </c>
      <c r="F6" s="15" t="s">
        <v>87</v>
      </c>
      <c r="G6" s="16">
        <v>0</v>
      </c>
      <c r="H6" s="18">
        <f>'Personal File'!$B$9+'Personal File'!$C$11+D6</f>
        <v>1</v>
      </c>
      <c r="I6" s="54">
        <f t="shared" ref="I6" ca="1" si="3">RANDBETWEEN(1,20)</f>
        <v>1</v>
      </c>
      <c r="J6" s="55">
        <f t="shared" ref="J6" ca="1" si="4">I6+H6</f>
        <v>2</v>
      </c>
      <c r="K6" s="19" t="s">
        <v>85</v>
      </c>
      <c r="M6" s="226" t="s">
        <v>77</v>
      </c>
    </row>
    <row r="7" spans="1:14" ht="6" customHeight="1" thickTop="1" thickBot="1">
      <c r="I7" s="56"/>
      <c r="J7" s="56"/>
      <c r="M7" s="218"/>
    </row>
    <row r="8" spans="1:14" ht="16.8" thickTop="1" thickBot="1">
      <c r="A8" s="48" t="s">
        <v>3</v>
      </c>
      <c r="B8" s="49" t="s">
        <v>4</v>
      </c>
      <c r="C8" s="49" t="s">
        <v>16</v>
      </c>
      <c r="D8" s="49" t="s">
        <v>17</v>
      </c>
      <c r="E8" s="50" t="s">
        <v>55</v>
      </c>
      <c r="F8" s="49" t="s">
        <v>5</v>
      </c>
      <c r="G8" s="49" t="s">
        <v>18</v>
      </c>
      <c r="H8" s="51" t="s">
        <v>72</v>
      </c>
      <c r="I8" s="52" t="s">
        <v>75</v>
      </c>
      <c r="J8" s="51" t="s">
        <v>65</v>
      </c>
      <c r="K8" s="53" t="s">
        <v>63</v>
      </c>
      <c r="M8" s="214" t="s">
        <v>98</v>
      </c>
    </row>
    <row r="9" spans="1:14">
      <c r="A9" s="285" t="s">
        <v>106</v>
      </c>
      <c r="B9" s="286" t="s">
        <v>77</v>
      </c>
      <c r="C9" s="287" t="s">
        <v>77</v>
      </c>
      <c r="D9" s="288" t="s">
        <v>53</v>
      </c>
      <c r="E9" s="288" t="s">
        <v>77</v>
      </c>
      <c r="F9" s="289" t="s">
        <v>77</v>
      </c>
      <c r="G9" s="290" t="s">
        <v>77</v>
      </c>
      <c r="H9" s="291">
        <f>'Personal File'!$B$9+'Personal File'!$C$12+D9</f>
        <v>4</v>
      </c>
      <c r="I9" s="247">
        <f t="shared" ref="I9:I10" ca="1" si="5">RANDBETWEEN(1,20)</f>
        <v>17</v>
      </c>
      <c r="J9" s="292">
        <f t="shared" ref="J9" ca="1" si="6">I9+H9</f>
        <v>21</v>
      </c>
      <c r="K9" s="293" t="s">
        <v>85</v>
      </c>
      <c r="L9" s="246"/>
      <c r="M9" s="294" t="s">
        <v>77</v>
      </c>
    </row>
    <row r="10" spans="1:14" s="227" customFormat="1">
      <c r="A10" s="337" t="s">
        <v>128</v>
      </c>
      <c r="B10" s="308" t="s">
        <v>130</v>
      </c>
      <c r="C10" s="338">
        <v>0</v>
      </c>
      <c r="D10" s="339" t="s">
        <v>53</v>
      </c>
      <c r="E10" s="339" t="s">
        <v>156</v>
      </c>
      <c r="F10" s="340" t="s">
        <v>157</v>
      </c>
      <c r="G10" s="312">
        <v>1</v>
      </c>
      <c r="H10" s="341">
        <v>2</v>
      </c>
      <c r="I10" s="248">
        <f t="shared" ca="1" si="5"/>
        <v>12</v>
      </c>
      <c r="J10" s="341">
        <f t="shared" ref="J10:J11" ca="1" si="7">I10+H10</f>
        <v>14</v>
      </c>
      <c r="K10" s="342"/>
      <c r="L10" s="225"/>
      <c r="M10" s="316">
        <v>30</v>
      </c>
      <c r="N10" s="246"/>
    </row>
    <row r="11" spans="1:14" ht="16.2" thickBot="1">
      <c r="A11" s="11"/>
      <c r="B11" s="12"/>
      <c r="C11" s="78"/>
      <c r="D11" s="78"/>
      <c r="E11" s="12"/>
      <c r="F11" s="78"/>
      <c r="G11" s="16"/>
      <c r="H11" s="55"/>
      <c r="I11" s="249">
        <f t="shared" ref="I11" ca="1" si="8">RANDBETWEEN(1,20)</f>
        <v>5</v>
      </c>
      <c r="J11" s="55">
        <f t="shared" ca="1" si="7"/>
        <v>5</v>
      </c>
      <c r="K11" s="343"/>
      <c r="L11" s="225"/>
      <c r="M11" s="217" t="s">
        <v>77</v>
      </c>
    </row>
    <row r="12" spans="1:14" ht="6" customHeight="1" thickTop="1" thickBot="1">
      <c r="D12" s="57"/>
      <c r="E12" s="57"/>
      <c r="G12" s="47"/>
      <c r="H12" s="47"/>
      <c r="I12" s="56"/>
      <c r="J12" s="47"/>
      <c r="M12" s="218"/>
    </row>
    <row r="13" spans="1:14" ht="16.8" thickTop="1" thickBot="1">
      <c r="A13" s="48" t="s">
        <v>57</v>
      </c>
      <c r="B13" s="49" t="s">
        <v>8</v>
      </c>
      <c r="C13" s="49" t="s">
        <v>25</v>
      </c>
      <c r="D13" s="49" t="s">
        <v>65</v>
      </c>
      <c r="E13" s="49" t="s">
        <v>66</v>
      </c>
      <c r="F13" s="49" t="s">
        <v>67</v>
      </c>
      <c r="G13" s="49" t="s">
        <v>18</v>
      </c>
      <c r="H13" s="58" t="s">
        <v>63</v>
      </c>
      <c r="I13" s="59"/>
      <c r="J13" s="59"/>
      <c r="K13" s="60"/>
      <c r="M13" s="214" t="s">
        <v>98</v>
      </c>
    </row>
    <row r="14" spans="1:14">
      <c r="A14" s="297" t="s">
        <v>135</v>
      </c>
      <c r="B14" s="298">
        <v>1</v>
      </c>
      <c r="C14" s="299">
        <v>8</v>
      </c>
      <c r="D14" s="298">
        <v>0</v>
      </c>
      <c r="E14" s="300">
        <v>0.05</v>
      </c>
      <c r="F14" s="301" t="s">
        <v>117</v>
      </c>
      <c r="G14" s="302">
        <v>5</v>
      </c>
      <c r="H14" s="303"/>
      <c r="I14" s="304"/>
      <c r="J14" s="304"/>
      <c r="K14" s="305"/>
      <c r="M14" s="306">
        <v>5</v>
      </c>
      <c r="N14" s="225"/>
    </row>
    <row r="15" spans="1:14">
      <c r="A15" s="307"/>
      <c r="B15" s="308"/>
      <c r="C15" s="309"/>
      <c r="D15" s="308"/>
      <c r="E15" s="310"/>
      <c r="F15" s="311"/>
      <c r="G15" s="312"/>
      <c r="H15" s="313"/>
      <c r="I15" s="314"/>
      <c r="J15" s="314"/>
      <c r="K15" s="315"/>
      <c r="M15" s="316"/>
      <c r="N15" s="225"/>
    </row>
    <row r="16" spans="1:14" ht="16.2" thickBot="1">
      <c r="A16" s="11"/>
      <c r="B16" s="12"/>
      <c r="C16" s="61"/>
      <c r="D16" s="12"/>
      <c r="E16" s="264"/>
      <c r="F16" s="12"/>
      <c r="G16" s="16"/>
      <c r="H16" s="62"/>
      <c r="I16" s="63"/>
      <c r="J16" s="63"/>
      <c r="K16" s="64"/>
      <c r="M16" s="217"/>
    </row>
    <row r="17" spans="1:14" ht="6.75" customHeight="1" thickTop="1" thickBot="1">
      <c r="M17" s="218"/>
    </row>
    <row r="18" spans="1:14" ht="16.8" thickTop="1" thickBot="1">
      <c r="A18" s="65"/>
      <c r="B18" s="47"/>
      <c r="D18" s="66" t="s">
        <v>58</v>
      </c>
      <c r="E18" s="67"/>
      <c r="F18" s="58" t="s">
        <v>2</v>
      </c>
      <c r="G18" s="49" t="s">
        <v>18</v>
      </c>
      <c r="H18" s="51" t="s">
        <v>72</v>
      </c>
      <c r="I18" s="58" t="s">
        <v>63</v>
      </c>
      <c r="J18" s="59"/>
      <c r="K18" s="60"/>
      <c r="M18" s="214" t="s">
        <v>98</v>
      </c>
    </row>
    <row r="19" spans="1:14">
      <c r="A19" s="65"/>
      <c r="B19" s="254"/>
      <c r="D19" s="68" t="s">
        <v>136</v>
      </c>
      <c r="E19" s="69"/>
      <c r="F19" s="70">
        <v>19</v>
      </c>
      <c r="G19" s="10">
        <f>F19*3/(2*20)</f>
        <v>1.425</v>
      </c>
      <c r="H19" s="71" t="s">
        <v>53</v>
      </c>
      <c r="I19" s="72"/>
      <c r="J19" s="73"/>
      <c r="K19" s="74"/>
      <c r="M19" s="357">
        <f>F19/20</f>
        <v>0.95</v>
      </c>
    </row>
    <row r="20" spans="1:14" ht="16.2" thickBot="1">
      <c r="A20" s="65"/>
      <c r="B20" s="254"/>
      <c r="D20" s="75"/>
      <c r="E20" s="76"/>
      <c r="F20" s="77"/>
      <c r="G20" s="16"/>
      <c r="H20" s="78"/>
      <c r="I20" s="79"/>
      <c r="J20" s="80"/>
      <c r="K20" s="64"/>
      <c r="M20" s="217"/>
    </row>
    <row r="21" spans="1:14" ht="16.8" thickTop="1" thickBot="1">
      <c r="B21" s="22"/>
    </row>
    <row r="22" spans="1:14" ht="16.8" thickTop="1" thickBot="1">
      <c r="B22" s="22"/>
      <c r="D22" s="66" t="s">
        <v>95</v>
      </c>
      <c r="E22" s="59"/>
      <c r="F22" s="59"/>
      <c r="G22" s="81" t="s">
        <v>2</v>
      </c>
      <c r="H22" s="81" t="s">
        <v>79</v>
      </c>
      <c r="I22" s="81" t="s">
        <v>90</v>
      </c>
      <c r="J22" s="82" t="s">
        <v>63</v>
      </c>
      <c r="K22" s="60"/>
      <c r="M22" s="214" t="s">
        <v>98</v>
      </c>
    </row>
    <row r="23" spans="1:14">
      <c r="B23" s="22"/>
      <c r="D23" s="200"/>
      <c r="E23" s="201"/>
      <c r="F23" s="201"/>
      <c r="G23" s="202"/>
      <c r="H23" s="202"/>
      <c r="I23" s="202"/>
      <c r="J23" s="203"/>
      <c r="K23" s="204"/>
      <c r="L23" s="205"/>
      <c r="M23" s="216"/>
      <c r="N23" s="22"/>
    </row>
    <row r="24" spans="1:14" ht="16.2" thickBot="1">
      <c r="A24" s="22"/>
      <c r="B24" s="22"/>
      <c r="D24" s="206"/>
      <c r="E24" s="207"/>
      <c r="F24" s="207"/>
      <c r="G24" s="12"/>
      <c r="H24" s="12"/>
      <c r="I24" s="12"/>
      <c r="J24" s="208"/>
      <c r="K24" s="209"/>
      <c r="M24" s="217"/>
      <c r="N24" s="56"/>
    </row>
    <row r="25" spans="1:14" ht="16.2" thickTop="1">
      <c r="A25" s="22"/>
      <c r="B25" s="22"/>
    </row>
    <row r="26" spans="1:14">
      <c r="A26" s="22"/>
      <c r="B26" s="22"/>
    </row>
    <row r="27" spans="1:14">
      <c r="A27" s="22"/>
      <c r="B27" s="22"/>
    </row>
    <row r="28" spans="1:14">
      <c r="A28" s="22"/>
      <c r="B28" s="22"/>
    </row>
    <row r="29" spans="1:14">
      <c r="A29" s="22"/>
      <c r="B29" s="22"/>
    </row>
    <row r="30" spans="1:14">
      <c r="A30" s="22"/>
      <c r="B30" s="22"/>
    </row>
  </sheetData>
  <sortState ref="D20:K34">
    <sortCondition ref="I20:I34"/>
    <sortCondition ref="D20:D34"/>
  </sortState>
  <phoneticPr fontId="0" type="noConversion"/>
  <conditionalFormatting sqref="I6">
    <cfRule type="cellIs" dxfId="7" priority="13" operator="equal">
      <formula>20</formula>
    </cfRule>
    <cfRule type="cellIs" dxfId="6" priority="14" operator="equal">
      <formula>1</formula>
    </cfRule>
  </conditionalFormatting>
  <conditionalFormatting sqref="I11">
    <cfRule type="cellIs" dxfId="5" priority="9" operator="equal">
      <formula>20</formula>
    </cfRule>
    <cfRule type="cellIs" dxfId="4" priority="10" operator="equal">
      <formula>1</formula>
    </cfRule>
  </conditionalFormatting>
  <conditionalFormatting sqref="I3:I5">
    <cfRule type="cellIs" dxfId="3" priority="3" operator="equal">
      <formula>20</formula>
    </cfRule>
    <cfRule type="cellIs" dxfId="2" priority="4" operator="equal">
      <formula>1</formula>
    </cfRule>
  </conditionalFormatting>
  <conditionalFormatting sqref="I9:I10">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showGridLines="0" workbookViewId="0"/>
  </sheetViews>
  <sheetFormatPr defaultColWidth="8.59765625" defaultRowHeight="15.6"/>
  <cols>
    <col min="1" max="1" width="17.3984375" style="27" bestFit="1" customWidth="1"/>
    <col min="2" max="2" width="4.69921875" style="27" bestFit="1" customWidth="1"/>
    <col min="3" max="3" width="4.3984375" style="47" bestFit="1" customWidth="1"/>
    <col min="4" max="4" width="7.59765625" style="22" bestFit="1" customWidth="1"/>
    <col min="5" max="5" width="7.09765625" style="22" bestFit="1" customWidth="1"/>
    <col min="6" max="6" width="2.3984375" style="22" customWidth="1"/>
    <col min="7" max="7" width="7.296875" style="22" bestFit="1" customWidth="1"/>
    <col min="8" max="16384" width="8.59765625" style="22"/>
  </cols>
  <sheetData>
    <row r="1" spans="1:7" ht="23.4" thickBot="1">
      <c r="A1" s="20" t="s">
        <v>60</v>
      </c>
      <c r="B1" s="20"/>
      <c r="C1" s="21"/>
      <c r="D1" s="20"/>
      <c r="E1" s="20"/>
    </row>
    <row r="2" spans="1:7" s="27" customFormat="1" ht="16.8" thickTop="1" thickBot="1">
      <c r="A2" s="23" t="s">
        <v>61</v>
      </c>
      <c r="B2" s="23" t="s">
        <v>2</v>
      </c>
      <c r="C2" s="24" t="s">
        <v>18</v>
      </c>
      <c r="D2" s="25" t="s">
        <v>62</v>
      </c>
      <c r="E2" s="26" t="s">
        <v>63</v>
      </c>
      <c r="G2" s="255" t="s">
        <v>98</v>
      </c>
    </row>
    <row r="3" spans="1:7">
      <c r="A3" s="28" t="s">
        <v>92</v>
      </c>
      <c r="B3" s="29">
        <v>1</v>
      </c>
      <c r="C3" s="30">
        <v>1.25</v>
      </c>
      <c r="D3" s="31"/>
      <c r="E3" s="32"/>
      <c r="G3" s="256">
        <v>0</v>
      </c>
    </row>
    <row r="4" spans="1:7" ht="16.2" thickBot="1">
      <c r="A4" s="37" t="s">
        <v>93</v>
      </c>
      <c r="B4" s="38">
        <v>1</v>
      </c>
      <c r="C4" s="39">
        <v>1</v>
      </c>
      <c r="D4" s="40"/>
      <c r="E4" s="41"/>
      <c r="G4" s="258">
        <v>2</v>
      </c>
    </row>
    <row r="5" spans="1:7" ht="24" thickTop="1" thickBot="1">
      <c r="A5" s="20" t="s">
        <v>64</v>
      </c>
      <c r="B5" s="20"/>
      <c r="C5" s="42"/>
      <c r="D5" s="20"/>
      <c r="E5" s="43"/>
      <c r="G5" s="42"/>
    </row>
    <row r="6" spans="1:7" ht="16.8" thickTop="1" thickBot="1">
      <c r="A6" s="23" t="s">
        <v>61</v>
      </c>
      <c r="B6" s="23" t="s">
        <v>2</v>
      </c>
      <c r="C6" s="24" t="s">
        <v>18</v>
      </c>
      <c r="D6" s="25" t="s">
        <v>62</v>
      </c>
      <c r="E6" s="26" t="s">
        <v>63</v>
      </c>
      <c r="G6" s="255" t="s">
        <v>98</v>
      </c>
    </row>
    <row r="7" spans="1:7">
      <c r="A7" s="44" t="s">
        <v>139</v>
      </c>
      <c r="B7" s="29">
        <v>1</v>
      </c>
      <c r="C7" s="45">
        <v>0.5</v>
      </c>
      <c r="D7" s="46"/>
      <c r="E7" s="32"/>
      <c r="G7" s="259">
        <v>1</v>
      </c>
    </row>
    <row r="8" spans="1:7">
      <c r="A8" s="365" t="s">
        <v>159</v>
      </c>
      <c r="B8" s="366">
        <v>1</v>
      </c>
      <c r="C8" s="367">
        <v>3</v>
      </c>
      <c r="D8" s="368"/>
      <c r="E8" s="369"/>
      <c r="G8" s="370">
        <v>11</v>
      </c>
    </row>
    <row r="9" spans="1:7">
      <c r="A9" s="33" t="s">
        <v>140</v>
      </c>
      <c r="B9" s="34">
        <v>1</v>
      </c>
      <c r="C9" s="36">
        <v>0</v>
      </c>
      <c r="D9" s="199"/>
      <c r="E9" s="35"/>
      <c r="G9" s="257">
        <v>1</v>
      </c>
    </row>
    <row r="10" spans="1:7">
      <c r="A10" s="33" t="s">
        <v>142</v>
      </c>
      <c r="B10" s="34">
        <v>5</v>
      </c>
      <c r="C10" s="36">
        <f>B10*(5*0.05)</f>
        <v>1.25</v>
      </c>
      <c r="D10" s="199"/>
      <c r="E10" s="35"/>
      <c r="G10" s="257">
        <f>B10</f>
        <v>5</v>
      </c>
    </row>
    <row r="11" spans="1:7">
      <c r="A11" s="33" t="s">
        <v>141</v>
      </c>
      <c r="B11" s="34">
        <v>1</v>
      </c>
      <c r="C11" s="36">
        <f>B11</f>
        <v>1</v>
      </c>
      <c r="D11" s="199"/>
      <c r="E11" s="35"/>
      <c r="G11" s="257">
        <f>B11*4</f>
        <v>4</v>
      </c>
    </row>
    <row r="12" spans="1:7">
      <c r="A12" s="33" t="s">
        <v>143</v>
      </c>
      <c r="B12" s="34">
        <v>5</v>
      </c>
      <c r="C12" s="36">
        <v>0</v>
      </c>
      <c r="D12" s="199"/>
      <c r="E12" s="35"/>
      <c r="G12" s="257">
        <f>100*B12</f>
        <v>500</v>
      </c>
    </row>
    <row r="13" spans="1:7">
      <c r="A13" s="33" t="s">
        <v>89</v>
      </c>
      <c r="B13" s="34">
        <v>45</v>
      </c>
      <c r="C13" s="358">
        <f>B13*0.01</f>
        <v>0.45</v>
      </c>
      <c r="D13" s="199"/>
      <c r="E13" s="35"/>
      <c r="G13" s="257">
        <f>B13</f>
        <v>45</v>
      </c>
    </row>
    <row r="14" spans="1:7">
      <c r="A14" s="33" t="s">
        <v>144</v>
      </c>
      <c r="B14" s="34">
        <v>9</v>
      </c>
      <c r="C14" s="358">
        <f>B14*0.0075</f>
        <v>6.7500000000000004E-2</v>
      </c>
      <c r="D14" s="199"/>
      <c r="E14" s="35"/>
      <c r="G14" s="359">
        <f>B14/20</f>
        <v>0.45</v>
      </c>
    </row>
    <row r="15" spans="1:7">
      <c r="A15" s="33" t="s">
        <v>145</v>
      </c>
      <c r="B15" s="34">
        <v>10</v>
      </c>
      <c r="C15" s="358">
        <f>B15*0.005</f>
        <v>0.05</v>
      </c>
      <c r="D15" s="199"/>
      <c r="E15" s="35"/>
      <c r="G15" s="359">
        <f>B15/100</f>
        <v>0.1</v>
      </c>
    </row>
    <row r="16" spans="1:7">
      <c r="A16" s="33" t="s">
        <v>138</v>
      </c>
      <c r="B16" s="34">
        <v>1</v>
      </c>
      <c r="C16" s="358">
        <v>1.25</v>
      </c>
      <c r="D16" s="199"/>
      <c r="E16" s="35"/>
      <c r="G16" s="359">
        <v>0.05</v>
      </c>
    </row>
    <row r="17" spans="1:7" ht="16.2" thickBot="1">
      <c r="A17" s="37" t="s">
        <v>137</v>
      </c>
      <c r="B17" s="38">
        <v>1</v>
      </c>
      <c r="C17" s="39">
        <v>1</v>
      </c>
      <c r="D17" s="40"/>
      <c r="E17" s="41"/>
      <c r="G17" s="258">
        <v>30</v>
      </c>
    </row>
    <row r="18" spans="1:7" ht="16.2" thickTop="1">
      <c r="A18" s="22"/>
    </row>
    <row r="19" spans="1:7">
      <c r="E19" s="148" t="s">
        <v>104</v>
      </c>
      <c r="F19" s="205"/>
      <c r="G19" s="275">
        <f>SUM(G3:G17,Martial!M3:M24)</f>
        <v>649.55000000000007</v>
      </c>
    </row>
  </sheetData>
  <sortState ref="A32:D44">
    <sortCondition ref="A32:A44"/>
  </sortState>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53F1-AFCF-4263-8F99-8AA77722313A}">
  <dimension ref="A1:C17"/>
  <sheetViews>
    <sheetView showGridLines="0" workbookViewId="0"/>
  </sheetViews>
  <sheetFormatPr defaultColWidth="9" defaultRowHeight="15.6"/>
  <cols>
    <col min="1" max="1" width="62.796875" style="163" bestFit="1" customWidth="1"/>
    <col min="2" max="2" width="9.5" style="394" customWidth="1"/>
    <col min="3" max="3" width="6.3984375" style="163" customWidth="1"/>
    <col min="4" max="16384" width="9" style="163"/>
  </cols>
  <sheetData>
    <row r="1" spans="1:3">
      <c r="A1" s="327" t="s">
        <v>187</v>
      </c>
      <c r="B1" s="383" t="str">
        <f>'Personal File'!A1</f>
        <v>Saradette</v>
      </c>
      <c r="C1" s="384" t="s">
        <v>188</v>
      </c>
    </row>
    <row r="2" spans="1:3">
      <c r="A2" s="385" t="s">
        <v>197</v>
      </c>
      <c r="B2" s="386" t="s">
        <v>189</v>
      </c>
      <c r="C2" s="387">
        <v>0.2</v>
      </c>
    </row>
    <row r="3" spans="1:3">
      <c r="A3" s="385" t="s">
        <v>198</v>
      </c>
      <c r="B3" s="386" t="s">
        <v>199</v>
      </c>
      <c r="C3" s="387">
        <v>0.12</v>
      </c>
    </row>
    <row r="4" spans="1:3">
      <c r="A4" s="385" t="s">
        <v>200</v>
      </c>
      <c r="B4" s="386" t="s">
        <v>189</v>
      </c>
      <c r="C4" s="387">
        <v>0.2</v>
      </c>
    </row>
    <row r="5" spans="1:3">
      <c r="A5" s="385" t="s">
        <v>201</v>
      </c>
      <c r="B5" s="386" t="s">
        <v>203</v>
      </c>
      <c r="C5" s="387">
        <v>0.16</v>
      </c>
    </row>
    <row r="6" spans="1:3">
      <c r="A6" s="385" t="s">
        <v>202</v>
      </c>
      <c r="B6" s="386" t="s">
        <v>189</v>
      </c>
      <c r="C6" s="387">
        <v>0.2</v>
      </c>
    </row>
    <row r="7" spans="1:3">
      <c r="A7" s="327" t="s">
        <v>54</v>
      </c>
      <c r="B7" s="383"/>
      <c r="C7" s="384">
        <f>SUM(C2:C6)</f>
        <v>0.88000000000000012</v>
      </c>
    </row>
    <row r="8" spans="1:3">
      <c r="A8" s="327"/>
      <c r="B8" s="383"/>
      <c r="C8" s="384"/>
    </row>
    <row r="9" spans="1:3">
      <c r="A9" s="327" t="s">
        <v>190</v>
      </c>
      <c r="B9" s="388">
        <v>0</v>
      </c>
      <c r="C9" s="389"/>
    </row>
    <row r="10" spans="1:3">
      <c r="A10" s="327" t="s">
        <v>191</v>
      </c>
      <c r="B10" s="388">
        <v>2000</v>
      </c>
      <c r="C10" s="389"/>
    </row>
    <row r="11" spans="1:3">
      <c r="A11" s="327" t="s">
        <v>192</v>
      </c>
      <c r="B11" s="388">
        <f>IF(B9=0,B10*C7,(B10*C7*(1-(B9/4))))</f>
        <v>1760.0000000000002</v>
      </c>
      <c r="C11" s="389"/>
    </row>
    <row r="12" spans="1:3">
      <c r="A12" s="327" t="s">
        <v>193</v>
      </c>
      <c r="B12" s="390">
        <v>0</v>
      </c>
      <c r="C12" s="391"/>
    </row>
    <row r="13" spans="1:3">
      <c r="A13" s="327" t="s">
        <v>54</v>
      </c>
      <c r="B13" s="392">
        <f>SUM(B11:B12)</f>
        <v>1760.0000000000002</v>
      </c>
      <c r="C13" s="389"/>
    </row>
    <row r="14" spans="1:3">
      <c r="A14" s="327" t="s">
        <v>194</v>
      </c>
      <c r="B14" s="388">
        <v>0</v>
      </c>
      <c r="C14" s="389"/>
    </row>
    <row r="15" spans="1:3">
      <c r="A15" s="327" t="s">
        <v>195</v>
      </c>
      <c r="B15" s="392">
        <f>SUM(B13:B14)</f>
        <v>1760.0000000000002</v>
      </c>
      <c r="C15" s="389"/>
    </row>
    <row r="17" spans="1:1">
      <c r="A17" s="393"/>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XP Awards</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2020-01-29T21:30:36Z</dcterms:modified>
</cp:coreProperties>
</file>