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A\Jue\FoL\Used\Characters\"/>
    </mc:Choice>
  </mc:AlternateContent>
  <xr:revisionPtr revIDLastSave="0" documentId="13_ncr:1_{776F730A-06AA-4812-9D80-0113C93CE714}" xr6:coauthVersionLast="45" xr6:coauthVersionMax="45"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Spellbook" sheetId="22" r:id="rId3"/>
    <sheet name="Spells" sheetId="23" r:id="rId4"/>
    <sheet name="Feats" sheetId="20" r:id="rId5"/>
    <sheet name="Martial" sheetId="6" r:id="rId6"/>
    <sheet name="Equipment" sheetId="19" r:id="rId7"/>
    <sheet name="XP Awards" sheetId="21" r:id="rId8"/>
  </sheets>
  <externalReferences>
    <externalReference r:id="rId9"/>
  </externalReferences>
  <definedNames>
    <definedName name="NoShade">'[1]Spell Sheet'!$FH$1</definedName>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0">'Personal File'!$A$1:$H$24</definedName>
    <definedName name="_xlnm.Print_Area" localSheetId="1">Skills!$A$1:$K$30</definedName>
    <definedName name="_xlnm.Print_Area" localSheetId="2">Spellbook!$A$1:$I$8</definedName>
    <definedName name="_xlnm.Print_Area" localSheetId="3">Spells!#REF!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9" i="19" l="1"/>
  <c r="B39" i="19" s="1"/>
  <c r="B5" i="15" l="1"/>
  <c r="B4" i="15"/>
  <c r="B3" i="15"/>
  <c r="B10" i="4"/>
  <c r="C3" i="20"/>
  <c r="H13" i="15" l="1"/>
  <c r="H12" i="15"/>
  <c r="I9" i="6" l="1"/>
  <c r="H26" i="15" l="1"/>
  <c r="E14" i="4" l="1"/>
  <c r="D14" i="6" l="1"/>
  <c r="E14" i="6"/>
  <c r="C14" i="6"/>
  <c r="H5" i="23" l="1"/>
  <c r="I5" i="23"/>
  <c r="J7" i="23"/>
  <c r="H27" i="15" l="1"/>
  <c r="B45" i="15" l="1"/>
  <c r="H34" i="15"/>
  <c r="H40" i="15"/>
  <c r="H39" i="15"/>
  <c r="C7" i="21" l="1"/>
  <c r="B11" i="21" s="1"/>
  <c r="B13" i="21" s="1"/>
  <c r="B15" i="21" s="1"/>
  <c r="B1" i="21" l="1"/>
  <c r="C3" i="6" l="1"/>
  <c r="C4" i="6"/>
  <c r="C5" i="6"/>
  <c r="C6" i="6"/>
  <c r="G20" i="19" l="1"/>
  <c r="G19" i="19"/>
  <c r="G18" i="19" l="1"/>
  <c r="G19" i="6"/>
  <c r="C19" i="19" l="1"/>
  <c r="C20" i="19"/>
  <c r="C18" i="19"/>
  <c r="E13" i="4" s="1"/>
  <c r="G14" i="19"/>
  <c r="C14" i="19"/>
  <c r="C13" i="19"/>
  <c r="G13" i="19"/>
  <c r="M19" i="6"/>
  <c r="E15" i="4" l="1"/>
  <c r="H30" i="15" l="1"/>
  <c r="H33" i="15"/>
  <c r="H43" i="15"/>
  <c r="H42" i="15"/>
  <c r="H41" i="15"/>
  <c r="H38" i="15"/>
  <c r="H37" i="15"/>
  <c r="H36" i="15"/>
  <c r="H35" i="15"/>
  <c r="H32" i="15"/>
  <c r="H31" i="15"/>
  <c r="H29" i="15"/>
  <c r="H28" i="15"/>
  <c r="H25" i="15"/>
  <c r="H24" i="15"/>
  <c r="H23" i="15"/>
  <c r="H22" i="15"/>
  <c r="H21" i="15"/>
  <c r="H20" i="15"/>
  <c r="H19" i="15"/>
  <c r="H18" i="15"/>
  <c r="H17" i="15"/>
  <c r="H16" i="15"/>
  <c r="H15" i="15"/>
  <c r="H14" i="15"/>
  <c r="H11" i="15"/>
  <c r="H10" i="15"/>
  <c r="H9" i="15"/>
  <c r="H8" i="15"/>
  <c r="H7" i="15"/>
  <c r="G17" i="19"/>
  <c r="G40" i="19" s="1"/>
  <c r="I5" i="6" l="1"/>
  <c r="H5" i="6"/>
  <c r="I4" i="6"/>
  <c r="H4" i="6"/>
  <c r="J5" i="6" l="1"/>
  <c r="J4" i="6"/>
  <c r="B12" i="4" l="1"/>
  <c r="I3" i="6" l="1"/>
  <c r="I10" i="6" l="1"/>
  <c r="I11" i="6"/>
  <c r="J10" i="6" l="1"/>
  <c r="I6" i="6" l="1"/>
  <c r="H6" i="15" l="1"/>
  <c r="J11" i="6" l="1"/>
  <c r="H4" i="15" l="1"/>
  <c r="H3" i="15"/>
  <c r="H5" i="15" l="1"/>
  <c r="C12" i="4" l="1"/>
  <c r="H3" i="6" l="1"/>
  <c r="J3" i="6" s="1"/>
  <c r="H6" i="6"/>
  <c r="J6" i="6" s="1"/>
  <c r="D9" i="15"/>
  <c r="E9" i="15" l="1"/>
  <c r="G9" i="15"/>
  <c r="I9" i="15" s="1"/>
  <c r="C14" i="4"/>
  <c r="D3" i="15" l="1"/>
  <c r="D10" i="15"/>
  <c r="C13" i="4"/>
  <c r="C15" i="4"/>
  <c r="C16" i="4"/>
  <c r="D5" i="15" s="1"/>
  <c r="C17" i="4"/>
  <c r="D12" i="15" l="1"/>
  <c r="D13" i="15"/>
  <c r="E49" i="15"/>
  <c r="D7" i="23"/>
  <c r="D6" i="23"/>
  <c r="D5" i="23"/>
  <c r="D3" i="23"/>
  <c r="D4" i="23"/>
  <c r="N6" i="23"/>
  <c r="D11" i="23"/>
  <c r="P6" i="23"/>
  <c r="Q6" i="23"/>
  <c r="J6" i="23"/>
  <c r="D13" i="23"/>
  <c r="O6" i="23"/>
  <c r="K6" i="23"/>
  <c r="M6" i="23"/>
  <c r="D12" i="23"/>
  <c r="H6" i="23"/>
  <c r="D14" i="23"/>
  <c r="I6" i="23"/>
  <c r="L6" i="23"/>
  <c r="D27" i="15"/>
  <c r="E48" i="15"/>
  <c r="E47" i="15"/>
  <c r="E46" i="15"/>
  <c r="E17" i="4"/>
  <c r="E16" i="4" s="1"/>
  <c r="D8" i="15"/>
  <c r="D17" i="15"/>
  <c r="D15" i="15"/>
  <c r="G3" i="15"/>
  <c r="I3" i="15" s="1"/>
  <c r="E3" i="15"/>
  <c r="E10" i="15"/>
  <c r="G10" i="15"/>
  <c r="I10" i="15" s="1"/>
  <c r="D4" i="15"/>
  <c r="H9" i="6"/>
  <c r="J9" i="6" s="1"/>
  <c r="D7" i="15"/>
  <c r="E5" i="15"/>
  <c r="G5" i="15"/>
  <c r="I5" i="15" s="1"/>
  <c r="D16" i="15"/>
  <c r="D6" i="15"/>
  <c r="D11" i="15"/>
  <c r="D14" i="15"/>
  <c r="B11" i="4"/>
  <c r="H44" i="15"/>
  <c r="E27" i="15" l="1"/>
  <c r="G27" i="15"/>
  <c r="I27" i="15" s="1"/>
  <c r="E45" i="15"/>
  <c r="E13" i="15"/>
  <c r="G13" i="15"/>
  <c r="I13" i="15" s="1"/>
  <c r="G12" i="15"/>
  <c r="I12" i="15" s="1"/>
  <c r="E12" i="15"/>
  <c r="E15" i="15"/>
  <c r="G15" i="15"/>
  <c r="I15" i="15" s="1"/>
  <c r="G17" i="15"/>
  <c r="I17" i="15" s="1"/>
  <c r="E17" i="15"/>
  <c r="E8" i="15"/>
  <c r="G8" i="15"/>
  <c r="I8" i="15" s="1"/>
  <c r="E4" i="15"/>
  <c r="G4" i="15"/>
  <c r="I4" i="15" s="1"/>
  <c r="E7" i="15"/>
  <c r="G7" i="15"/>
  <c r="I7" i="15" s="1"/>
  <c r="E14" i="15"/>
  <c r="G14" i="15"/>
  <c r="I14" i="15" s="1"/>
  <c r="E6" i="15"/>
  <c r="G6" i="15"/>
  <c r="I6" i="15" s="1"/>
  <c r="G11" i="15"/>
  <c r="I11" i="15" s="1"/>
  <c r="E11" i="15"/>
  <c r="E16" i="15"/>
  <c r="G16" i="15"/>
  <c r="I16" i="15" s="1"/>
  <c r="D32" i="15" l="1"/>
  <c r="E32" i="15" l="1"/>
  <c r="G32" i="15"/>
  <c r="D38" i="15"/>
  <c r="D21" i="15"/>
  <c r="D26" i="15"/>
  <c r="D40" i="15"/>
  <c r="D37" i="15"/>
  <c r="D42" i="15"/>
  <c r="D39" i="15"/>
  <c r="D41" i="15"/>
  <c r="D34" i="15"/>
  <c r="D43" i="15"/>
  <c r="D30" i="15"/>
  <c r="D36" i="15"/>
  <c r="D44" i="15"/>
  <c r="D35" i="15"/>
  <c r="D33" i="15"/>
  <c r="G33" i="15" s="1"/>
  <c r="I33" i="15" s="1"/>
  <c r="D31" i="15"/>
  <c r="D29" i="15"/>
  <c r="D28" i="15"/>
  <c r="D25" i="15"/>
  <c r="D24" i="15"/>
  <c r="D23" i="15"/>
  <c r="D22" i="15"/>
  <c r="D20" i="15"/>
  <c r="D19" i="15"/>
  <c r="D18" i="15"/>
  <c r="I32" i="15" l="1"/>
  <c r="E18" i="15"/>
  <c r="G18" i="15"/>
  <c r="E20" i="15"/>
  <c r="G20" i="15"/>
  <c r="E23" i="15"/>
  <c r="G23" i="15"/>
  <c r="E25" i="15"/>
  <c r="G25" i="15"/>
  <c r="E29" i="15"/>
  <c r="G29" i="15"/>
  <c r="E33" i="15"/>
  <c r="E44" i="15"/>
  <c r="G44" i="15"/>
  <c r="E30" i="15"/>
  <c r="G30" i="15"/>
  <c r="E34" i="15"/>
  <c r="G34" i="15"/>
  <c r="E39" i="15"/>
  <c r="G39" i="15"/>
  <c r="E40" i="15"/>
  <c r="G40" i="15"/>
  <c r="E21" i="15"/>
  <c r="G21" i="15"/>
  <c r="E19" i="15"/>
  <c r="G19" i="15"/>
  <c r="E22" i="15"/>
  <c r="G22" i="15"/>
  <c r="E24" i="15"/>
  <c r="G24" i="15"/>
  <c r="E28" i="15"/>
  <c r="G28" i="15"/>
  <c r="E31" i="15"/>
  <c r="G31" i="15"/>
  <c r="E35" i="15"/>
  <c r="G35" i="15"/>
  <c r="E36" i="15"/>
  <c r="G36" i="15"/>
  <c r="E43" i="15"/>
  <c r="G43" i="15"/>
  <c r="E41" i="15"/>
  <c r="G41" i="15"/>
  <c r="E42" i="15"/>
  <c r="G42" i="15"/>
  <c r="E37" i="15"/>
  <c r="E26" i="15"/>
  <c r="G26" i="15"/>
  <c r="E38" i="15"/>
  <c r="G38" i="15"/>
  <c r="I38" i="15" l="1"/>
  <c r="I26" i="15"/>
  <c r="I37" i="15"/>
  <c r="I42" i="15"/>
  <c r="I41" i="15"/>
  <c r="I43" i="15"/>
  <c r="I36" i="15"/>
  <c r="I35" i="15"/>
  <c r="I31" i="15"/>
  <c r="I28" i="15"/>
  <c r="I24" i="15"/>
  <c r="I22" i="15"/>
  <c r="I19" i="15"/>
  <c r="I21" i="15"/>
  <c r="I40" i="15"/>
  <c r="I39" i="15"/>
  <c r="I34" i="15"/>
  <c r="I30" i="15"/>
  <c r="I44" i="15"/>
  <c r="I29" i="15"/>
  <c r="I25" i="15"/>
  <c r="I23" i="15"/>
  <c r="I20" i="15"/>
  <c r="I1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4" authorId="0" shapeId="0" xr:uid="{11A0EBC2-613B-4887-B643-E214E982A3B7}">
      <text>
        <r>
          <rPr>
            <b/>
            <sz val="12"/>
            <color indexed="81"/>
            <rFont val="Times New Roman"/>
            <family val="1"/>
          </rPr>
          <t>Prohibited Schools</t>
        </r>
        <r>
          <rPr>
            <sz val="12"/>
            <color indexed="81"/>
            <rFont val="Times New Roman"/>
            <family val="1"/>
          </rPr>
          <t xml:space="preserve">
Necromancy &amp; Transmutation</t>
        </r>
      </text>
    </comment>
    <comment ref="C10" authorId="0" shapeId="0" xr:uid="{1C1111AF-ED32-40F9-8655-1A0248A328A7}">
      <text>
        <r>
          <rPr>
            <i/>
            <sz val="12"/>
            <color indexed="81"/>
            <rFont val="Times New Roman"/>
            <family val="1"/>
          </rPr>
          <t>aid +1</t>
        </r>
      </text>
    </comment>
    <comment ref="E11" authorId="0" shapeId="0" xr:uid="{F7571848-E632-4399-8CF5-F9963D5239BB}">
      <text>
        <r>
          <rPr>
            <sz val="12"/>
            <color indexed="81"/>
            <rFont val="Times New Roman"/>
            <family val="1"/>
          </rPr>
          <t>Next level at 10,000 XPs</t>
        </r>
      </text>
    </comment>
    <comment ref="E12" authorId="0" shapeId="0" xr:uid="{9F90969E-A873-48D2-ADE1-84BF5E2AFE6E}">
      <text>
        <r>
          <rPr>
            <sz val="12"/>
            <color indexed="81"/>
            <rFont val="Times New Roman"/>
            <family val="1"/>
          </rPr>
          <t>See PHB 162</t>
        </r>
      </text>
    </comment>
    <comment ref="E14" authorId="0" shapeId="0" xr:uid="{00000000-0006-0000-0000-00000A000000}">
      <text>
        <r>
          <rPr>
            <sz val="12"/>
            <color indexed="81"/>
            <rFont val="Times New Roman"/>
            <family val="1"/>
          </rPr>
          <t xml:space="preserve">   [(3 * 6 Rogue) * 75%]
   [(1 * 4 Illusionist) * 75%]
+ (4 * 1 Con)</t>
        </r>
      </text>
    </comment>
    <comment ref="E15" authorId="0" shapeId="0" xr:uid="{00000000-0006-0000-0000-00000B000000}">
      <text>
        <r>
          <rPr>
            <sz val="12"/>
            <color indexed="81"/>
            <rFont val="Times New Roman"/>
            <family val="1"/>
          </rPr>
          <t>+1 Small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23" authorId="0" shapeId="0" xr:uid="{00000000-0006-0000-0100-000004000000}">
      <text>
        <r>
          <rPr>
            <sz val="12"/>
            <color indexed="81"/>
            <rFont val="Times New Roman"/>
            <family val="1"/>
          </rPr>
          <t>Small +4</t>
        </r>
      </text>
    </comment>
    <comment ref="F28" authorId="0" shapeId="0" xr:uid="{00000000-0006-0000-0100-000005000000}">
      <text>
        <r>
          <rPr>
            <sz val="12"/>
            <color indexed="81"/>
            <rFont val="Times New Roman"/>
            <family val="1"/>
          </rPr>
          <t>Gnome +2</t>
        </r>
      </text>
    </comment>
    <comment ref="F29" authorId="0" shapeId="0" xr:uid="{00000000-0006-0000-0100-000006000000}">
      <text>
        <r>
          <rPr>
            <sz val="12"/>
            <color indexed="81"/>
            <rFont val="Times New Roman"/>
            <family val="1"/>
          </rPr>
          <t>Gnome (Small) +4</t>
        </r>
      </text>
    </comment>
    <comment ref="F39" authorId="0" shapeId="0" xr:uid="{00000000-0006-0000-0100-000008000000}">
      <text>
        <r>
          <rPr>
            <sz val="12"/>
            <color indexed="81"/>
            <rFont val="Times New Roman"/>
            <family val="1"/>
          </rPr>
          <t>Gnome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3" authorId="0" shapeId="0" xr:uid="{39EF3187-CFDF-4836-9710-2EEB3E1D4867}">
      <text>
        <r>
          <rPr>
            <sz val="12"/>
            <color indexed="81"/>
            <rFont val="Times New Roman"/>
            <family val="1"/>
          </rPr>
          <t>Miniature cloak</t>
        </r>
      </text>
    </comment>
    <comment ref="D8" authorId="0" shapeId="0" xr:uid="{28ADAE1F-5865-477F-9421-C04DBAC5FFFA}">
      <text>
        <r>
          <rPr>
            <sz val="12"/>
            <color indexed="81"/>
            <rFont val="Times New Roman"/>
            <family val="1"/>
          </rPr>
          <t>Wool or fur</t>
        </r>
      </text>
    </comment>
    <comment ref="D11" authorId="0" shapeId="0" xr:uid="{AE2410AC-1086-4AD5-80B1-35A36D812877}">
      <text>
        <r>
          <rPr>
            <sz val="12"/>
            <color indexed="81"/>
            <rFont val="Times New Roman"/>
            <family val="1"/>
          </rPr>
          <t>Phosphorescent moss</t>
        </r>
      </text>
    </comment>
    <comment ref="D14" authorId="0" shapeId="0" xr:uid="{07C3B68E-76ED-4B37-A7E1-DAE881635D53}">
      <text>
        <r>
          <rPr>
            <sz val="12"/>
            <color indexed="81"/>
            <rFont val="Times New Roman"/>
            <family val="1"/>
          </rPr>
          <t>Wool or wax</t>
        </r>
      </text>
    </comment>
    <comment ref="D20" authorId="0" shapeId="0" xr:uid="{47DAA3D4-1DB3-4B6A-B9C3-0C9E6BBCD0FB}">
      <text>
        <r>
          <rPr>
            <sz val="12"/>
            <color indexed="81"/>
            <rFont val="Times New Roman"/>
            <family val="1"/>
          </rPr>
          <t>Prism, lens, or monocle</t>
        </r>
      </text>
    </comment>
    <comment ref="D21" authorId="0" shapeId="0" xr:uid="{0A0D8C7D-2B74-4BD4-A3FB-88DDAB2DDC73}">
      <text>
        <r>
          <rPr>
            <sz val="12"/>
            <color indexed="81"/>
            <rFont val="Times New Roman"/>
            <family val="1"/>
          </rPr>
          <t>Tiny bell and a piece of fine silver wire</t>
        </r>
      </text>
    </comment>
    <comment ref="D22" authorId="0" shapeId="0" xr:uid="{C0738328-B02A-430E-8040-9F4B23601A5E}">
      <text>
        <r>
          <rPr>
            <sz val="12"/>
            <color indexed="81"/>
            <rFont val="Times New Roman"/>
            <family val="1"/>
          </rPr>
          <t>Cured leather</t>
        </r>
      </text>
    </comment>
    <comment ref="D23" authorId="0" shapeId="0" xr:uid="{BA56E4EF-C195-4856-874B-B96295CA43F9}">
      <text>
        <r>
          <rPr>
            <sz val="12"/>
            <color indexed="81"/>
            <rFont val="Times New Roman"/>
            <family val="1"/>
          </rPr>
          <t>Drop of mercury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2" authorId="0" shapeId="0" xr:uid="{ED1960EA-635E-416B-97E3-DB6631400E5F}">
      <text>
        <r>
          <rPr>
            <sz val="12"/>
            <color indexed="81"/>
            <rFont val="Times New Roman"/>
            <family val="1"/>
          </rPr>
          <t>If a rogue can catch an opponent when he is unable to defend himself effectively from her attack, she can strike a vital spot for extra damage.  Basically, the rogue’s attack deals extra damage any time her target would be denied a Dexterity bonus to AC (whether the target actually has a Dexterity bonus or not), or when the rogue flanks her target.  This extra damage is 1d6 at 1st level, and it increases by 1d6 every two rogue levels thereafter.  Should the rogue score a critical hit with a sneak attack, this extra damage is not multiplied.  (See Table 8–5:  Attack Roll Modifiers and Table 8–6:  Armor Class Modifiers, page 151, for combat situations in which the rogue flanks an opponent or the opponent loses his Dexterity bonus to AC.)
Ranged attacks can count as sneak attacks only if the target is within 30 feet.  A rogue can’t strike with deadly accuracy from beyond that range.
With a sap (blackjack) or an unarmed strike, a rogue can make a sneak attack that deals nonlethal damage instead of lethal damage. She cannot use a weapon that deals lethal damage to deal nonlethal damage in a sneak attack, not even with the usual –4 penalty, because she must make optimal use of her weapon in order to execute a sneak attack.  (See Nonlethal Damage, page 146.)
A rogue can sneak attack only living creatures with discernible anatomies—undead, constructs, oozes, plants, and incorporeal creatures lack vital areas to attack.  Any creature that is immune to critical hits is not vulnerable to sneak attacks.  The rogue must be able to see the target well enough to pick out a vital spot and must be able to reach such a spot.  A rogue cannot sneak attack while striking a creature with concealment (see page 152) or striking the limbs of a creature whose vitals are beyond reach.   
PHB 50</t>
        </r>
      </text>
    </comment>
    <comment ref="C3" authorId="0" shapeId="0" xr:uid="{56651AA1-35DB-46D8-9D03-2853C82840EA}">
      <text>
        <r>
          <rPr>
            <sz val="12"/>
            <color indexed="81"/>
            <rFont val="Times New Roman"/>
            <family val="1"/>
          </rPr>
          <t>At 3rd level, a rogue gains an intuitive sense that alerts her to danger from traps, giving her a +1 bonus on Reflex saves made to avoid traps and a +1 dodge bonus to AC against attacks made by traps.  These bonuses rise to +2 when the rogue reaches 6th level, to +3 when she reaches 9th level, to +4 when she reaches 12th level, to +5 at 15th, and to +6 at 18th level.
Trap sense bonuses gained from multiple classes stack.
PHB 50</t>
        </r>
      </text>
    </comment>
    <comment ref="C4" authorId="0" shapeId="0" xr:uid="{BE37330F-357E-4B5D-AB1A-BFB05AECB7F4}">
      <text>
        <r>
          <rPr>
            <sz val="12"/>
            <color indexed="81"/>
            <rFont val="Times New Roman"/>
            <family val="1"/>
          </rPr>
          <t>At 2nd level and higher, a rogue can avoid even magical and unusual attacks with great agility.  If she makes a successful Reflex saving throw against an attack that normally deals half damage on a successful save (such as a red dragon’s fiery breath or a fireball), she instead takes no damage.  Evasion can be used only if the rogue is wearing light armor or no armor.  A helpless rogue (such as one who is unconscious or paralysed) does not gain the benefit of evasion.
PHB 50</t>
        </r>
      </text>
    </comment>
    <comment ref="C5" authorId="0" shapeId="0" xr:uid="{B349AFCA-6596-412B-897D-433042ED9333}">
      <text>
        <r>
          <rPr>
            <sz val="12"/>
            <color indexed="81"/>
            <rFont val="Times New Roman"/>
            <family val="1"/>
          </rPr>
          <t>Rogues (and only rogues) can use the Search skill to locate traps when the task has a Difficulty Class higher than 20.
Finding a nonmagical trap has a DC of at least 20, or higher if it is well hidden.  Finding a magic trap has a DC of 25 + the level of the spell used to create it.
Rogues (and only rogues)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A7" authorId="0" shapeId="0" xr:uid="{5FC6298E-2D01-40FA-BAED-1270D7884C5C}">
      <text>
        <r>
          <rPr>
            <sz val="12"/>
            <color indexed="81"/>
            <rFont val="Times New Roman"/>
            <family val="1"/>
          </rPr>
          <t>Hand crossbow, rapier, sap, shortbow, and short sword.
PHB 50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3" authorId="0" shapeId="0" xr:uid="{00000000-0006-0000-0600-000001000000}">
      <text>
        <r>
          <rPr>
            <sz val="12"/>
            <color indexed="81"/>
            <rFont val="Times New Roman"/>
            <family val="1"/>
          </rPr>
          <t>Balance, Climb, Escape Artist, Hide, Jump, Move Silently, Sleight of Hand, Tumble.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3" authorId="0" shapeId="0" xr:uid="{7F6E11B4-2265-4F52-A9F3-FFA5BC8B0905}">
      <text>
        <r>
          <rPr>
            <sz val="12"/>
            <color indexed="81"/>
            <rFont val="Times New Roman"/>
            <family val="1"/>
          </rPr>
          <t>#1 – Ordinary travel clothes (the short-sleeved gambeson is part of her armor) with a light cloak, as shown on her portrait pic. (The cloak isn’t visible in the pics, because I have trouble rendering them.)
#2 – Casual outfit shown in her second pic. Also includes a lightweight burgundy thigh-length embroidered cloak that she pulls to the back when it’s not in use.
#3 – Light tan, light brown, and medium tan ghillie suit – manifests strips of cloth everywhere not covered by the chain shirt. The cloak extends to cover her head, torso and thighs, front and back.
#4 – Medium green, dark green, and brown ghillie suit – same coverage.
#5 – White and gray ghillie suit –same coverage, but the base cloth extrudes an extra layer for insulation from the cold.
She does own a coat and a heavy woolen cloak that can fit over her Shiftweave for winter travel, but they’re ordinary clothes.</t>
        </r>
      </text>
    </comment>
    <comment ref="A4" authorId="0" shapeId="0" xr:uid="{14BB4F4D-0A96-4855-93E1-13C5EC5FC2E8}">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1 charge:  Heals 2d8 points of damage.
2 charges:  Heals 3d8 points of damage.
3 charges:  Heals 4d8 points of damage.
Prerequisites:  Craft Wondrous Item, cure moderate wounds.
Cost to Create:  500 gp, 40 XP, 1 day.
MIC 110</t>
        </r>
      </text>
    </comment>
    <comment ref="A23" authorId="0" shapeId="0" xr:uid="{5FED62F0-D645-4BCB-8842-7F0663DA3E00}">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List>
</comments>
</file>

<file path=xl/sharedStrings.xml><?xml version="1.0" encoding="utf-8"?>
<sst xmlns="http://schemas.openxmlformats.org/spreadsheetml/2006/main" count="581" uniqueCount="309">
  <si>
    <t>Melee Weapon</t>
  </si>
  <si>
    <t>Dmg</t>
  </si>
  <si>
    <t>Qty.</t>
  </si>
  <si>
    <t>Ranged Weapon</t>
  </si>
  <si>
    <t>Dmg.</t>
  </si>
  <si>
    <t>Rng.</t>
  </si>
  <si>
    <t>Skills</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</si>
  <si>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</si>
  <si>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</si>
  <si>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</si>
  <si>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</si>
  <si>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</si>
  <si>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</si>
  <si>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</si>
  <si>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</si>
  <si>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</si>
  <si>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</si>
  <si>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</si>
  <si>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</si>
  <si>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</si>
  <si>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</si>
  <si>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</si>
  <si>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</si>
  <si>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</si>
  <si>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</si>
  <si>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</si>
  <si>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</si>
  <si>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</si>
  <si>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</si>
  <si>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</si>
  <si>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</si>
  <si>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</si>
  <si>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</si>
  <si>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</si>
  <si>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</si>
  <si>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</si>
  <si>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</si>
  <si>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</si>
  <si>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</si>
  <si>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</si>
  <si>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</si>
  <si>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</si>
  <si>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</si>
  <si>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</si>
  <si>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</si>
  <si>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</si>
  <si>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</si>
  <si>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</si>
  <si>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</si>
  <si>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</si>
  <si>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</si>
  <si>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</si>
  <si>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</si>
  <si>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</si>
  <si>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</si>
  <si>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</si>
  <si>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Will</t>
  </si>
  <si>
    <t>Armor &amp; Shield</t>
  </si>
  <si>
    <t>Missiles</t>
  </si>
  <si>
    <t>Languages</t>
  </si>
  <si>
    <t>Equipment Worn</t>
  </si>
  <si>
    <t>Item</t>
  </si>
  <si>
    <t>Effects/</t>
  </si>
  <si>
    <t>Notes</t>
  </si>
  <si>
    <t>Equipment Carried</t>
  </si>
  <si>
    <t>Check</t>
  </si>
  <si>
    <t>Arcane</t>
  </si>
  <si>
    <t>Speed</t>
  </si>
  <si>
    <t>Knowledge:  Arcana</t>
  </si>
  <si>
    <t>Sleight of Hand</t>
  </si>
  <si>
    <t>Survival</t>
  </si>
  <si>
    <t>Weapon Proficiencies</t>
  </si>
  <si>
    <t>Atk</t>
  </si>
  <si>
    <t>Feats</t>
  </si>
  <si>
    <t>2</t>
  </si>
  <si>
    <t>Roll</t>
  </si>
  <si>
    <t>Spell</t>
  </si>
  <si>
    <t>-</t>
  </si>
  <si>
    <t>Gnome</t>
  </si>
  <si>
    <t>Level</t>
  </si>
  <si>
    <t>DC</t>
  </si>
  <si>
    <t>Cast?</t>
  </si>
  <si>
    <t>Skill/Save</t>
  </si>
  <si>
    <t>Ghost Sound</t>
  </si>
  <si>
    <t>Racial Abilities</t>
  </si>
  <si>
    <t>+1 vs. kobolds &amp; goblinoids</t>
  </si>
  <si>
    <t>+4 dodge vs. Giant type</t>
  </si>
  <si>
    <t>Bludgeon</t>
  </si>
  <si>
    <t>1d3</t>
  </si>
  <si>
    <t>Gold Pieces</t>
  </si>
  <si>
    <t>CLev</t>
  </si>
  <si>
    <t>Low-light Vision</t>
  </si>
  <si>
    <t>Backpack</t>
  </si>
  <si>
    <t>4</t>
  </si>
  <si>
    <t>Wands, Scrolls and Potions</t>
  </si>
  <si>
    <t>Grapple, Unarmed Strike</t>
  </si>
  <si>
    <t>x2</t>
  </si>
  <si>
    <t>Value</t>
  </si>
  <si>
    <t>Fortitude</t>
  </si>
  <si>
    <t>Reflex</t>
  </si>
  <si>
    <t>Gnome Hammer treated as martial</t>
  </si>
  <si>
    <t>Simple Weapons, Light Armor</t>
  </si>
  <si>
    <t>Perform:  [type]</t>
  </si>
  <si>
    <t>q</t>
  </si>
  <si>
    <t>Ranged Touch Spell</t>
  </si>
  <si>
    <t>Played by JR Roberts</t>
  </si>
  <si>
    <t>Saradette</t>
  </si>
  <si>
    <t>Female</t>
  </si>
  <si>
    <t>3’ 9”</t>
  </si>
  <si>
    <t>44 lbs.</t>
  </si>
  <si>
    <t>Mayaheine</t>
  </si>
  <si>
    <t>Chaotic Good</t>
  </si>
  <si>
    <t>The Dalelands</t>
  </si>
  <si>
    <t>Personality, History, and Notes</t>
  </si>
  <si>
    <t>30’</t>
  </si>
  <si>
    <t>Rogue</t>
  </si>
  <si>
    <t>Rogue 1</t>
  </si>
  <si>
    <t>Rogue Features</t>
  </si>
  <si>
    <t>Trapfinding</t>
  </si>
  <si>
    <t>Goblinoid</t>
  </si>
  <si>
    <t>Gnomish, Common, Elvish</t>
  </si>
  <si>
    <t>1st:  Run</t>
  </si>
  <si>
    <t>Rogue Weapons</t>
  </si>
  <si>
    <t>Shortbow</t>
  </si>
  <si>
    <t>Short Sword</t>
  </si>
  <si>
    <t>1d4</t>
  </si>
  <si>
    <t>Dagger 1</t>
  </si>
  <si>
    <t>Dagger 2</t>
  </si>
  <si>
    <t>19-20/x2</t>
  </si>
  <si>
    <t>Slsh/Prc</t>
  </si>
  <si>
    <t>Arrows</t>
  </si>
  <si>
    <t>Thieves’ Tools</t>
  </si>
  <si>
    <t>Bedroll</t>
  </si>
  <si>
    <t>Possibles Bag</t>
  </si>
  <si>
    <t>Flint and Steel</t>
  </si>
  <si>
    <t>Waterskin</t>
  </si>
  <si>
    <t>Trail Rations</t>
  </si>
  <si>
    <t>Sapphires</t>
  </si>
  <si>
    <t>Silver Pieces</t>
  </si>
  <si>
    <t>Copper Pieces</t>
  </si>
  <si>
    <t>Speak Language:  [Language]</t>
  </si>
  <si>
    <t>Craft:  Metalworking</t>
  </si>
  <si>
    <t>Rock</t>
  </si>
  <si>
    <r>
      <t>25</t>
    </r>
    <r>
      <rPr>
        <sz val="13"/>
        <rFont val="Times New Roman"/>
        <family val="1"/>
      </rPr>
      <t>/</t>
    </r>
    <r>
      <rPr>
        <sz val="13"/>
        <color indexed="51"/>
        <rFont val="Times New Roman"/>
        <family val="1"/>
      </rPr>
      <t>50</t>
    </r>
    <r>
      <rPr>
        <sz val="13"/>
        <rFont val="Times New Roman"/>
        <family val="1"/>
      </rPr>
      <t>/</t>
    </r>
    <r>
      <rPr>
        <sz val="13"/>
        <color indexed="10"/>
        <rFont val="Times New Roman"/>
        <family val="1"/>
      </rPr>
      <t>75</t>
    </r>
  </si>
  <si>
    <t>SF</t>
  </si>
  <si>
    <t>1</t>
  </si>
  <si>
    <t>Dancing Lights</t>
  </si>
  <si>
    <t>Prestidigitation</t>
  </si>
  <si>
    <t>Speak with Animals</t>
  </si>
  <si>
    <t>Piercing</t>
  </si>
  <si>
    <t>x3</t>
  </si>
  <si>
    <t>60’</t>
  </si>
  <si>
    <t>Clothes &amp; Toiletries</t>
  </si>
  <si>
    <t>Rock Gnome Spells</t>
  </si>
  <si>
    <t>Artificer</t>
  </si>
  <si>
    <t>Race</t>
  </si>
  <si>
    <t>Subrace</t>
  </si>
  <si>
    <t>Class</t>
  </si>
  <si>
    <t>Deity</t>
  </si>
  <si>
    <t>Height</t>
  </si>
  <si>
    <t>Age</t>
  </si>
  <si>
    <t>Weight</t>
  </si>
  <si>
    <t>Region</t>
  </si>
  <si>
    <t>Sex</t>
  </si>
  <si>
    <t>Alignment</t>
  </si>
  <si>
    <t>Attack Bonus</t>
  </si>
  <si>
    <t>Initiative</t>
  </si>
  <si>
    <t>XP</t>
  </si>
  <si>
    <t>Strength</t>
  </si>
  <si>
    <t>Lb. Capacity</t>
  </si>
  <si>
    <t>Dexterity</t>
  </si>
  <si>
    <t>Lb. Carried</t>
  </si>
  <si>
    <t>Constitution</t>
  </si>
  <si>
    <t>Hit Points</t>
  </si>
  <si>
    <t>Intelligence</t>
  </si>
  <si>
    <t>Touch AC</t>
  </si>
  <si>
    <t>Wisdom</t>
  </si>
  <si>
    <t>FF AC</t>
  </si>
  <si>
    <t>Charisma</t>
  </si>
  <si>
    <t>AC</t>
  </si>
  <si>
    <t>Character:</t>
  </si>
  <si>
    <t>%</t>
  </si>
  <si>
    <t>Excellent</t>
  </si>
  <si>
    <t>Missed Posts</t>
  </si>
  <si>
    <t>Maximum award for this segment</t>
  </si>
  <si>
    <t xml:space="preserve"> Character award for this segment</t>
  </si>
  <si>
    <t>Extra XPs</t>
  </si>
  <si>
    <t>Previous XP Balance</t>
  </si>
  <si>
    <t>Current XP Balance</t>
  </si>
  <si>
    <t>20’</t>
  </si>
  <si>
    <t>Attention to spelling &amp; punctuation; Consistent use of past tense, third person</t>
  </si>
  <si>
    <t>Thoroughness and clarity</t>
  </si>
  <si>
    <t>Average</t>
  </si>
  <si>
    <t>Level-appropriate use of skills, feats, limitations, and other features</t>
  </si>
  <si>
    <t>Convincing role-playing and character development</t>
  </si>
  <si>
    <t>Consistency with other characters’ actions and setting description</t>
  </si>
  <si>
    <t>Good</t>
  </si>
  <si>
    <t>Rogue 2</t>
  </si>
  <si>
    <t>CROSS-CLASS</t>
  </si>
  <si>
    <t>Evasion</t>
  </si>
  <si>
    <t>Illusionist</t>
  </si>
  <si>
    <t>Illusionist 1</t>
  </si>
  <si>
    <t>Knowledge:  Arch. &amp; Eng.</t>
  </si>
  <si>
    <t>3rd:  Lightning Reflexes</t>
  </si>
  <si>
    <t>Illusionist Abilities</t>
  </si>
  <si>
    <t>Scribe Scroll</t>
  </si>
  <si>
    <t>School</t>
  </si>
  <si>
    <t>Components</t>
  </si>
  <si>
    <t>Casting</t>
  </si>
  <si>
    <t>Range</t>
  </si>
  <si>
    <t>Duration</t>
  </si>
  <si>
    <t>Reference</t>
  </si>
  <si>
    <t>Page</t>
  </si>
  <si>
    <t>Acid Splash</t>
  </si>
  <si>
    <t>Conjuration</t>
  </si>
  <si>
    <t>V S</t>
  </si>
  <si>
    <t>1 SA</t>
  </si>
  <si>
    <t>25’ + 2½’/lvl</t>
  </si>
  <si>
    <t>Instant</t>
  </si>
  <si>
    <t>PHB</t>
  </si>
  <si>
    <t>Daze</t>
  </si>
  <si>
    <t>Enchantment</t>
  </si>
  <si>
    <t>V S M</t>
  </si>
  <si>
    <t>1 round</t>
  </si>
  <si>
    <t>Divination</t>
  </si>
  <si>
    <t>Personal</t>
  </si>
  <si>
    <t>Touch</t>
  </si>
  <si>
    <t>1 rnd/lvl</t>
  </si>
  <si>
    <t>V</t>
  </si>
  <si>
    <t>1 hour</t>
  </si>
  <si>
    <t>Evocation</t>
  </si>
  <si>
    <t>V S M/DF</t>
  </si>
  <si>
    <t>100’ + 10’/lvl</t>
  </si>
  <si>
    <t>1 min/lvl</t>
  </si>
  <si>
    <t>10 min/lvl</t>
  </si>
  <si>
    <t>Illusion</t>
  </si>
  <si>
    <t>Abjuration</t>
  </si>
  <si>
    <t>Spell Compendium</t>
  </si>
  <si>
    <t>V S F</t>
  </si>
  <si>
    <t>Resistance</t>
  </si>
  <si>
    <t>Caltrops</t>
  </si>
  <si>
    <t>Ray of Frost</t>
  </si>
  <si>
    <t>Detect Poison</t>
  </si>
  <si>
    <t>Electric Jolt</t>
  </si>
  <si>
    <t>Flare</t>
  </si>
  <si>
    <t>Light</t>
  </si>
  <si>
    <t>Sonic Snap</t>
  </si>
  <si>
    <t>Silent Portal</t>
  </si>
  <si>
    <t>Unnerving Gaze</t>
  </si>
  <si>
    <t>Message</t>
  </si>
  <si>
    <t>Arcane Mark</t>
  </si>
  <si>
    <t>Detect Magic</t>
  </si>
  <si>
    <t>Read Magic</t>
  </si>
  <si>
    <t>1 minute</t>
  </si>
  <si>
    <t>V M/DF</t>
  </si>
  <si>
    <t>S</t>
  </si>
  <si>
    <t>Book of Vile Darkness</t>
  </si>
  <si>
    <t>24 hours</t>
  </si>
  <si>
    <t>10’</t>
  </si>
  <si>
    <t>1 hr/lvl</t>
  </si>
  <si>
    <t>Universal</t>
  </si>
  <si>
    <t>1 rune</t>
  </si>
  <si>
    <t>Permanent</t>
  </si>
  <si>
    <t>Alarm</t>
  </si>
  <si>
    <t>Mage Armor</t>
  </si>
  <si>
    <t>Tenser’s Floating Disk</t>
  </si>
  <si>
    <t>Endure Elements</t>
  </si>
  <si>
    <t>2 hrs/lvl</t>
  </si>
  <si>
    <t>Spells per Day by Level</t>
  </si>
  <si>
    <t>0th</t>
  </si>
  <si>
    <t>1st</t>
  </si>
  <si>
    <t>2nd</t>
  </si>
  <si>
    <t>3rd</t>
  </si>
  <si>
    <t>4th</t>
  </si>
  <si>
    <t>5th</t>
  </si>
  <si>
    <t>6th</t>
  </si>
  <si>
    <t>7th</t>
  </si>
  <si>
    <t>8th</t>
  </si>
  <si>
    <t>9th</t>
  </si>
  <si>
    <t>Base Spells</t>
  </si>
  <si>
    <t>Intelligence Bonus</t>
  </si>
  <si>
    <t>Total Spells</t>
  </si>
  <si>
    <t>Spell DC</t>
  </si>
  <si>
    <t>Effective Caster Level:</t>
  </si>
  <si>
    <t>Spellbook</t>
  </si>
  <si>
    <t>Memorized Spells</t>
  </si>
  <si>
    <t>Bonus</t>
  </si>
  <si>
    <t>Inkpen</t>
  </si>
  <si>
    <t>Ink</t>
  </si>
  <si>
    <t>Mithral Chain Shirt</t>
  </si>
  <si>
    <t>Profession:  Engineer</t>
  </si>
  <si>
    <t>Metalworking Toolkit</t>
  </si>
  <si>
    <t>Engineering Book</t>
  </si>
  <si>
    <r>
      <t xml:space="preserve">Tarapple Febble Tallniss </t>
    </r>
    <r>
      <rPr>
        <i/>
        <sz val="9"/>
        <color rgb="FFFFC000"/>
        <rFont val="Times New Roman"/>
        <family val="1"/>
      </rPr>
      <t>Nensy Gwaella Grangytee of Clan Warblerivet</t>
    </r>
  </si>
  <si>
    <t>+1 vs. Fear</t>
  </si>
  <si>
    <t>Rogue 3</t>
  </si>
  <si>
    <t>Craft:  Alchemy</t>
  </si>
  <si>
    <t>Craft:  Locksmithing</t>
  </si>
  <si>
    <t>Sneak Attack 2d6</t>
  </si>
  <si>
    <t>Summon Familiar</t>
  </si>
  <si>
    <t>Shiftweave</t>
  </si>
  <si>
    <t>Healing Belt</t>
  </si>
  <si>
    <t>Heward’s Handy Haversack</t>
  </si>
  <si>
    <t>% Full:</t>
  </si>
  <si>
    <t>https://www.amazon.com/ghillie-suit/s?k=ghillie+suit</t>
  </si>
  <si>
    <t>2½</t>
  </si>
  <si>
    <t>four</t>
  </si>
  <si>
    <t>Soft Equity Ceiling:</t>
  </si>
  <si>
    <t>Total Equity: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</si>
</sst>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474]"/>
  </numFmts>
  <fonts count="74">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0000FF"/>
      <name val="Times New Roman"/>
      <family val="1"/>
    </font>
    <font>
      <i/>
      <sz val="18"/>
      <color indexed="53"/>
      <name val="Times New Roman"/>
      <family val="1"/>
    </font>
    <font>
      <b/>
      <sz val="13"/>
      <color rgb="FF0000FF"/>
      <name val="Times New Roman"/>
      <family val="1"/>
    </font>
    <font>
      <i/>
      <sz val="22"/>
      <color rgb="FFFFC000"/>
      <name val="Times New Roman"/>
      <family val="1"/>
    </font>
    <font>
      <b/>
      <sz val="13"/>
      <color rgb="FFFFC000"/>
      <name val="Times New Roman"/>
      <family val="1"/>
    </font>
    <font>
      <sz val="13"/>
      <color rgb="FFFFC000"/>
      <name val="Times New Roman"/>
      <family val="1"/>
    </font>
    <font>
      <b/>
      <sz val="12"/>
      <color rgb="FFFFC000"/>
      <name val="Times New Roman"/>
      <family val="1"/>
    </font>
    <font>
      <sz val="12"/>
      <color rgb="FFFFC000"/>
      <name val="Times New Roman"/>
      <family val="1"/>
    </font>
    <font>
      <b/>
      <sz val="13"/>
      <color rgb="FFFF0000"/>
      <name val="Times New Roman"/>
      <family val="1"/>
    </font>
    <font>
      <b/>
      <sz val="13"/>
      <color rgb="FF7030A0"/>
      <name val="Times New Roman"/>
      <family val="1"/>
    </font>
    <font>
      <i/>
      <sz val="18"/>
      <color indexed="10"/>
      <name val="Times New Roman"/>
      <family val="1"/>
    </font>
    <font>
      <i/>
      <sz val="18"/>
      <color rgb="FFFFC000"/>
      <name val="Times New Roman"/>
      <family val="1"/>
    </font>
    <font>
      <i/>
      <sz val="18"/>
      <color indexed="57"/>
      <name val="Times New Roman"/>
      <family val="1"/>
    </font>
    <font>
      <sz val="13"/>
      <color rgb="FFFF0000"/>
      <name val="Times New Roman"/>
      <family val="1"/>
    </font>
    <font>
      <sz val="13"/>
      <name val="Wingdings"/>
      <charset val="2"/>
    </font>
    <font>
      <b/>
      <sz val="13"/>
      <color theme="0"/>
      <name val="Times New Roman"/>
      <family val="1"/>
    </font>
    <font>
      <i/>
      <sz val="16"/>
      <name val="Times New Roman"/>
      <family val="1"/>
    </font>
    <font>
      <i/>
      <sz val="10"/>
      <color rgb="FFFFC000"/>
      <name val="Times New Roman"/>
      <family val="1"/>
    </font>
    <font>
      <sz val="18"/>
      <name val="Times New Roman"/>
      <family val="1"/>
    </font>
    <font>
      <sz val="13"/>
      <color rgb="FF009900"/>
      <name val="Times New Roman"/>
      <family val="1"/>
    </font>
    <font>
      <i/>
      <sz val="18"/>
      <color theme="0" tint="-0.499984740745262"/>
      <name val="Times New Roman"/>
      <family val="1"/>
    </font>
    <font>
      <b/>
      <sz val="12"/>
      <color indexed="81"/>
      <name val="Times New Roman"/>
      <family val="1"/>
    </font>
    <font>
      <i/>
      <sz val="18"/>
      <color rgb="FF7030A0"/>
      <name val="Times New Roman"/>
      <family val="1"/>
    </font>
    <font>
      <sz val="12"/>
      <name val="Wingdings"/>
      <charset val="2"/>
    </font>
    <font>
      <sz val="13"/>
      <color rgb="FF7030A0"/>
      <name val="Times New Roman"/>
      <family val="1"/>
    </font>
    <font>
      <i/>
      <sz val="18"/>
      <color theme="0" tint="-0.249977111117893"/>
      <name val="Times New Roman"/>
      <family val="1"/>
    </font>
    <font>
      <i/>
      <sz val="16"/>
      <color rgb="FF7030A0"/>
      <name val="Times New Roman"/>
      <family val="1"/>
    </font>
    <font>
      <sz val="12"/>
      <color theme="0" tint="-0.499984740745262"/>
      <name val="Times New Roman"/>
      <family val="1"/>
    </font>
    <font>
      <b/>
      <sz val="12"/>
      <color rgb="FF9966FF"/>
      <name val="Times New Roman"/>
      <family val="1"/>
    </font>
    <font>
      <b/>
      <sz val="12"/>
      <color rgb="FF7030A0"/>
      <name val="Times New Roman"/>
      <family val="1"/>
    </font>
    <font>
      <b/>
      <sz val="12"/>
      <color theme="0"/>
      <name val="Times New Roman"/>
      <family val="1"/>
    </font>
    <font>
      <b/>
      <sz val="12"/>
      <color theme="0" tint="-0.499984740745262"/>
      <name val="Times New Roman"/>
      <family val="1"/>
    </font>
    <font>
      <i/>
      <sz val="9"/>
      <color rgb="FFFFC000"/>
      <name val="Times New Roman"/>
      <family val="1"/>
    </font>
    <font>
      <i/>
      <sz val="12"/>
      <color indexed="81"/>
      <name val="Times New Roman"/>
      <family val="1"/>
    </font>
    <font>
      <i/>
      <sz val="17"/>
      <name val="Times New Roman"/>
      <family val="1"/>
    </font>
  </fonts>
  <fills count="14">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0" tint="-0.249977111117893"/>
        <bgColor indexed="64"/>
      </patternFill>
    </fill>
    <fill>
      <patternFill patternType="solid">
        <fgColor rgb="FF7030A0"/>
        <bgColor indexed="64"/>
      </patternFill>
    </fill>
    <fill>
      <patternFill patternType="solid">
        <fgColor rgb="FFCCFFCC"/>
        <bgColor indexed="55"/>
      </patternFill>
    </fill>
    <fill>
      <patternFill patternType="solid">
        <fgColor rgb="FF6600CC"/>
        <bgColor indexed="64"/>
      </patternFill>
    </fill>
    <fill>
      <patternFill patternType="solid">
        <fgColor rgb="FFFFFF00"/>
        <bgColor indexed="64"/>
      </patternFill>
    </fill>
    <fill>
      <patternFill patternType="solid">
        <fgColor rgb="FFCC00FF"/>
        <bgColor indexed="64"/>
      </patternFill>
    </fill>
  </fills>
  <borders count="152">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double">
        <color indexed="64"/>
      </left>
      <right/>
      <top style="double">
        <color indexed="64"/>
      </top>
      <bottom style="thick">
        <color rgb="FF009900"/>
      </bottom>
      <diagonal/>
    </border>
    <border>
      <left/>
      <right/>
      <top style="double">
        <color indexed="64"/>
      </top>
      <bottom style="thick">
        <color rgb="FF009900"/>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medium">
        <color auto="1"/>
      </right>
      <top style="double">
        <color auto="1"/>
      </top>
      <bottom style="thin">
        <color auto="1"/>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thin">
        <color indexed="64"/>
      </top>
      <bottom/>
      <diagonal/>
    </border>
    <border>
      <left style="double">
        <color indexed="64"/>
      </left>
      <right style="double">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top style="double">
        <color indexed="64"/>
      </top>
      <bottom style="medium">
        <color indexed="64"/>
      </bottom>
      <diagonal/>
    </border>
    <border>
      <left/>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hair">
        <color indexed="64"/>
      </right>
      <top style="medium">
        <color indexed="64"/>
      </top>
      <bottom style="hair">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right style="medium">
        <color auto="1"/>
      </right>
      <top style="thin">
        <color indexed="64"/>
      </top>
      <bottom style="double">
        <color indexed="64"/>
      </bottom>
      <diagonal/>
    </border>
    <border>
      <left style="thin">
        <color indexed="64"/>
      </left>
      <right style="double">
        <color indexed="64"/>
      </right>
      <top style="hair">
        <color indexed="64"/>
      </top>
      <bottom style="double">
        <color indexed="64"/>
      </bottom>
      <diagonal/>
    </border>
    <border>
      <left/>
      <right style="double">
        <color indexed="64"/>
      </right>
      <top style="double">
        <color indexed="64"/>
      </top>
      <bottom style="thick">
        <color rgb="FF009900"/>
      </bottom>
      <diagonal/>
    </border>
    <border>
      <left/>
      <right style="double">
        <color indexed="64"/>
      </right>
      <top style="double">
        <color indexed="64"/>
      </top>
      <bottom style="thin">
        <color indexed="64"/>
      </bottom>
      <diagonal/>
    </border>
    <border>
      <left style="double">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style="double">
        <color indexed="64"/>
      </left>
      <right style="thin">
        <color indexed="64"/>
      </right>
      <top style="thin">
        <color auto="1"/>
      </top>
      <bottom style="hair">
        <color indexed="64"/>
      </bottom>
      <diagonal/>
    </border>
    <border>
      <left/>
      <right/>
      <top style="thin">
        <color auto="1"/>
      </top>
      <bottom style="hair">
        <color indexed="64"/>
      </bottom>
      <diagonal/>
    </border>
    <border>
      <left style="thin">
        <color indexed="64"/>
      </left>
      <right/>
      <top style="thin">
        <color auto="1"/>
      </top>
      <bottom style="hair">
        <color indexed="64"/>
      </bottom>
      <diagonal/>
    </border>
    <border>
      <left/>
      <right style="double">
        <color indexed="64"/>
      </right>
      <top style="thin">
        <color auto="1"/>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style="medium">
        <color indexed="64"/>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right/>
      <top/>
      <bottom style="thin">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style="medium">
        <color indexed="64"/>
      </right>
      <top style="thin">
        <color indexed="64"/>
      </top>
      <bottom style="double">
        <color auto="1"/>
      </bottom>
      <diagonal/>
    </border>
    <border>
      <left style="medium">
        <color indexed="64"/>
      </left>
      <right style="medium">
        <color indexed="64"/>
      </right>
      <top style="thin">
        <color indexed="64"/>
      </top>
      <bottom style="double">
        <color indexed="64"/>
      </bottom>
      <diagonal/>
    </border>
    <border>
      <left style="medium">
        <color indexed="64"/>
      </left>
      <right style="double">
        <color indexed="64"/>
      </right>
      <top style="thin">
        <color indexed="64"/>
      </top>
      <bottom style="double">
        <color indexed="64"/>
      </bottom>
      <diagonal/>
    </border>
    <border>
      <left style="double">
        <color indexed="64"/>
      </left>
      <right style="medium">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style="double">
        <color indexed="64"/>
      </left>
      <right style="medium">
        <color indexed="64"/>
      </right>
      <top/>
      <bottom style="double">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medium">
        <color indexed="64"/>
      </left>
      <right style="medium">
        <color indexed="64"/>
      </right>
      <top style="double">
        <color indexed="64"/>
      </top>
      <bottom style="thin">
        <color indexed="64"/>
      </bottom>
      <diagonal/>
    </border>
    <border>
      <left style="hair">
        <color indexed="64"/>
      </left>
      <right/>
      <top/>
      <bottom style="hair">
        <color indexed="64"/>
      </bottom>
      <diagonal/>
    </border>
    <border>
      <left style="double">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s>
  <cellStyleXfs count="12">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6" fillId="0" borderId="0"/>
    <xf numFmtId="0" fontId="2" fillId="0" borderId="0"/>
    <xf numFmtId="0" fontId="37" fillId="0" borderId="0"/>
    <xf numFmtId="0" fontId="1" fillId="0" borderId="0"/>
    <xf numFmtId="0" fontId="36" fillId="0" borderId="0" applyFill="0" applyBorder="0"/>
    <xf numFmtId="0" fontId="2" fillId="0" borderId="0"/>
    <xf numFmtId="9" fontId="2" fillId="0" borderId="0" applyFont="0" applyFill="0" applyBorder="0" applyAlignment="0" applyProtection="0"/>
    <xf numFmtId="0" fontId="36" fillId="0" borderId="0"/>
  </cellStyleXfs>
  <cellXfs count="521">
    <xf numFmtId="0" fontId="0" fillId="0" borderId="0" xfId="0"/>
    <xf numFmtId="0" fontId="12" fillId="3" borderId="71" xfId="0" applyFont="1" applyFill="1" applyBorder="1" applyAlignment="1">
      <alignment horizontal="centerContinuous" vertical="center"/>
    </xf>
    <xf numFmtId="0" fontId="12" fillId="3" borderId="36" xfId="0" applyFont="1" applyFill="1" applyBorder="1" applyAlignment="1">
      <alignment horizontal="center" vertical="center"/>
    </xf>
    <xf numFmtId="0" fontId="12" fillId="3" borderId="36" xfId="0" applyFont="1" applyFill="1" applyBorder="1" applyAlignment="1">
      <alignment horizontal="center" vertical="center" wrapText="1"/>
    </xf>
    <xf numFmtId="0" fontId="12" fillId="3" borderId="72" xfId="0" applyFont="1" applyFill="1" applyBorder="1" applyAlignment="1">
      <alignment horizontal="center" vertical="center"/>
    </xf>
    <xf numFmtId="0" fontId="4" fillId="0" borderId="0" xfId="0" applyFont="1" applyBorder="1" applyAlignment="1">
      <alignment vertical="center"/>
    </xf>
    <xf numFmtId="0" fontId="2" fillId="0" borderId="78" xfId="0" applyFont="1" applyFill="1" applyBorder="1" applyAlignment="1">
      <alignment horizontal="center" vertical="center"/>
    </xf>
    <xf numFmtId="0" fontId="2" fillId="0" borderId="78" xfId="0" quotePrefix="1" applyFont="1" applyFill="1" applyBorder="1" applyAlignment="1">
      <alignment horizontal="center" vertical="center" wrapText="1"/>
    </xf>
    <xf numFmtId="49" fontId="2" fillId="0" borderId="78" xfId="2" applyNumberFormat="1" applyFont="1" applyFill="1" applyBorder="1" applyAlignment="1">
      <alignment horizontal="center" vertical="center"/>
    </xf>
    <xf numFmtId="0" fontId="2" fillId="0" borderId="78" xfId="0" applyFont="1" applyFill="1" applyBorder="1" applyAlignment="1">
      <alignment horizontal="center" vertical="center" shrinkToFit="1"/>
    </xf>
    <xf numFmtId="164" fontId="2" fillId="0" borderId="78" xfId="0" applyNumberFormat="1" applyFont="1" applyFill="1" applyBorder="1" applyAlignment="1">
      <alignment horizontal="center" vertical="center"/>
    </xf>
    <xf numFmtId="0" fontId="2" fillId="0" borderId="81" xfId="0" applyFont="1" applyFill="1" applyBorder="1" applyAlignment="1">
      <alignment horizontal="center" vertical="center"/>
    </xf>
    <xf numFmtId="0" fontId="2" fillId="0" borderId="82" xfId="0" applyFont="1" applyFill="1" applyBorder="1" applyAlignment="1">
      <alignment horizontal="center" vertical="center"/>
    </xf>
    <xf numFmtId="0" fontId="5" fillId="0" borderId="82" xfId="0" quotePrefix="1" applyFont="1" applyFill="1" applyBorder="1" applyAlignment="1">
      <alignment horizontal="center" vertical="center" wrapText="1"/>
    </xf>
    <xf numFmtId="49" fontId="2" fillId="0" borderId="82" xfId="2" applyNumberFormat="1" applyFont="1" applyFill="1" applyBorder="1" applyAlignment="1">
      <alignment horizontal="center" vertical="center"/>
    </xf>
    <xf numFmtId="0" fontId="2" fillId="0" borderId="82" xfId="0" applyFont="1" applyFill="1" applyBorder="1" applyAlignment="1">
      <alignment horizontal="center" vertical="center" shrinkToFit="1"/>
    </xf>
    <xf numFmtId="164" fontId="2" fillId="0" borderId="82" xfId="0" applyNumberFormat="1" applyFont="1" applyFill="1" applyBorder="1" applyAlignment="1">
      <alignment horizontal="center" vertical="center"/>
    </xf>
    <xf numFmtId="0" fontId="2" fillId="0" borderId="80" xfId="0" quotePrefix="1" applyFont="1" applyBorder="1" applyAlignment="1">
      <alignment horizontal="center" vertical="center"/>
    </xf>
    <xf numFmtId="1" fontId="5" fillId="0" borderId="83" xfId="0" applyNumberFormat="1" applyFont="1" applyFill="1" applyBorder="1" applyAlignment="1">
      <alignment horizontal="center" vertical="center"/>
    </xf>
    <xf numFmtId="0" fontId="2" fillId="0" borderId="100" xfId="0" quotePrefix="1" applyFont="1" applyFill="1" applyBorder="1" applyAlignment="1">
      <alignment horizontal="center" vertical="center"/>
    </xf>
    <xf numFmtId="0" fontId="3" fillId="0" borderId="0" xfId="0" applyFont="1" applyBorder="1" applyAlignment="1">
      <alignment horizontal="centerContinuous" vertical="center"/>
    </xf>
    <xf numFmtId="164" fontId="3" fillId="0" borderId="0" xfId="0" applyNumberFormat="1" applyFont="1" applyBorder="1" applyAlignment="1">
      <alignment horizontal="centerContinuous" vertical="center"/>
    </xf>
    <xf numFmtId="0" fontId="5" fillId="0" borderId="0" xfId="0" applyFont="1" applyBorder="1" applyAlignment="1">
      <alignment vertical="center"/>
    </xf>
    <xf numFmtId="0" fontId="21" fillId="3" borderId="35" xfId="0" applyFont="1" applyFill="1" applyBorder="1" applyAlignment="1">
      <alignment horizontal="center" vertical="center"/>
    </xf>
    <xf numFmtId="164" fontId="21" fillId="3" borderId="36" xfId="0" applyNumberFormat="1" applyFont="1" applyFill="1" applyBorder="1" applyAlignment="1">
      <alignment horizontal="center" vertical="center"/>
    </xf>
    <xf numFmtId="0" fontId="21" fillId="3" borderId="35" xfId="0" applyFont="1" applyFill="1" applyBorder="1" applyAlignment="1">
      <alignment horizontal="right" vertical="center"/>
    </xf>
    <xf numFmtId="0" fontId="21" fillId="3" borderId="37" xfId="0" applyFont="1" applyFill="1" applyBorder="1" applyAlignment="1">
      <alignment vertical="center"/>
    </xf>
    <xf numFmtId="0" fontId="5" fillId="0" borderId="0" xfId="0" applyFont="1" applyBorder="1" applyAlignment="1">
      <alignment horizontal="center" vertical="center"/>
    </xf>
    <xf numFmtId="0" fontId="2" fillId="0" borderId="91" xfId="0" applyFont="1" applyBorder="1" applyAlignment="1">
      <alignment horizontal="center" vertical="center" shrinkToFit="1"/>
    </xf>
    <xf numFmtId="0" fontId="5" fillId="0" borderId="42" xfId="0" applyFont="1" applyBorder="1" applyAlignment="1">
      <alignment horizontal="left" vertical="center" shrinkToFit="1"/>
    </xf>
    <xf numFmtId="0" fontId="2" fillId="0" borderId="55" xfId="0" applyFont="1" applyFill="1" applyBorder="1" applyAlignment="1">
      <alignment horizontal="center" vertical="center" shrinkToFit="1"/>
    </xf>
    <xf numFmtId="0" fontId="2" fillId="0" borderId="65" xfId="0" applyFont="1" applyBorder="1" applyAlignment="1">
      <alignment horizontal="center" vertical="center" shrinkToFit="1"/>
    </xf>
    <xf numFmtId="0" fontId="5" fillId="0" borderId="39" xfId="0" applyFont="1" applyBorder="1" applyAlignment="1">
      <alignment horizontal="left" vertical="center" shrinkToFit="1"/>
    </xf>
    <xf numFmtId="164" fontId="5" fillId="0" borderId="38" xfId="0" applyNumberFormat="1" applyFont="1" applyBorder="1" applyAlignment="1">
      <alignment horizontal="center" vertical="center" shrinkToFit="1"/>
    </xf>
    <xf numFmtId="0" fontId="2" fillId="0" borderId="88" xfId="0" applyFont="1" applyFill="1" applyBorder="1" applyAlignment="1">
      <alignment horizontal="center" vertical="center" shrinkToFit="1"/>
    </xf>
    <xf numFmtId="0" fontId="2" fillId="0" borderId="66" xfId="0" applyFont="1" applyBorder="1" applyAlignment="1">
      <alignment horizontal="center" vertical="center" shrinkToFit="1"/>
    </xf>
    <xf numFmtId="164" fontId="5" fillId="0" borderId="40" xfId="0" applyNumberFormat="1" applyFont="1" applyBorder="1" applyAlignment="1">
      <alignment horizontal="center" vertical="center" shrinkToFit="1"/>
    </xf>
    <xf numFmtId="0" fontId="5" fillId="0" borderId="40" xfId="0" applyFont="1" applyBorder="1" applyAlignment="1">
      <alignment horizontal="left" vertical="center"/>
    </xf>
    <xf numFmtId="0" fontId="5" fillId="0" borderId="41"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87" xfId="0" applyFont="1" applyFill="1" applyBorder="1" applyAlignment="1">
      <alignment horizontal="center" vertical="center" shrinkToFit="1"/>
    </xf>
    <xf numFmtId="164" fontId="5" fillId="0" borderId="43" xfId="0" applyNumberFormat="1" applyFont="1" applyBorder="1" applyAlignment="1">
      <alignment horizontal="center" vertical="center" shrinkToFit="1"/>
    </xf>
    <xf numFmtId="0" fontId="2" fillId="0" borderId="43" xfId="0" applyFont="1" applyBorder="1" applyAlignment="1">
      <alignment horizontal="left" vertical="center"/>
    </xf>
    <xf numFmtId="164" fontId="5" fillId="0" borderId="0" xfId="0" applyNumberFormat="1" applyFont="1" applyBorder="1" applyAlignment="1">
      <alignment horizontal="center" vertical="center"/>
    </xf>
    <xf numFmtId="0" fontId="21" fillId="7" borderId="17" xfId="0" applyFont="1" applyFill="1" applyBorder="1" applyAlignment="1">
      <alignment horizontal="center" vertical="center"/>
    </xf>
    <xf numFmtId="0" fontId="21" fillId="7" borderId="18" xfId="0" applyFont="1" applyFill="1" applyBorder="1" applyAlignment="1">
      <alignment horizontal="center" vertical="center"/>
    </xf>
    <xf numFmtId="49" fontId="21" fillId="7" borderId="18" xfId="0" applyNumberFormat="1" applyFont="1" applyFill="1" applyBorder="1" applyAlignment="1">
      <alignment horizontal="center" vertical="center"/>
    </xf>
    <xf numFmtId="0" fontId="21" fillId="7" borderId="22" xfId="0" applyFont="1" applyFill="1" applyBorder="1" applyAlignment="1">
      <alignment horizontal="center" vertical="center"/>
    </xf>
    <xf numFmtId="0" fontId="45" fillId="9" borderId="22" xfId="0" applyFont="1" applyFill="1" applyBorder="1" applyAlignment="1">
      <alignment horizontal="center" vertical="center"/>
    </xf>
    <xf numFmtId="0" fontId="21" fillId="7" borderId="19" xfId="0" applyFont="1" applyFill="1" applyBorder="1" applyAlignment="1">
      <alignment horizontal="center" vertical="center"/>
    </xf>
    <xf numFmtId="1" fontId="46" fillId="9" borderId="83" xfId="0" applyNumberFormat="1" applyFont="1" applyFill="1" applyBorder="1" applyAlignment="1">
      <alignment horizontal="center" vertical="center"/>
    </xf>
    <xf numFmtId="1" fontId="2" fillId="0" borderId="83" xfId="0" applyNumberFormat="1" applyFont="1" applyFill="1" applyBorder="1" applyAlignment="1">
      <alignment horizontal="center" vertical="center"/>
    </xf>
    <xf numFmtId="0" fontId="2" fillId="0" borderId="0" xfId="0" applyFont="1" applyBorder="1" applyAlignment="1">
      <alignment horizontal="center" vertical="center"/>
    </xf>
    <xf numFmtId="0" fontId="5" fillId="0" borderId="0" xfId="0" applyFont="1" applyBorder="1" applyAlignment="1">
      <alignment horizontal="centerContinuous" vertical="center"/>
    </xf>
    <xf numFmtId="0" fontId="21" fillId="7" borderId="22" xfId="0" applyFont="1" applyFill="1" applyBorder="1" applyAlignment="1">
      <alignment horizontal="centerContinuous" vertical="center"/>
    </xf>
    <xf numFmtId="0" fontId="21" fillId="7" borderId="85" xfId="0" applyFont="1" applyFill="1" applyBorder="1" applyAlignment="1">
      <alignment horizontal="centerContinuous" vertical="center"/>
    </xf>
    <xf numFmtId="0" fontId="21" fillId="7" borderId="47" xfId="0" applyFont="1" applyFill="1" applyBorder="1" applyAlignment="1">
      <alignment horizontal="centerContinuous" vertical="center"/>
    </xf>
    <xf numFmtId="0" fontId="2" fillId="0" borderId="82" xfId="0" quotePrefix="1" applyFont="1" applyFill="1" applyBorder="1" applyAlignment="1">
      <alignment horizontal="center" vertical="center"/>
    </xf>
    <xf numFmtId="164" fontId="2" fillId="0" borderId="83" xfId="0" applyNumberFormat="1" applyFont="1" applyFill="1" applyBorder="1" applyAlignment="1">
      <alignment horizontal="centerContinuous" vertical="center"/>
    </xf>
    <xf numFmtId="164" fontId="2" fillId="0" borderId="86" xfId="0" applyNumberFormat="1" applyFont="1" applyFill="1" applyBorder="1" applyAlignment="1">
      <alignment horizontal="centerContinuous" vertical="center"/>
    </xf>
    <xf numFmtId="0" fontId="5" fillId="0" borderId="84" xfId="0" applyFont="1" applyFill="1" applyBorder="1" applyAlignment="1">
      <alignment horizontal="centerContinuous" vertical="center"/>
    </xf>
    <xf numFmtId="0" fontId="18" fillId="0" borderId="0" xfId="0" applyFont="1" applyBorder="1" applyAlignment="1">
      <alignment horizontal="right" vertical="center"/>
    </xf>
    <xf numFmtId="0" fontId="21" fillId="7" borderId="20" xfId="0" applyFont="1" applyFill="1" applyBorder="1" applyAlignment="1">
      <alignment horizontal="centerContinuous" vertical="center"/>
    </xf>
    <xf numFmtId="0" fontId="21" fillId="7" borderId="21" xfId="0" applyFont="1" applyFill="1" applyBorder="1" applyAlignment="1">
      <alignment horizontal="centerContinuous" vertical="center"/>
    </xf>
    <xf numFmtId="0" fontId="2" fillId="0" borderId="92" xfId="0" applyFont="1" applyFill="1" applyBorder="1" applyAlignment="1">
      <alignment horizontal="centerContinuous" vertical="center"/>
    </xf>
    <xf numFmtId="0" fontId="2" fillId="0" borderId="93" xfId="0" applyFont="1" applyFill="1" applyBorder="1" applyAlignment="1">
      <alignment horizontal="centerContinuous" vertical="center"/>
    </xf>
    <xf numFmtId="0" fontId="2" fillId="0" borderId="79" xfId="0" applyFont="1" applyFill="1" applyBorder="1" applyAlignment="1">
      <alignment horizontal="centerContinuous" vertical="center"/>
    </xf>
    <xf numFmtId="49" fontId="2" fillId="0" borderId="79" xfId="0" applyNumberFormat="1" applyFont="1" applyFill="1" applyBorder="1" applyAlignment="1">
      <alignment horizontal="center" vertical="center"/>
    </xf>
    <xf numFmtId="49" fontId="2" fillId="0" borderId="79" xfId="0" applyNumberFormat="1" applyFont="1" applyFill="1" applyBorder="1" applyAlignment="1">
      <alignment horizontal="centerContinuous" vertical="center"/>
    </xf>
    <xf numFmtId="49" fontId="2" fillId="0" borderId="94" xfId="0" applyNumberFormat="1" applyFont="1" applyFill="1" applyBorder="1" applyAlignment="1">
      <alignment horizontal="centerContinuous" vertical="center"/>
    </xf>
    <xf numFmtId="0" fontId="2" fillId="0" borderId="95" xfId="0" applyFont="1" applyFill="1" applyBorder="1" applyAlignment="1">
      <alignment horizontal="centerContinuous" vertical="center"/>
    </xf>
    <xf numFmtId="0" fontId="2" fillId="0" borderId="96" xfId="0" applyFont="1" applyFill="1" applyBorder="1" applyAlignment="1">
      <alignment horizontal="centerContinuous" vertical="center"/>
    </xf>
    <xf numFmtId="0" fontId="5" fillId="0" borderId="97" xfId="0" applyFont="1" applyFill="1" applyBorder="1" applyAlignment="1">
      <alignment horizontal="centerContinuous" vertical="center"/>
    </xf>
    <xf numFmtId="0" fontId="5" fillId="0" borderId="83" xfId="0" applyFont="1" applyFill="1" applyBorder="1" applyAlignment="1">
      <alignment horizontal="centerContinuous" vertical="center"/>
    </xf>
    <xf numFmtId="49" fontId="2" fillId="0" borderId="82" xfId="0" applyNumberFormat="1" applyFont="1" applyFill="1" applyBorder="1" applyAlignment="1">
      <alignment horizontal="center" vertical="center"/>
    </xf>
    <xf numFmtId="49" fontId="2" fillId="0" borderId="83" xfId="0" applyNumberFormat="1" applyFont="1" applyFill="1" applyBorder="1" applyAlignment="1">
      <alignment horizontal="centerContinuous" vertical="center"/>
    </xf>
    <xf numFmtId="49" fontId="2" fillId="0" borderId="86" xfId="0" applyNumberFormat="1" applyFont="1" applyFill="1" applyBorder="1" applyAlignment="1">
      <alignment horizontal="centerContinuous" vertical="center"/>
    </xf>
    <xf numFmtId="0" fontId="21" fillId="7" borderId="89" xfId="0" applyFont="1" applyFill="1" applyBorder="1" applyAlignment="1">
      <alignment horizontal="center" vertical="center"/>
    </xf>
    <xf numFmtId="0" fontId="21" fillId="7" borderId="90" xfId="0" applyFont="1" applyFill="1" applyBorder="1" applyAlignment="1">
      <alignment horizontal="centerContinuous" vertical="center"/>
    </xf>
    <xf numFmtId="0" fontId="7"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34" xfId="0" applyFont="1" applyFill="1" applyBorder="1" applyAlignment="1">
      <alignment horizontal="centerContinuous" vertical="center"/>
    </xf>
    <xf numFmtId="0" fontId="7" fillId="0" borderId="53" xfId="0" applyFont="1" applyFill="1" applyBorder="1" applyAlignment="1">
      <alignment horizontal="centerContinuous" vertical="center"/>
    </xf>
    <xf numFmtId="0" fontId="7" fillId="0" borderId="74" xfId="0" applyFont="1" applyFill="1" applyBorder="1" applyAlignment="1">
      <alignment horizontal="centerContinuous" vertical="center"/>
    </xf>
    <xf numFmtId="0" fontId="7" fillId="0" borderId="54" xfId="0" applyFont="1" applyFill="1" applyBorder="1" applyAlignment="1">
      <alignment horizontal="centerContinuous" vertical="center"/>
    </xf>
    <xf numFmtId="0" fontId="7" fillId="0" borderId="46" xfId="0" applyFont="1" applyFill="1" applyBorder="1" applyAlignment="1">
      <alignment horizontal="centerContinuous" vertical="center"/>
    </xf>
    <xf numFmtId="0" fontId="7" fillId="0" borderId="74" xfId="0" quotePrefix="1" applyFont="1" applyFill="1" applyBorder="1" applyAlignment="1">
      <alignment horizontal="centerContinuous" vertical="center"/>
    </xf>
    <xf numFmtId="0" fontId="7" fillId="0" borderId="54" xfId="0" quotePrefix="1" applyFont="1" applyFill="1" applyBorder="1" applyAlignment="1">
      <alignment horizontal="centerContinuous" vertical="center"/>
    </xf>
    <xf numFmtId="0" fontId="7" fillId="0" borderId="25" xfId="0" applyFont="1" applyFill="1" applyBorder="1" applyAlignment="1">
      <alignment horizontal="center" vertical="center"/>
    </xf>
    <xf numFmtId="0" fontId="7" fillId="0" borderId="25" xfId="0" applyNumberFormat="1" applyFont="1" applyFill="1" applyBorder="1" applyAlignment="1">
      <alignment horizontal="center" vertical="center"/>
    </xf>
    <xf numFmtId="0" fontId="25" fillId="0" borderId="23"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13" fillId="0" borderId="26" xfId="0" applyNumberFormat="1" applyFont="1" applyFill="1" applyBorder="1" applyAlignment="1">
      <alignment horizontal="center" vertical="center"/>
    </xf>
    <xf numFmtId="0" fontId="41" fillId="0" borderId="56" xfId="0" applyFont="1" applyFill="1" applyBorder="1" applyAlignment="1">
      <alignment vertical="center"/>
    </xf>
    <xf numFmtId="0" fontId="6" fillId="0" borderId="57" xfId="0" applyFont="1" applyFill="1" applyBorder="1" applyAlignment="1">
      <alignment horizontal="center" vertical="center"/>
    </xf>
    <xf numFmtId="0" fontId="7" fillId="0" borderId="57" xfId="0" applyFont="1" applyFill="1" applyBorder="1" applyAlignment="1">
      <alignment horizontal="center" vertical="center"/>
    </xf>
    <xf numFmtId="0" fontId="11" fillId="6" borderId="1" xfId="0" applyFont="1" applyFill="1" applyBorder="1" applyAlignment="1">
      <alignment vertical="center"/>
    </xf>
    <xf numFmtId="0" fontId="7" fillId="6" borderId="25" xfId="0" applyNumberFormat="1" applyFont="1" applyFill="1" applyBorder="1" applyAlignment="1">
      <alignment horizontal="center" vertical="center"/>
    </xf>
    <xf numFmtId="49" fontId="16" fillId="6" borderId="25" xfId="0" applyNumberFormat="1" applyFont="1" applyFill="1" applyBorder="1" applyAlignment="1">
      <alignment horizontal="center" vertical="center"/>
    </xf>
    <xf numFmtId="0" fontId="16" fillId="6" borderId="26" xfId="0" applyNumberFormat="1" applyFont="1" applyFill="1" applyBorder="1" applyAlignment="1">
      <alignment horizontal="center" vertical="center"/>
    </xf>
    <xf numFmtId="0" fontId="11" fillId="6" borderId="26" xfId="0" applyNumberFormat="1" applyFont="1" applyFill="1" applyBorder="1" applyAlignment="1">
      <alignment horizontal="center" vertical="center"/>
    </xf>
    <xf numFmtId="49" fontId="7" fillId="6" borderId="26" xfId="0" applyNumberFormat="1" applyFont="1" applyFill="1" applyBorder="1" applyAlignment="1">
      <alignment horizontal="center" vertical="center"/>
    </xf>
    <xf numFmtId="0" fontId="7" fillId="6" borderId="27" xfId="0" applyNumberFormat="1" applyFont="1" applyFill="1" applyBorder="1" applyAlignment="1">
      <alignment horizontal="center" vertical="center"/>
    </xf>
    <xf numFmtId="0" fontId="19" fillId="0" borderId="0" xfId="0" applyFont="1" applyBorder="1" applyAlignment="1">
      <alignment vertical="center"/>
    </xf>
    <xf numFmtId="0" fontId="32" fillId="0" borderId="0" xfId="0" applyFont="1" applyBorder="1" applyAlignment="1">
      <alignment vertical="center"/>
    </xf>
    <xf numFmtId="0" fontId="14" fillId="0" borderId="1" xfId="0" applyFont="1" applyFill="1" applyBorder="1" applyAlignment="1">
      <alignment vertical="center"/>
    </xf>
    <xf numFmtId="49" fontId="23" fillId="0" borderId="25" xfId="0" applyNumberFormat="1" applyFont="1" applyFill="1" applyBorder="1" applyAlignment="1">
      <alignment horizontal="center" vertical="center"/>
    </xf>
    <xf numFmtId="0" fontId="23" fillId="0" borderId="26" xfId="0" applyNumberFormat="1" applyFont="1" applyFill="1" applyBorder="1" applyAlignment="1">
      <alignment horizontal="center" vertical="center"/>
    </xf>
    <xf numFmtId="0" fontId="14" fillId="0" borderId="26" xfId="0" applyNumberFormat="1" applyFont="1" applyFill="1" applyBorder="1" applyAlignment="1">
      <alignment horizontal="center" vertical="center"/>
    </xf>
    <xf numFmtId="49" fontId="7" fillId="0" borderId="26" xfId="0" applyNumberFormat="1" applyFont="1" applyFill="1" applyBorder="1" applyAlignment="1">
      <alignment horizontal="center" vertical="center"/>
    </xf>
    <xf numFmtId="0" fontId="7" fillId="0" borderId="27" xfId="0" applyNumberFormat="1" applyFont="1" applyFill="1" applyBorder="1" applyAlignment="1">
      <alignment horizontal="center" vertical="center"/>
    </xf>
    <xf numFmtId="0" fontId="30" fillId="0" borderId="0" xfId="0" applyFont="1" applyBorder="1" applyAlignment="1">
      <alignment vertical="center"/>
    </xf>
    <xf numFmtId="0" fontId="29" fillId="0" borderId="0" xfId="0" applyFont="1" applyBorder="1" applyAlignment="1">
      <alignment vertical="center"/>
    </xf>
    <xf numFmtId="0" fontId="31" fillId="0" borderId="0" xfId="0" applyFont="1" applyBorder="1" applyAlignment="1">
      <alignment vertical="center"/>
    </xf>
    <xf numFmtId="0" fontId="13" fillId="0" borderId="1" xfId="0" applyFont="1" applyFill="1" applyBorder="1" applyAlignment="1">
      <alignment vertical="center"/>
    </xf>
    <xf numFmtId="49" fontId="24" fillId="0" borderId="25" xfId="0" applyNumberFormat="1" applyFont="1" applyFill="1" applyBorder="1" applyAlignment="1">
      <alignment horizontal="center" vertical="center"/>
    </xf>
    <xf numFmtId="0" fontId="24" fillId="0" borderId="26" xfId="0" applyNumberFormat="1" applyFont="1" applyFill="1" applyBorder="1" applyAlignment="1">
      <alignment horizontal="center" vertical="center"/>
    </xf>
    <xf numFmtId="0" fontId="11" fillId="0" borderId="1" xfId="0" applyFont="1" applyFill="1" applyBorder="1" applyAlignment="1">
      <alignment vertical="center"/>
    </xf>
    <xf numFmtId="49" fontId="16" fillId="0" borderId="25" xfId="0" applyNumberFormat="1" applyFont="1" applyFill="1" applyBorder="1" applyAlignment="1">
      <alignment horizontal="center" vertical="center"/>
    </xf>
    <xf numFmtId="0" fontId="16" fillId="0" borderId="26" xfId="0" applyNumberFormat="1" applyFont="1" applyFill="1" applyBorder="1" applyAlignment="1">
      <alignment horizontal="center" vertical="center"/>
    </xf>
    <xf numFmtId="0" fontId="11" fillId="0" borderId="26" xfId="0" applyNumberFormat="1" applyFont="1" applyFill="1" applyBorder="1" applyAlignment="1">
      <alignment horizontal="center" vertical="center"/>
    </xf>
    <xf numFmtId="0" fontId="14" fillId="8" borderId="1" xfId="0" applyFont="1" applyFill="1" applyBorder="1" applyAlignment="1">
      <alignment vertical="center"/>
    </xf>
    <xf numFmtId="0" fontId="7" fillId="8" borderId="25" xfId="0" applyNumberFormat="1" applyFont="1" applyFill="1" applyBorder="1" applyAlignment="1">
      <alignment horizontal="center" vertical="center"/>
    </xf>
    <xf numFmtId="49" fontId="23" fillId="8" borderId="25" xfId="0" applyNumberFormat="1" applyFont="1" applyFill="1" applyBorder="1" applyAlignment="1">
      <alignment horizontal="center" vertical="center"/>
    </xf>
    <xf numFmtId="0" fontId="23" fillId="8" borderId="26" xfId="0" applyNumberFormat="1" applyFont="1" applyFill="1" applyBorder="1" applyAlignment="1">
      <alignment horizontal="center" vertical="center"/>
    </xf>
    <xf numFmtId="0" fontId="14" fillId="8" borderId="26" xfId="0" applyNumberFormat="1" applyFont="1" applyFill="1" applyBorder="1" applyAlignment="1">
      <alignment horizontal="center" vertical="center"/>
    </xf>
    <xf numFmtId="49" fontId="7" fillId="8" borderId="26" xfId="0" applyNumberFormat="1" applyFont="1" applyFill="1" applyBorder="1" applyAlignment="1">
      <alignment horizontal="center" vertical="center"/>
    </xf>
    <xf numFmtId="0" fontId="7" fillId="8" borderId="27" xfId="0" applyNumberFormat="1" applyFont="1" applyFill="1" applyBorder="1" applyAlignment="1">
      <alignment horizontal="center" vertical="center"/>
    </xf>
    <xf numFmtId="0" fontId="22" fillId="0" borderId="1" xfId="0" applyFont="1" applyFill="1" applyBorder="1" applyAlignment="1">
      <alignment vertical="center"/>
    </xf>
    <xf numFmtId="49" fontId="28" fillId="0" borderId="25" xfId="0" applyNumberFormat="1" applyFont="1" applyFill="1" applyBorder="1" applyAlignment="1">
      <alignment horizontal="center" vertical="center"/>
    </xf>
    <xf numFmtId="0" fontId="28" fillId="0" borderId="26" xfId="0" applyNumberFormat="1" applyFont="1" applyFill="1" applyBorder="1" applyAlignment="1">
      <alignment horizontal="center" vertical="center"/>
    </xf>
    <xf numFmtId="0" fontId="22" fillId="0" borderId="26" xfId="0" applyNumberFormat="1" applyFont="1" applyFill="1" applyBorder="1" applyAlignment="1">
      <alignment horizontal="center" vertical="center"/>
    </xf>
    <xf numFmtId="0" fontId="8" fillId="0" borderId="1" xfId="0" applyFont="1" applyFill="1" applyBorder="1" applyAlignment="1">
      <alignment vertical="center"/>
    </xf>
    <xf numFmtId="49" fontId="17" fillId="0" borderId="25" xfId="0" applyNumberFormat="1" applyFont="1" applyFill="1" applyBorder="1" applyAlignment="1">
      <alignment horizontal="center" vertical="center"/>
    </xf>
    <xf numFmtId="0" fontId="17" fillId="0" borderId="26" xfId="0" applyNumberFormat="1" applyFont="1" applyFill="1" applyBorder="1" applyAlignment="1">
      <alignment horizontal="center" vertical="center"/>
    </xf>
    <xf numFmtId="0" fontId="8" fillId="0" borderId="26" xfId="0" applyNumberFormat="1" applyFont="1" applyFill="1" applyBorder="1" applyAlignment="1">
      <alignment horizontal="center" vertical="center"/>
    </xf>
    <xf numFmtId="0" fontId="11" fillId="8" borderId="1" xfId="0" applyFont="1" applyFill="1" applyBorder="1" applyAlignment="1">
      <alignment vertical="center"/>
    </xf>
    <xf numFmtId="49" fontId="16" fillId="8" borderId="25" xfId="0" applyNumberFormat="1" applyFont="1" applyFill="1" applyBorder="1" applyAlignment="1">
      <alignment horizontal="center" vertical="center"/>
    </xf>
    <xf numFmtId="0" fontId="16" fillId="8" borderId="26" xfId="0" applyNumberFormat="1" applyFont="1" applyFill="1" applyBorder="1" applyAlignment="1">
      <alignment horizontal="center" vertical="center"/>
    </xf>
    <xf numFmtId="0" fontId="11" fillId="8" borderId="26" xfId="0" applyNumberFormat="1" applyFont="1" applyFill="1" applyBorder="1" applyAlignment="1">
      <alignment horizontal="center" vertical="center"/>
    </xf>
    <xf numFmtId="0" fontId="7" fillId="6" borderId="27" xfId="0" quotePrefix="1" applyNumberFormat="1" applyFont="1" applyFill="1" applyBorder="1" applyAlignment="1">
      <alignment horizontal="center" vertical="center"/>
    </xf>
    <xf numFmtId="0" fontId="7" fillId="0" borderId="27" xfId="0" quotePrefix="1" applyNumberFormat="1" applyFont="1" applyFill="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NumberFormat="1" applyFont="1" applyBorder="1" applyAlignment="1">
      <alignment horizontal="left" vertical="center"/>
    </xf>
    <xf numFmtId="0" fontId="4" fillId="0" borderId="0" xfId="0" applyFont="1" applyBorder="1" applyAlignment="1">
      <alignment horizontal="left" vertical="center"/>
    </xf>
    <xf numFmtId="0" fontId="42" fillId="2" borderId="63" xfId="0" applyFont="1" applyFill="1" applyBorder="1" applyAlignment="1">
      <alignment horizontal="right" vertical="center"/>
    </xf>
    <xf numFmtId="0" fontId="20" fillId="2" borderId="64" xfId="0" applyFont="1" applyFill="1" applyBorder="1" applyAlignment="1">
      <alignment horizontal="left" vertical="center"/>
    </xf>
    <xf numFmtId="0" fontId="4" fillId="2" borderId="64" xfId="0" applyFont="1" applyFill="1" applyBorder="1" applyAlignment="1">
      <alignment horizontal="centerContinuous" vertical="center"/>
    </xf>
    <xf numFmtId="0" fontId="5" fillId="2" borderId="64" xfId="0" applyFont="1" applyFill="1" applyBorder="1" applyAlignment="1">
      <alignment horizontal="centerContinuous" vertical="center"/>
    </xf>
    <xf numFmtId="0" fontId="35" fillId="2" borderId="101" xfId="1" applyFont="1" applyFill="1" applyBorder="1" applyAlignment="1" applyProtection="1">
      <alignment horizontal="righ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67" xfId="0" applyFont="1" applyFill="1" applyBorder="1" applyAlignment="1">
      <alignment horizontal="right" vertical="center"/>
    </xf>
    <xf numFmtId="0" fontId="6" fillId="4" borderId="98" xfId="0" applyFont="1" applyFill="1" applyBorder="1" applyAlignment="1">
      <alignment horizontal="right" vertical="center"/>
    </xf>
    <xf numFmtId="49" fontId="7" fillId="0" borderId="69" xfId="0" applyNumberFormat="1" applyFont="1" applyFill="1" applyBorder="1" applyAlignment="1">
      <alignment horizontal="center" vertical="center"/>
    </xf>
    <xf numFmtId="0" fontId="7" fillId="0" borderId="0" xfId="0" applyFont="1" applyBorder="1" applyAlignment="1">
      <alignment horizontal="left" vertical="center"/>
    </xf>
    <xf numFmtId="0" fontId="6" fillId="4" borderId="11" xfId="0" applyFont="1" applyFill="1" applyBorder="1" applyAlignment="1">
      <alignment horizontal="right" vertical="center"/>
    </xf>
    <xf numFmtId="49" fontId="7" fillId="0" borderId="24" xfId="0" applyNumberFormat="1" applyFont="1" applyBorder="1" applyAlignment="1">
      <alignment horizontal="centerContinuous" vertical="center"/>
    </xf>
    <xf numFmtId="0" fontId="2" fillId="0" borderId="99" xfId="0" applyFont="1" applyBorder="1" applyAlignment="1">
      <alignment horizontal="centerContinuous" vertical="center"/>
    </xf>
    <xf numFmtId="0" fontId="8" fillId="2" borderId="14" xfId="0" applyFont="1" applyFill="1" applyBorder="1" applyAlignment="1">
      <alignment horizontal="right" vertical="center"/>
    </xf>
    <xf numFmtId="0" fontId="26" fillId="0" borderId="15" xfId="0" applyNumberFormat="1" applyFont="1" applyBorder="1" applyAlignment="1">
      <alignment horizontal="center" vertical="center"/>
    </xf>
    <xf numFmtId="0" fontId="8" fillId="4" borderId="50" xfId="0" applyFont="1" applyFill="1" applyBorder="1" applyAlignment="1">
      <alignment horizontal="right" vertical="center"/>
    </xf>
    <xf numFmtId="0" fontId="13" fillId="2" borderId="4" xfId="0" applyFont="1" applyFill="1" applyBorder="1" applyAlignment="1">
      <alignment horizontal="right" vertical="center"/>
    </xf>
    <xf numFmtId="49" fontId="26" fillId="0" borderId="15" xfId="0" applyNumberFormat="1" applyFont="1" applyBorder="1" applyAlignment="1">
      <alignment horizontal="center" vertical="center"/>
    </xf>
    <xf numFmtId="0" fontId="8" fillId="4" borderId="48" xfId="0" applyFont="1" applyFill="1" applyBorder="1" applyAlignment="1">
      <alignment horizontal="right" vertical="center"/>
    </xf>
    <xf numFmtId="164" fontId="6" fillId="5" borderId="29"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6" fillId="0" borderId="28" xfId="0" applyFont="1" applyBorder="1" applyAlignment="1">
      <alignment horizontal="center" vertical="center"/>
    </xf>
    <xf numFmtId="0" fontId="38" fillId="2" borderId="4" xfId="0" applyFont="1" applyFill="1" applyBorder="1" applyAlignment="1">
      <alignment horizontal="right" vertical="center"/>
    </xf>
    <xf numFmtId="0" fontId="11" fillId="4" borderId="48" xfId="0" applyFont="1" applyFill="1" applyBorder="1" applyAlignment="1">
      <alignment horizontal="right" vertical="center"/>
    </xf>
    <xf numFmtId="0" fontId="22" fillId="2" borderId="4" xfId="0" applyFont="1" applyFill="1" applyBorder="1" applyAlignment="1">
      <alignment horizontal="right" vertical="center"/>
    </xf>
    <xf numFmtId="0" fontId="14" fillId="2" borderId="16" xfId="0" applyFont="1" applyFill="1" applyBorder="1" applyAlignment="1">
      <alignment horizontal="right" vertical="center"/>
    </xf>
    <xf numFmtId="0" fontId="7" fillId="0" borderId="24" xfId="0" quotePrefix="1" applyFont="1" applyBorder="1" applyAlignment="1">
      <alignment horizontal="center" vertical="center"/>
    </xf>
    <xf numFmtId="49" fontId="26" fillId="0" borderId="24" xfId="0" applyNumberFormat="1" applyFont="1" applyBorder="1" applyAlignment="1">
      <alignment horizontal="center" vertical="center"/>
    </xf>
    <xf numFmtId="0" fontId="11" fillId="4" borderId="49" xfId="0" applyFont="1" applyFill="1" applyBorder="1" applyAlignment="1">
      <alignment horizontal="righ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49" fontId="7" fillId="0" borderId="25" xfId="0" applyNumberFormat="1" applyFont="1" applyFill="1" applyBorder="1" applyAlignment="1">
      <alignment horizontal="center" vertical="center"/>
    </xf>
    <xf numFmtId="0" fontId="2" fillId="0" borderId="38" xfId="0" applyFont="1" applyBorder="1" applyAlignment="1">
      <alignment horizontal="left" vertical="center"/>
    </xf>
    <xf numFmtId="0" fontId="2" fillId="0" borderId="103" xfId="0" applyFont="1" applyFill="1" applyBorder="1" applyAlignment="1">
      <alignment horizontal="centerContinuous" vertical="center" shrinkToFit="1"/>
    </xf>
    <xf numFmtId="0" fontId="21" fillId="0" borderId="104" xfId="0" applyFont="1" applyFill="1" applyBorder="1" applyAlignment="1">
      <alignment horizontal="centerContinuous" vertical="center"/>
    </xf>
    <xf numFmtId="0" fontId="2" fillId="0" borderId="105" xfId="0" applyFont="1" applyFill="1" applyBorder="1" applyAlignment="1">
      <alignment horizontal="center" vertical="center"/>
    </xf>
    <xf numFmtId="0" fontId="2" fillId="0" borderId="106" xfId="0" applyFont="1" applyFill="1" applyBorder="1" applyAlignment="1">
      <alignment horizontal="centerContinuous" vertical="center"/>
    </xf>
    <xf numFmtId="0" fontId="2" fillId="0" borderId="107" xfId="0" applyFont="1" applyFill="1" applyBorder="1" applyAlignment="1">
      <alignment horizontal="centerContinuous" vertical="center"/>
    </xf>
    <xf numFmtId="0" fontId="2" fillId="0" borderId="0" xfId="0" applyFont="1" applyBorder="1" applyAlignment="1">
      <alignment vertical="center"/>
    </xf>
    <xf numFmtId="0" fontId="2" fillId="0" borderId="96" xfId="0" applyFont="1" applyFill="1" applyBorder="1" applyAlignment="1">
      <alignment horizontal="centerContinuous" vertical="center" shrinkToFit="1"/>
    </xf>
    <xf numFmtId="0" fontId="21" fillId="0" borderId="86" xfId="0" applyFont="1" applyFill="1" applyBorder="1" applyAlignment="1">
      <alignment horizontal="centerContinuous" vertical="center"/>
    </xf>
    <xf numFmtId="0" fontId="2" fillId="0" borderId="83" xfId="0" applyFont="1" applyFill="1" applyBorder="1" applyAlignment="1">
      <alignment horizontal="centerContinuous" vertical="center"/>
    </xf>
    <xf numFmtId="0" fontId="2" fillId="0" borderId="84" xfId="0" applyFont="1" applyFill="1" applyBorder="1" applyAlignment="1">
      <alignment horizontal="centerContinuous" vertical="center"/>
    </xf>
    <xf numFmtId="1" fontId="5" fillId="0" borderId="106" xfId="0" applyNumberFormat="1" applyFont="1" applyFill="1" applyBorder="1" applyAlignment="1">
      <alignment horizontal="center" vertical="center"/>
    </xf>
    <xf numFmtId="1" fontId="46" fillId="9" borderId="106" xfId="0" applyNumberFormat="1" applyFont="1" applyFill="1" applyBorder="1" applyAlignment="1">
      <alignment horizontal="center" vertical="center"/>
    </xf>
    <xf numFmtId="1" fontId="2" fillId="0" borderId="106" xfId="0" applyNumberFormat="1" applyFont="1" applyBorder="1" applyAlignment="1">
      <alignment horizontal="center" vertical="center"/>
    </xf>
    <xf numFmtId="1" fontId="5" fillId="0" borderId="0" xfId="0" applyNumberFormat="1" applyFont="1" applyBorder="1" applyAlignment="1">
      <alignment vertical="center"/>
    </xf>
    <xf numFmtId="1" fontId="21" fillId="7" borderId="31" xfId="0" applyNumberFormat="1" applyFont="1" applyFill="1" applyBorder="1" applyAlignment="1">
      <alignment horizontal="center" vertical="center"/>
    </xf>
    <xf numFmtId="1" fontId="2" fillId="0" borderId="53" xfId="0" applyNumberFormat="1" applyFont="1" applyFill="1" applyBorder="1" applyAlignment="1">
      <alignment horizontal="center" vertical="center"/>
    </xf>
    <xf numFmtId="1" fontId="2" fillId="0" borderId="74" xfId="0" applyNumberFormat="1" applyFont="1" applyFill="1" applyBorder="1" applyAlignment="1">
      <alignment horizontal="center" vertical="center"/>
    </xf>
    <xf numFmtId="1" fontId="2" fillId="0" borderId="46" xfId="0" applyNumberFormat="1" applyFont="1" applyFill="1" applyBorder="1" applyAlignment="1">
      <alignment horizontal="center" vertical="center"/>
    </xf>
    <xf numFmtId="1" fontId="5" fillId="0" borderId="0" xfId="0" applyNumberFormat="1" applyFont="1" applyBorder="1" applyAlignment="1">
      <alignment horizontal="center" vertical="center"/>
    </xf>
    <xf numFmtId="0" fontId="2" fillId="0" borderId="77" xfId="0" applyFont="1" applyFill="1" applyBorder="1" applyAlignment="1">
      <alignment horizontal="center" vertical="center"/>
    </xf>
    <xf numFmtId="0" fontId="47" fillId="0" borderId="1" xfId="0" applyFont="1" applyFill="1" applyBorder="1" applyAlignment="1">
      <alignment vertical="center"/>
    </xf>
    <xf numFmtId="0" fontId="6" fillId="0" borderId="25" xfId="0" applyFont="1" applyFill="1" applyBorder="1" applyAlignment="1">
      <alignment horizontal="center" vertical="center"/>
    </xf>
    <xf numFmtId="0" fontId="48" fillId="0" borderId="1" xfId="0" applyFont="1" applyFill="1" applyBorder="1" applyAlignment="1">
      <alignment vertical="center"/>
    </xf>
    <xf numFmtId="0" fontId="10" fillId="0" borderId="26" xfId="0" applyNumberFormat="1" applyFont="1" applyFill="1" applyBorder="1" applyAlignment="1">
      <alignment horizontal="center" vertical="center"/>
    </xf>
    <xf numFmtId="0" fontId="2" fillId="0" borderId="0" xfId="0" applyFont="1" applyFill="1" applyBorder="1" applyAlignment="1">
      <alignment horizontal="center" vertical="center"/>
    </xf>
    <xf numFmtId="1" fontId="2" fillId="8" borderId="46" xfId="0" applyNumberFormat="1" applyFont="1" applyFill="1" applyBorder="1" applyAlignment="1">
      <alignment horizontal="center" vertical="center"/>
    </xf>
    <xf numFmtId="0" fontId="5" fillId="0" borderId="0" xfId="0" applyFont="1" applyFill="1" applyBorder="1" applyAlignment="1">
      <alignment vertical="center"/>
    </xf>
    <xf numFmtId="0" fontId="9" fillId="0" borderId="3" xfId="0" quotePrefix="1" applyFont="1" applyFill="1" applyBorder="1" applyAlignment="1">
      <alignment horizontal="center" vertical="center"/>
    </xf>
    <xf numFmtId="49" fontId="16" fillId="0" borderId="32" xfId="0" applyNumberFormat="1" applyFont="1" applyBorder="1" applyAlignment="1">
      <alignment horizontal="center" shrinkToFit="1"/>
    </xf>
    <xf numFmtId="0" fontId="39" fillId="0" borderId="34" xfId="0" applyFont="1" applyFill="1" applyBorder="1" applyAlignment="1">
      <alignment horizontal="centerContinuous" vertical="center"/>
    </xf>
    <xf numFmtId="0" fontId="40" fillId="0" borderId="31" xfId="0" applyFont="1" applyFill="1" applyBorder="1" applyAlignment="1">
      <alignment horizontal="centerContinuous" vertical="center"/>
    </xf>
    <xf numFmtId="0" fontId="49" fillId="0" borderId="31" xfId="0" applyFont="1" applyBorder="1" applyAlignment="1">
      <alignment horizontal="centerContinuous" vertical="center" wrapText="1"/>
    </xf>
    <xf numFmtId="0" fontId="50" fillId="0" borderId="31" xfId="0" applyFont="1" applyBorder="1" applyAlignment="1">
      <alignment horizontal="centerContinuous" vertical="center" wrapText="1"/>
    </xf>
    <xf numFmtId="0" fontId="51" fillId="0" borderId="31" xfId="0" applyFont="1" applyFill="1" applyBorder="1" applyAlignment="1">
      <alignment horizontal="centerContinuous" vertical="center" wrapText="1"/>
    </xf>
    <xf numFmtId="0" fontId="13" fillId="8" borderId="1" xfId="0" applyFont="1" applyFill="1" applyBorder="1" applyAlignment="1">
      <alignment vertical="center"/>
    </xf>
    <xf numFmtId="49" fontId="24" fillId="8" borderId="25" xfId="0" applyNumberFormat="1" applyFont="1" applyFill="1" applyBorder="1" applyAlignment="1">
      <alignment horizontal="center" vertical="center"/>
    </xf>
    <xf numFmtId="0" fontId="24" fillId="8" borderId="26" xfId="0" applyNumberFormat="1" applyFont="1" applyFill="1" applyBorder="1" applyAlignment="1">
      <alignment horizontal="center" vertical="center"/>
    </xf>
    <xf numFmtId="0" fontId="13" fillId="8" borderId="26" xfId="0" applyNumberFormat="1" applyFont="1" applyFill="1" applyBorder="1" applyAlignment="1">
      <alignment horizontal="center" vertical="center"/>
    </xf>
    <xf numFmtId="0" fontId="13" fillId="6" borderId="1" xfId="0" applyFont="1" applyFill="1" applyBorder="1" applyAlignment="1">
      <alignment vertical="center"/>
    </xf>
    <xf numFmtId="49" fontId="24" fillId="6" borderId="25" xfId="0" applyNumberFormat="1" applyFont="1" applyFill="1" applyBorder="1" applyAlignment="1">
      <alignment horizontal="center" vertical="center"/>
    </xf>
    <xf numFmtId="0" fontId="24" fillId="6" borderId="26" xfId="0" applyNumberFormat="1" applyFont="1" applyFill="1" applyBorder="1" applyAlignment="1">
      <alignment horizontal="center" vertical="center"/>
    </xf>
    <xf numFmtId="0" fontId="13" fillId="6" borderId="26" xfId="0" applyNumberFormat="1" applyFont="1" applyFill="1" applyBorder="1" applyAlignment="1">
      <alignment horizontal="center" vertical="center"/>
    </xf>
    <xf numFmtId="0" fontId="7" fillId="0" borderId="1" xfId="0" quotePrefix="1" applyFont="1" applyBorder="1" applyAlignment="1">
      <alignment vertical="center"/>
    </xf>
    <xf numFmtId="0" fontId="7" fillId="0" borderId="2" xfId="0" quotePrefix="1" applyFont="1" applyFill="1" applyBorder="1" applyAlignment="1">
      <alignment horizontal="center" vertical="center"/>
    </xf>
    <xf numFmtId="0" fontId="7" fillId="8" borderId="27" xfId="0" quotePrefix="1" applyNumberFormat="1" applyFont="1" applyFill="1" applyBorder="1" applyAlignment="1">
      <alignment horizontal="center" vertical="center"/>
    </xf>
    <xf numFmtId="0" fontId="5" fillId="0" borderId="0" xfId="0" applyFont="1" applyFill="1" applyBorder="1" applyAlignment="1">
      <alignment horizontal="center" vertical="center"/>
    </xf>
    <xf numFmtId="1" fontId="46" fillId="9" borderId="75" xfId="0" applyNumberFormat="1" applyFont="1" applyFill="1" applyBorder="1" applyAlignment="1">
      <alignment horizontal="center" vertical="center"/>
    </xf>
    <xf numFmtId="1" fontId="46" fillId="9" borderId="82" xfId="0" applyNumberFormat="1" applyFont="1" applyFill="1" applyBorder="1" applyAlignment="1">
      <alignment horizontal="center" vertical="center"/>
    </xf>
    <xf numFmtId="0" fontId="14" fillId="6" borderId="1" xfId="0" applyFont="1" applyFill="1" applyBorder="1" applyAlignment="1">
      <alignment vertical="center"/>
    </xf>
    <xf numFmtId="49" fontId="23" fillId="6" borderId="25" xfId="0" applyNumberFormat="1" applyFont="1" applyFill="1" applyBorder="1" applyAlignment="1">
      <alignment horizontal="center" vertical="center"/>
    </xf>
    <xf numFmtId="0" fontId="23" fillId="6" borderId="26" xfId="0" applyNumberFormat="1" applyFont="1" applyFill="1" applyBorder="1" applyAlignment="1">
      <alignment horizontal="center" vertical="center"/>
    </xf>
    <xf numFmtId="0" fontId="14" fillId="6" borderId="26" xfId="0" applyNumberFormat="1" applyFont="1" applyFill="1" applyBorder="1" applyAlignment="1">
      <alignment horizontal="center" vertical="center"/>
    </xf>
    <xf numFmtId="3" fontId="5" fillId="0" borderId="0" xfId="0" applyNumberFormat="1" applyFont="1" applyBorder="1" applyAlignment="1">
      <alignment vertical="center"/>
    </xf>
    <xf numFmtId="164" fontId="21" fillId="3" borderId="31" xfId="0" applyNumberFormat="1" applyFont="1" applyFill="1" applyBorder="1" applyAlignment="1">
      <alignment horizontal="center" vertical="center"/>
    </xf>
    <xf numFmtId="1" fontId="5" fillId="0" borderId="34" xfId="0" applyNumberFormat="1" applyFont="1" applyBorder="1" applyAlignment="1">
      <alignment horizontal="center" vertical="center" shrinkToFit="1"/>
    </xf>
    <xf numFmtId="1" fontId="5" fillId="0" borderId="46" xfId="0" applyNumberFormat="1" applyFont="1" applyBorder="1" applyAlignment="1">
      <alignment horizontal="center" vertical="center" shrinkToFit="1"/>
    </xf>
    <xf numFmtId="1" fontId="5" fillId="0" borderId="53" xfId="0" applyNumberFormat="1" applyFont="1" applyBorder="1" applyAlignment="1">
      <alignment horizontal="center" vertical="center" shrinkToFit="1"/>
    </xf>
    <xf numFmtId="49" fontId="28" fillId="6" borderId="25" xfId="0" applyNumberFormat="1" applyFont="1" applyFill="1" applyBorder="1" applyAlignment="1">
      <alignment horizontal="center" vertical="center"/>
    </xf>
    <xf numFmtId="0" fontId="28" fillId="6" borderId="26" xfId="0" applyNumberFormat="1" applyFont="1" applyFill="1" applyBorder="1" applyAlignment="1">
      <alignment horizontal="center" vertical="center"/>
    </xf>
    <xf numFmtId="0" fontId="22" fillId="6" borderId="26" xfId="0" applyNumberFormat="1" applyFont="1" applyFill="1" applyBorder="1" applyAlignment="1">
      <alignment horizontal="center" vertical="center"/>
    </xf>
    <xf numFmtId="49" fontId="7" fillId="10" borderId="26" xfId="0" applyNumberFormat="1" applyFont="1" applyFill="1" applyBorder="1" applyAlignment="1">
      <alignment horizontal="center" vertical="center"/>
    </xf>
    <xf numFmtId="9" fontId="2" fillId="0" borderId="82" xfId="0" applyNumberFormat="1" applyFont="1" applyFill="1" applyBorder="1" applyAlignment="1">
      <alignment horizontal="center" vertical="center"/>
    </xf>
    <xf numFmtId="49" fontId="7" fillId="0" borderId="44" xfId="0" applyNumberFormat="1" applyFont="1" applyFill="1" applyBorder="1" applyAlignment="1">
      <alignment horizontal="center" vertical="center"/>
    </xf>
    <xf numFmtId="0" fontId="6" fillId="0" borderId="59" xfId="0" applyFont="1" applyBorder="1" applyAlignment="1">
      <alignment horizontal="centerContinuous" vertical="center" wrapText="1"/>
    </xf>
    <xf numFmtId="0" fontId="6" fillId="0" borderId="60" xfId="0" applyFont="1" applyBorder="1" applyAlignment="1">
      <alignment horizontal="centerContinuous" vertical="center" wrapText="1"/>
    </xf>
    <xf numFmtId="0" fontId="7" fillId="0" borderId="73" xfId="0" applyFont="1" applyFill="1" applyBorder="1" applyAlignment="1">
      <alignment horizontal="center" vertical="center"/>
    </xf>
    <xf numFmtId="49" fontId="7" fillId="0" borderId="13"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8" xfId="0" applyFont="1" applyFill="1" applyBorder="1" applyAlignment="1">
      <alignment horizontal="center" vertical="center"/>
    </xf>
    <xf numFmtId="0" fontId="54" fillId="9" borderId="56" xfId="0" applyFont="1" applyFill="1" applyBorder="1" applyAlignment="1">
      <alignment horizontal="centerContinuous" vertical="center" wrapText="1"/>
    </xf>
    <xf numFmtId="0" fontId="54" fillId="9" borderId="61" xfId="0" applyFont="1" applyFill="1" applyBorder="1" applyAlignment="1">
      <alignment horizontal="center" vertical="center" wrapText="1"/>
    </xf>
    <xf numFmtId="0" fontId="55" fillId="0" borderId="58" xfId="0" applyFont="1" applyBorder="1" applyAlignment="1">
      <alignment horizontal="centerContinuous" vertical="center" wrapText="1"/>
    </xf>
    <xf numFmtId="0" fontId="27" fillId="0" borderId="46" xfId="0" applyFont="1" applyFill="1" applyBorder="1" applyAlignment="1">
      <alignment horizontal="centerContinuous" vertical="center" shrinkToFit="1"/>
    </xf>
    <xf numFmtId="0" fontId="54" fillId="9" borderId="115" xfId="0" applyFont="1" applyFill="1" applyBorder="1" applyAlignment="1">
      <alignment horizontal="centerContinuous" vertical="center"/>
    </xf>
    <xf numFmtId="0" fontId="7" fillId="0" borderId="51" xfId="0" applyFont="1" applyFill="1" applyBorder="1" applyAlignment="1">
      <alignment horizontal="centerContinuous" vertical="center"/>
    </xf>
    <xf numFmtId="0" fontId="7" fillId="0" borderId="26" xfId="0" applyFont="1" applyFill="1" applyBorder="1" applyAlignment="1">
      <alignment horizontal="centerContinuous" vertical="center"/>
    </xf>
    <xf numFmtId="0" fontId="7" fillId="0" borderId="45" xfId="0" applyFont="1" applyFill="1" applyBorder="1" applyAlignment="1">
      <alignment horizontal="centerContinuous" vertical="center"/>
    </xf>
    <xf numFmtId="0" fontId="53" fillId="5" borderId="52" xfId="2" applyNumberFormat="1" applyFont="1" applyFill="1" applyBorder="1" applyAlignment="1">
      <alignment horizontal="centerContinuous" vertical="center" shrinkToFit="1"/>
    </xf>
    <xf numFmtId="0" fontId="53" fillId="5" borderId="2" xfId="2" applyNumberFormat="1" applyFont="1" applyFill="1" applyBorder="1" applyAlignment="1">
      <alignment horizontal="centerContinuous" vertical="center" shrinkToFit="1"/>
    </xf>
    <xf numFmtId="0" fontId="53" fillId="5" borderId="10" xfId="2" applyNumberFormat="1" applyFont="1" applyFill="1" applyBorder="1" applyAlignment="1">
      <alignment horizontal="centerContinuous" vertical="center" shrinkToFit="1"/>
    </xf>
    <xf numFmtId="0" fontId="54" fillId="9" borderId="102" xfId="0" applyFont="1" applyFill="1" applyBorder="1" applyAlignment="1">
      <alignment horizontal="centerContinuous" vertical="center"/>
    </xf>
    <xf numFmtId="0" fontId="6" fillId="4" borderId="30" xfId="0" applyFont="1" applyFill="1" applyBorder="1" applyAlignment="1">
      <alignment horizontal="right" vertical="center"/>
    </xf>
    <xf numFmtId="0" fontId="2" fillId="0" borderId="108" xfId="0" applyFont="1" applyFill="1" applyBorder="1" applyAlignment="1">
      <alignment horizontal="center" vertical="center" shrinkToFit="1"/>
    </xf>
    <xf numFmtId="0" fontId="2" fillId="0" borderId="116" xfId="0" applyFont="1" applyFill="1" applyBorder="1" applyAlignment="1">
      <alignment horizontal="center" vertical="center"/>
    </xf>
    <xf numFmtId="0" fontId="2" fillId="0" borderId="116" xfId="0" quotePrefix="1" applyFont="1" applyFill="1" applyBorder="1" applyAlignment="1">
      <alignment horizontal="center" vertical="center"/>
    </xf>
    <xf numFmtId="9" fontId="2" fillId="0" borderId="116" xfId="0" applyNumberFormat="1" applyFont="1" applyFill="1" applyBorder="1" applyAlignment="1">
      <alignment horizontal="center" vertical="center"/>
    </xf>
    <xf numFmtId="49" fontId="2" fillId="0" borderId="116" xfId="0" quotePrefix="1" applyNumberFormat="1" applyFont="1" applyFill="1" applyBorder="1" applyAlignment="1">
      <alignment horizontal="center" vertical="center"/>
    </xf>
    <xf numFmtId="164" fontId="2" fillId="0" borderId="110" xfId="0" applyNumberFormat="1" applyFont="1" applyFill="1" applyBorder="1" applyAlignment="1">
      <alignment horizontal="centerContinuous" vertical="center"/>
    </xf>
    <xf numFmtId="164" fontId="2" fillId="0" borderId="109" xfId="0" applyNumberFormat="1" applyFont="1" applyFill="1" applyBorder="1" applyAlignment="1">
      <alignment horizontal="centerContinuous" vertical="center"/>
    </xf>
    <xf numFmtId="0" fontId="5" fillId="0" borderId="111" xfId="0" quotePrefix="1" applyFont="1" applyFill="1" applyBorder="1" applyAlignment="1">
      <alignment horizontal="centerContinuous" vertical="center"/>
    </xf>
    <xf numFmtId="1" fontId="2" fillId="0" borderId="117" xfId="0" applyNumberFormat="1" applyFont="1" applyFill="1" applyBorder="1" applyAlignment="1">
      <alignment horizontal="center" vertical="center"/>
    </xf>
    <xf numFmtId="0" fontId="2" fillId="0" borderId="75" xfId="0" applyFont="1" applyFill="1" applyBorder="1" applyAlignment="1">
      <alignment horizontal="center" vertical="center"/>
    </xf>
    <xf numFmtId="164" fontId="2" fillId="0" borderId="75" xfId="0" applyNumberFormat="1" applyFont="1" applyFill="1" applyBorder="1" applyAlignment="1">
      <alignment horizontal="center" vertical="center"/>
    </xf>
    <xf numFmtId="1" fontId="2" fillId="0" borderId="34" xfId="0" applyNumberFormat="1" applyFont="1" applyFill="1" applyBorder="1" applyAlignment="1">
      <alignment horizontal="center" vertical="center"/>
    </xf>
    <xf numFmtId="1" fontId="7" fillId="0" borderId="28" xfId="0" applyNumberFormat="1" applyFont="1" applyFill="1" applyBorder="1" applyAlignment="1">
      <alignment horizontal="center" vertical="center"/>
    </xf>
    <xf numFmtId="1" fontId="7" fillId="0" borderId="12" xfId="0" applyNumberFormat="1" applyFont="1" applyFill="1" applyBorder="1" applyAlignment="1">
      <alignment horizontal="center" vertical="center"/>
    </xf>
    <xf numFmtId="0" fontId="7" fillId="0" borderId="15" xfId="0" applyFont="1" applyFill="1" applyBorder="1" applyAlignment="1">
      <alignment horizontal="center" vertical="center"/>
    </xf>
    <xf numFmtId="0" fontId="3" fillId="0" borderId="1" xfId="0" applyFont="1" applyBorder="1" applyAlignment="1">
      <alignment vertical="center"/>
    </xf>
    <xf numFmtId="0" fontId="57" fillId="0" borderId="0" xfId="0" applyFont="1" applyAlignment="1">
      <alignment vertical="center"/>
    </xf>
    <xf numFmtId="0" fontId="15" fillId="0" borderId="0" xfId="0" applyFont="1" applyAlignment="1">
      <alignment vertical="center"/>
    </xf>
    <xf numFmtId="0" fontId="15" fillId="0" borderId="2" xfId="0" applyFont="1" applyBorder="1" applyAlignment="1">
      <alignment vertical="center"/>
    </xf>
    <xf numFmtId="0" fontId="7" fillId="0" borderId="0" xfId="0" applyFont="1" applyAlignment="1">
      <alignment vertical="center"/>
    </xf>
    <xf numFmtId="0" fontId="4" fillId="0" borderId="0" xfId="0" applyFont="1" applyAlignment="1">
      <alignment horizontal="right" vertical="center"/>
    </xf>
    <xf numFmtId="0" fontId="2" fillId="0" borderId="0" xfId="0" applyFont="1" applyAlignment="1">
      <alignment horizontal="left" vertical="center"/>
    </xf>
    <xf numFmtId="0" fontId="6" fillId="8" borderId="1" xfId="0" applyFont="1" applyFill="1" applyBorder="1" applyAlignment="1">
      <alignment horizontal="right" vertical="center"/>
    </xf>
    <xf numFmtId="0" fontId="7" fillId="8" borderId="0" xfId="0" applyFont="1" applyFill="1" applyBorder="1" applyAlignment="1">
      <alignment horizontal="centerContinuous" vertical="center"/>
    </xf>
    <xf numFmtId="0" fontId="6" fillId="8" borderId="0" xfId="0" applyFont="1" applyFill="1" applyBorder="1" applyAlignment="1">
      <alignment horizontal="right" vertical="center"/>
    </xf>
    <xf numFmtId="0" fontId="7" fillId="8" borderId="0" xfId="0" applyFont="1" applyFill="1" applyBorder="1" applyAlignment="1">
      <alignment horizontal="center" vertical="center"/>
    </xf>
    <xf numFmtId="49" fontId="5" fillId="0" borderId="0" xfId="0" applyNumberFormat="1" applyFont="1" applyBorder="1" applyAlignment="1">
      <alignment horizontal="center" vertical="center"/>
    </xf>
    <xf numFmtId="0" fontId="52" fillId="0" borderId="34" xfId="0" applyFont="1" applyBorder="1" applyAlignment="1">
      <alignment horizontal="center" shrinkToFit="1"/>
    </xf>
    <xf numFmtId="0" fontId="58" fillId="0" borderId="46" xfId="0" applyFont="1" applyBorder="1" applyAlignment="1">
      <alignment horizontal="center" shrinkToFit="1"/>
    </xf>
    <xf numFmtId="0" fontId="7" fillId="0" borderId="114" xfId="0" applyFont="1" applyFill="1" applyBorder="1" applyAlignment="1">
      <alignment horizontal="centerContinuous" vertical="center"/>
    </xf>
    <xf numFmtId="0" fontId="2" fillId="0" borderId="112" xfId="0" applyFont="1" applyFill="1" applyBorder="1" applyAlignment="1">
      <alignment horizontal="center" vertical="center"/>
    </xf>
    <xf numFmtId="0" fontId="2" fillId="0" borderId="75" xfId="0" quotePrefix="1" applyFont="1" applyFill="1" applyBorder="1" applyAlignment="1">
      <alignment horizontal="center" vertical="center" wrapText="1"/>
    </xf>
    <xf numFmtId="49" fontId="2" fillId="0" borderId="75" xfId="2" applyNumberFormat="1" applyFont="1" applyFill="1" applyBorder="1" applyAlignment="1">
      <alignment horizontal="center" vertical="center"/>
    </xf>
    <xf numFmtId="0" fontId="2" fillId="0" borderId="75" xfId="0" applyFont="1" applyFill="1" applyBorder="1" applyAlignment="1">
      <alignment horizontal="center" vertical="center" shrinkToFit="1"/>
    </xf>
    <xf numFmtId="1" fontId="2" fillId="0" borderId="76" xfId="0" applyNumberFormat="1" applyFont="1" applyFill="1" applyBorder="1" applyAlignment="1">
      <alignment horizontal="center" vertical="center"/>
    </xf>
    <xf numFmtId="0" fontId="2" fillId="0" borderId="113" xfId="0" quotePrefix="1" applyFont="1" applyFill="1" applyBorder="1" applyAlignment="1">
      <alignment horizontal="center" vertical="center"/>
    </xf>
    <xf numFmtId="0" fontId="2" fillId="0" borderId="100" xfId="0" applyFont="1" applyFill="1" applyBorder="1" applyAlignment="1">
      <alignment horizontal="center" vertical="center"/>
    </xf>
    <xf numFmtId="1" fontId="5" fillId="0" borderId="76" xfId="0" applyNumberFormat="1" applyFont="1" applyFill="1" applyBorder="1" applyAlignment="1">
      <alignment horizontal="center" vertical="center"/>
    </xf>
    <xf numFmtId="1" fontId="46" fillId="9" borderId="76" xfId="0" applyNumberFormat="1" applyFont="1" applyFill="1" applyBorder="1" applyAlignment="1">
      <alignment horizontal="center" vertical="center"/>
    </xf>
    <xf numFmtId="1" fontId="2" fillId="0" borderId="76" xfId="0" applyNumberFormat="1" applyFont="1" applyBorder="1" applyAlignment="1">
      <alignment horizontal="center" vertical="center"/>
    </xf>
    <xf numFmtId="0" fontId="2" fillId="0" borderId="113" xfId="0" quotePrefix="1" applyFont="1" applyBorder="1" applyAlignment="1">
      <alignment horizontal="center" vertical="center"/>
    </xf>
    <xf numFmtId="0" fontId="8" fillId="6" borderId="1" xfId="0" applyFont="1" applyFill="1" applyBorder="1" applyAlignment="1">
      <alignment vertical="center"/>
    </xf>
    <xf numFmtId="49" fontId="17" fillId="6" borderId="25" xfId="0" applyNumberFormat="1" applyFont="1" applyFill="1" applyBorder="1" applyAlignment="1">
      <alignment horizontal="center" vertical="center"/>
    </xf>
    <xf numFmtId="0" fontId="17" fillId="6" borderId="26" xfId="0" applyNumberFormat="1" applyFont="1" applyFill="1" applyBorder="1" applyAlignment="1">
      <alignment horizontal="center" vertical="center"/>
    </xf>
    <xf numFmtId="0" fontId="8" fillId="6" borderId="26" xfId="0" applyNumberFormat="1" applyFont="1" applyFill="1" applyBorder="1" applyAlignment="1">
      <alignment horizontal="center" vertical="center"/>
    </xf>
    <xf numFmtId="49" fontId="7" fillId="6" borderId="25" xfId="0" applyNumberFormat="1" applyFont="1" applyFill="1" applyBorder="1" applyAlignment="1">
      <alignment horizontal="center" vertical="center"/>
    </xf>
    <xf numFmtId="0" fontId="7" fillId="6" borderId="27" xfId="0" quotePrefix="1" applyFont="1" applyFill="1" applyBorder="1" applyAlignment="1">
      <alignment horizontal="center" vertical="center"/>
    </xf>
    <xf numFmtId="0" fontId="10" fillId="0" borderId="1" xfId="0" applyFont="1" applyFill="1" applyBorder="1" applyAlignment="1">
      <alignment vertical="center"/>
    </xf>
    <xf numFmtId="49" fontId="27" fillId="0" borderId="25" xfId="0" applyNumberFormat="1" applyFont="1" applyFill="1" applyBorder="1" applyAlignment="1">
      <alignment horizontal="center" vertical="center"/>
    </xf>
    <xf numFmtId="0" fontId="27" fillId="0" borderId="26" xfId="0" applyNumberFormat="1" applyFont="1" applyFill="1" applyBorder="1" applyAlignment="1">
      <alignment horizontal="center" vertical="center"/>
    </xf>
    <xf numFmtId="2" fontId="2" fillId="0" borderId="53" xfId="0" applyNumberFormat="1" applyFont="1" applyFill="1" applyBorder="1" applyAlignment="1">
      <alignment horizontal="center" vertical="center"/>
    </xf>
    <xf numFmtId="2" fontId="5" fillId="0" borderId="38" xfId="0" applyNumberFormat="1" applyFont="1" applyBorder="1" applyAlignment="1">
      <alignment horizontal="center" vertical="center" shrinkToFit="1"/>
    </xf>
    <xf numFmtId="2" fontId="5" fillId="0" borderId="34" xfId="0" applyNumberFormat="1" applyFont="1" applyBorder="1" applyAlignment="1">
      <alignment horizontal="center" vertical="center" shrinkToFit="1"/>
    </xf>
    <xf numFmtId="0" fontId="12" fillId="3" borderId="36" xfId="0" applyNumberFormat="1" applyFont="1" applyFill="1" applyBorder="1" applyAlignment="1">
      <alignment horizontal="center" vertical="center"/>
    </xf>
    <xf numFmtId="1" fontId="7" fillId="0" borderId="25" xfId="0" applyNumberFormat="1" applyFont="1" applyFill="1" applyBorder="1" applyAlignment="1">
      <alignment horizontal="center" vertical="center"/>
    </xf>
    <xf numFmtId="0" fontId="43" fillId="0" borderId="57" xfId="0" applyFont="1" applyFill="1" applyBorder="1" applyAlignment="1">
      <alignment horizontal="center" vertical="center"/>
    </xf>
    <xf numFmtId="1" fontId="7" fillId="0" borderId="57" xfId="0" applyNumberFormat="1" applyFont="1" applyFill="1" applyBorder="1" applyAlignment="1">
      <alignment horizontal="center" vertical="center"/>
    </xf>
    <xf numFmtId="49" fontId="7" fillId="0" borderId="57" xfId="0" applyNumberFormat="1" applyFont="1" applyFill="1" applyBorder="1" applyAlignment="1">
      <alignment horizontal="center" vertical="center"/>
    </xf>
    <xf numFmtId="0" fontId="2" fillId="0" borderId="120" xfId="0" applyFont="1" applyFill="1" applyBorder="1" applyAlignment="1">
      <alignment horizontal="center" vertical="center" shrinkToFit="1"/>
    </xf>
    <xf numFmtId="0" fontId="2" fillId="0" borderId="121" xfId="0" applyFont="1" applyBorder="1" applyAlignment="1">
      <alignment horizontal="center" vertical="center" shrinkToFit="1"/>
    </xf>
    <xf numFmtId="164" fontId="5" fillId="0" borderId="122" xfId="0" applyNumberFormat="1" applyFont="1" applyBorder="1" applyAlignment="1">
      <alignment horizontal="center" vertical="center" shrinkToFit="1"/>
    </xf>
    <xf numFmtId="0" fontId="2" fillId="0" borderId="122" xfId="0" applyFont="1" applyBorder="1" applyAlignment="1">
      <alignment horizontal="left" vertical="center"/>
    </xf>
    <xf numFmtId="0" fontId="5" fillId="0" borderId="123" xfId="0" applyFont="1" applyBorder="1" applyAlignment="1">
      <alignment horizontal="left" vertical="center" shrinkToFit="1"/>
    </xf>
    <xf numFmtId="1" fontId="5" fillId="0" borderId="74" xfId="0" applyNumberFormat="1" applyFont="1" applyBorder="1" applyAlignment="1">
      <alignment horizontal="center" vertical="center" shrinkToFit="1"/>
    </xf>
    <xf numFmtId="0" fontId="59" fillId="0" borderId="31" xfId="0" applyFont="1" applyBorder="1" applyAlignment="1">
      <alignment horizontal="centerContinuous"/>
    </xf>
    <xf numFmtId="0" fontId="13" fillId="6" borderId="8" xfId="0" applyFont="1" applyFill="1" applyBorder="1" applyAlignment="1">
      <alignment vertical="center"/>
    </xf>
    <xf numFmtId="0" fontId="7" fillId="6" borderId="44" xfId="0" applyNumberFormat="1" applyFont="1" applyFill="1" applyBorder="1" applyAlignment="1">
      <alignment horizontal="center" vertical="center"/>
    </xf>
    <xf numFmtId="49" fontId="24" fillId="6" borderId="44" xfId="0" applyNumberFormat="1" applyFont="1" applyFill="1" applyBorder="1" applyAlignment="1">
      <alignment horizontal="center" vertical="center"/>
    </xf>
    <xf numFmtId="0" fontId="24" fillId="6" borderId="45" xfId="0" applyNumberFormat="1" applyFont="1" applyFill="1" applyBorder="1" applyAlignment="1">
      <alignment horizontal="center" vertical="center"/>
    </xf>
    <xf numFmtId="0" fontId="13" fillId="6" borderId="45" xfId="0" applyNumberFormat="1" applyFont="1" applyFill="1" applyBorder="1" applyAlignment="1">
      <alignment horizontal="center" vertical="center"/>
    </xf>
    <xf numFmtId="49" fontId="7" fillId="6" borderId="45" xfId="0" applyNumberFormat="1" applyFont="1" applyFill="1" applyBorder="1" applyAlignment="1">
      <alignment horizontal="center" vertical="center"/>
    </xf>
    <xf numFmtId="0" fontId="7" fillId="6" borderId="33" xfId="0" applyNumberFormat="1" applyFont="1" applyFill="1" applyBorder="1" applyAlignment="1">
      <alignment horizontal="center" vertical="center"/>
    </xf>
    <xf numFmtId="0" fontId="44" fillId="11" borderId="26" xfId="0" applyNumberFormat="1" applyFont="1" applyFill="1" applyBorder="1" applyAlignment="1">
      <alignment horizontal="center" vertical="center"/>
    </xf>
    <xf numFmtId="0" fontId="44" fillId="11" borderId="57" xfId="0" applyNumberFormat="1" applyFont="1" applyFill="1" applyBorder="1" applyAlignment="1">
      <alignment horizontal="center" vertical="center"/>
    </xf>
    <xf numFmtId="0" fontId="44" fillId="11" borderId="13" xfId="0" applyNumberFormat="1" applyFont="1" applyFill="1" applyBorder="1" applyAlignment="1">
      <alignment horizontal="center" vertical="center"/>
    </xf>
    <xf numFmtId="0" fontId="44" fillId="11" borderId="44" xfId="0" applyNumberFormat="1" applyFont="1" applyFill="1" applyBorder="1" applyAlignment="1">
      <alignment horizontal="center" vertical="center"/>
    </xf>
    <xf numFmtId="0" fontId="4" fillId="0" borderId="0" xfId="0" applyFont="1" applyAlignment="1">
      <alignment horizontal="center" vertical="center"/>
    </xf>
    <xf numFmtId="9" fontId="4" fillId="0" borderId="0" xfId="1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9" fontId="2" fillId="0" borderId="0" xfId="10" applyAlignment="1">
      <alignment horizontal="center" vertical="center"/>
    </xf>
    <xf numFmtId="1" fontId="2" fillId="0" borderId="0" xfId="5" applyNumberFormat="1" applyAlignment="1">
      <alignment horizontal="center" vertical="center"/>
    </xf>
    <xf numFmtId="0" fontId="2" fillId="0" borderId="0" xfId="5" applyAlignment="1">
      <alignment vertical="center"/>
    </xf>
    <xf numFmtId="1" fontId="2" fillId="0" borderId="124" xfId="5" applyNumberFormat="1" applyBorder="1" applyAlignment="1">
      <alignment horizontal="center" vertical="center"/>
    </xf>
    <xf numFmtId="0" fontId="4" fillId="0" borderId="0" xfId="5" applyFont="1" applyAlignment="1">
      <alignment vertical="center"/>
    </xf>
    <xf numFmtId="1" fontId="4" fillId="0" borderId="0" xfId="5" applyNumberFormat="1" applyFont="1" applyAlignment="1">
      <alignment horizontal="center" vertical="center"/>
    </xf>
    <xf numFmtId="0" fontId="2" fillId="0" borderId="0" xfId="0" applyFont="1" applyAlignment="1">
      <alignment vertical="center"/>
    </xf>
    <xf numFmtId="0" fontId="0" fillId="0" borderId="0" xfId="0" applyAlignment="1">
      <alignment horizontal="center" vertical="center"/>
    </xf>
    <xf numFmtId="0" fontId="43" fillId="11" borderId="35" xfId="0" applyNumberFormat="1" applyFont="1" applyFill="1" applyBorder="1" applyAlignment="1">
      <alignment horizontal="center" vertical="center"/>
    </xf>
    <xf numFmtId="49" fontId="2" fillId="0" borderId="0" xfId="0" applyNumberFormat="1" applyFont="1" applyBorder="1" applyAlignment="1">
      <alignment horizontal="center" vertical="center"/>
    </xf>
    <xf numFmtId="0" fontId="22" fillId="6" borderId="1" xfId="0" applyFont="1" applyFill="1" applyBorder="1" applyAlignment="1">
      <alignment vertical="center"/>
    </xf>
    <xf numFmtId="0" fontId="52" fillId="0" borderId="114" xfId="0" applyFont="1" applyBorder="1" applyAlignment="1">
      <alignment horizontal="center" shrinkToFit="1"/>
    </xf>
    <xf numFmtId="3" fontId="7" fillId="0" borderId="12"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39" fillId="0" borderId="54" xfId="0" quotePrefix="1" applyFont="1" applyFill="1" applyBorder="1" applyAlignment="1">
      <alignment horizontal="centerContinuous" vertical="center"/>
    </xf>
    <xf numFmtId="0" fontId="62" fillId="0" borderId="0" xfId="5" applyFont="1" applyAlignment="1">
      <alignment horizontal="center" vertical="center"/>
    </xf>
    <xf numFmtId="0" fontId="63" fillId="0" borderId="1" xfId="5" applyFont="1" applyBorder="1" applyAlignment="1">
      <alignment horizontal="center" shrinkToFit="1"/>
    </xf>
    <xf numFmtId="9" fontId="7" fillId="0" borderId="26" xfId="2" applyFont="1" applyFill="1" applyBorder="1" applyAlignment="1">
      <alignment horizontal="center" vertical="center" shrinkToFit="1"/>
    </xf>
    <xf numFmtId="0" fontId="7" fillId="0" borderId="26" xfId="5" applyFont="1" applyBorder="1" applyAlignment="1">
      <alignment horizontal="center" vertical="center" shrinkToFit="1"/>
    </xf>
    <xf numFmtId="0" fontId="7" fillId="0" borderId="26" xfId="2" applyNumberFormat="1" applyFont="1" applyFill="1" applyBorder="1" applyAlignment="1">
      <alignment horizontal="center" vertical="center" shrinkToFit="1"/>
    </xf>
    <xf numFmtId="9" fontId="7" fillId="0" borderId="25" xfId="2" applyFont="1" applyBorder="1" applyAlignment="1">
      <alignment horizontal="center" shrinkToFit="1"/>
    </xf>
    <xf numFmtId="0" fontId="7" fillId="0" borderId="26" xfId="2" applyNumberFormat="1" applyFont="1" applyBorder="1" applyAlignment="1">
      <alignment horizontal="center" shrinkToFit="1"/>
    </xf>
    <xf numFmtId="9" fontId="7" fillId="0" borderId="26" xfId="2" applyFont="1" applyBorder="1" applyAlignment="1">
      <alignment horizontal="center" shrinkToFit="1"/>
    </xf>
    <xf numFmtId="9" fontId="7" fillId="0" borderId="25" xfId="2" applyFont="1" applyFill="1" applyBorder="1" applyAlignment="1">
      <alignment horizontal="center" vertical="center" shrinkToFit="1"/>
    </xf>
    <xf numFmtId="0" fontId="63" fillId="0" borderId="56" xfId="5" applyFont="1" applyBorder="1" applyAlignment="1">
      <alignment horizontal="center" shrinkToFit="1"/>
    </xf>
    <xf numFmtId="0" fontId="7" fillId="0" borderId="15" xfId="2" applyNumberFormat="1" applyFont="1" applyFill="1" applyBorder="1" applyAlignment="1">
      <alignment horizontal="center" vertical="center" shrinkToFit="1"/>
    </xf>
    <xf numFmtId="0" fontId="7" fillId="0" borderId="27" xfId="5" applyFont="1" applyBorder="1" applyAlignment="1">
      <alignment horizontal="center" vertical="center" shrinkToFit="1"/>
    </xf>
    <xf numFmtId="9" fontId="7" fillId="0" borderId="25" xfId="2" applyFont="1" applyFill="1" applyBorder="1" applyAlignment="1">
      <alignment horizontal="center" shrinkToFit="1"/>
    </xf>
    <xf numFmtId="0" fontId="7" fillId="0" borderId="26" xfId="2" applyNumberFormat="1" applyFont="1" applyFill="1" applyBorder="1" applyAlignment="1">
      <alignment horizontal="center" shrinkToFit="1"/>
    </xf>
    <xf numFmtId="0" fontId="7" fillId="0" borderId="32" xfId="5" applyFont="1" applyBorder="1" applyAlignment="1">
      <alignment horizontal="center" vertical="center"/>
    </xf>
    <xf numFmtId="9" fontId="7" fillId="0" borderId="26" xfId="2" applyFont="1" applyFill="1" applyBorder="1" applyAlignment="1">
      <alignment horizontal="center" shrinkToFit="1"/>
    </xf>
    <xf numFmtId="9" fontId="7" fillId="0" borderId="57" xfId="2" applyFont="1" applyFill="1" applyBorder="1" applyAlignment="1">
      <alignment horizontal="center" shrinkToFit="1"/>
    </xf>
    <xf numFmtId="9" fontId="7" fillId="0" borderId="15" xfId="2" applyFont="1" applyFill="1" applyBorder="1" applyAlignment="1">
      <alignment horizontal="center" shrinkToFit="1"/>
    </xf>
    <xf numFmtId="0" fontId="7" fillId="0" borderId="15" xfId="2" applyNumberFormat="1" applyFont="1" applyFill="1" applyBorder="1" applyAlignment="1">
      <alignment horizontal="center" shrinkToFit="1"/>
    </xf>
    <xf numFmtId="0" fontId="63" fillId="0" borderId="73" xfId="5" applyFont="1" applyBorder="1" applyAlignment="1">
      <alignment horizontal="center" shrinkToFit="1"/>
    </xf>
    <xf numFmtId="0" fontId="7" fillId="0" borderId="13" xfId="5" applyFont="1" applyBorder="1" applyAlignment="1">
      <alignment horizontal="center" vertical="center" shrinkToFit="1"/>
    </xf>
    <xf numFmtId="9" fontId="7" fillId="0" borderId="51" xfId="2" applyFont="1" applyFill="1" applyBorder="1" applyAlignment="1">
      <alignment horizontal="center" vertical="center" shrinkToFit="1"/>
    </xf>
    <xf numFmtId="0" fontId="7" fillId="0" borderId="51" xfId="5" applyFont="1" applyBorder="1" applyAlignment="1">
      <alignment horizontal="center" vertical="center" shrinkToFit="1"/>
    </xf>
    <xf numFmtId="0" fontId="7" fillId="0" borderId="51" xfId="2" applyNumberFormat="1" applyFont="1" applyFill="1" applyBorder="1" applyAlignment="1">
      <alignment horizontal="center" vertical="center" shrinkToFit="1"/>
    </xf>
    <xf numFmtId="0" fontId="7" fillId="0" borderId="27" xfId="5" applyFont="1" applyBorder="1" applyAlignment="1">
      <alignment horizontal="center" vertical="center"/>
    </xf>
    <xf numFmtId="0" fontId="63" fillId="0" borderId="1" xfId="5" applyFont="1" applyFill="1" applyBorder="1" applyAlignment="1">
      <alignment horizontal="center" shrinkToFit="1"/>
    </xf>
    <xf numFmtId="0" fontId="63" fillId="0" borderId="8" xfId="5" applyFont="1" applyFill="1" applyBorder="1" applyAlignment="1">
      <alignment horizontal="center" shrinkToFit="1"/>
    </xf>
    <xf numFmtId="9" fontId="7" fillId="0" borderId="44" xfId="2" applyFont="1" applyFill="1" applyBorder="1" applyAlignment="1">
      <alignment horizontal="center" vertical="center" shrinkToFit="1"/>
    </xf>
    <xf numFmtId="9" fontId="7" fillId="0" borderId="45" xfId="2" applyFont="1" applyFill="1" applyBorder="1" applyAlignment="1">
      <alignment horizontal="center" vertical="center" shrinkToFit="1"/>
    </xf>
    <xf numFmtId="0" fontId="7" fillId="0" borderId="45" xfId="2" applyNumberFormat="1" applyFont="1" applyFill="1" applyBorder="1" applyAlignment="1">
      <alignment horizontal="center" vertical="center" shrinkToFit="1"/>
    </xf>
    <xf numFmtId="0" fontId="61" fillId="0" borderId="23" xfId="5" applyFont="1" applyBorder="1" applyAlignment="1">
      <alignment horizontal="centerContinuous"/>
    </xf>
    <xf numFmtId="0" fontId="15" fillId="0" borderId="0" xfId="5" applyFont="1" applyAlignment="1">
      <alignment horizontal="centerContinuous"/>
    </xf>
    <xf numFmtId="0" fontId="2" fillId="0" borderId="0" xfId="5" applyAlignment="1"/>
    <xf numFmtId="0" fontId="12" fillId="9" borderId="125" xfId="5" applyFont="1" applyFill="1" applyBorder="1" applyAlignment="1">
      <alignment horizontal="centerContinuous" vertical="center"/>
    </xf>
    <xf numFmtId="0" fontId="12" fillId="9" borderId="126" xfId="5" applyFont="1" applyFill="1" applyBorder="1" applyAlignment="1">
      <alignment horizontal="center" vertical="center"/>
    </xf>
    <xf numFmtId="0" fontId="21" fillId="9" borderId="126" xfId="5" applyFont="1" applyFill="1" applyBorder="1" applyAlignment="1">
      <alignment horizontal="center" vertical="center"/>
    </xf>
    <xf numFmtId="0" fontId="12" fillId="9" borderId="127" xfId="5" applyFont="1" applyFill="1" applyBorder="1" applyAlignment="1">
      <alignment horizontal="centerContinuous" vertical="center"/>
    </xf>
    <xf numFmtId="0" fontId="7" fillId="0" borderId="13" xfId="5" applyFont="1" applyBorder="1" applyAlignment="1">
      <alignment horizontal="center"/>
    </xf>
    <xf numFmtId="0" fontId="7" fillId="0" borderId="128" xfId="5" applyFont="1" applyBorder="1" applyAlignment="1">
      <alignment horizontal="center" vertical="center"/>
    </xf>
    <xf numFmtId="0" fontId="4" fillId="0" borderId="0" xfId="5" applyFont="1" applyAlignment="1"/>
    <xf numFmtId="0" fontId="7" fillId="0" borderId="25" xfId="5" applyFont="1" applyBorder="1" applyAlignment="1">
      <alignment horizontal="center"/>
    </xf>
    <xf numFmtId="0" fontId="7" fillId="0" borderId="25" xfId="5" applyFont="1" applyFill="1" applyBorder="1" applyAlignment="1">
      <alignment horizontal="center"/>
    </xf>
    <xf numFmtId="0" fontId="7" fillId="0" borderId="27" xfId="5" applyFont="1" applyFill="1" applyBorder="1" applyAlignment="1">
      <alignment horizontal="center" vertical="center"/>
    </xf>
    <xf numFmtId="0" fontId="7" fillId="0" borderId="44" xfId="5" applyFont="1" applyFill="1" applyBorder="1" applyAlignment="1">
      <alignment horizontal="center"/>
    </xf>
    <xf numFmtId="0" fontId="7" fillId="0" borderId="33" xfId="5" applyFont="1" applyFill="1" applyBorder="1" applyAlignment="1">
      <alignment horizontal="center" vertical="center"/>
    </xf>
    <xf numFmtId="0" fontId="4" fillId="0" borderId="0" xfId="5" applyFont="1" applyAlignment="1">
      <alignment horizontal="right"/>
    </xf>
    <xf numFmtId="0" fontId="2" fillId="0" borderId="0" xfId="5" applyAlignment="1">
      <alignment horizontal="left"/>
    </xf>
    <xf numFmtId="0" fontId="7" fillId="0" borderId="57" xfId="5" applyFont="1" applyBorder="1" applyAlignment="1">
      <alignment horizontal="center"/>
    </xf>
    <xf numFmtId="0" fontId="64" fillId="0" borderId="31" xfId="0" applyFont="1" applyBorder="1" applyAlignment="1">
      <alignment horizontal="centerContinuous" vertical="center" wrapText="1"/>
    </xf>
    <xf numFmtId="0" fontId="65" fillId="0" borderId="129" xfId="0" applyFont="1" applyBorder="1" applyAlignment="1">
      <alignment horizontal="centerContinuous" vertical="center"/>
    </xf>
    <xf numFmtId="0" fontId="2" fillId="0" borderId="130" xfId="0" applyFont="1" applyBorder="1" applyAlignment="1">
      <alignment horizontal="centerContinuous" vertical="center"/>
    </xf>
    <xf numFmtId="0" fontId="2" fillId="0" borderId="102" xfId="0" applyFont="1" applyBorder="1" applyAlignment="1">
      <alignment horizontal="centerContinuous" vertical="center"/>
    </xf>
    <xf numFmtId="0" fontId="12" fillId="9" borderId="131" xfId="0" applyFont="1" applyFill="1" applyBorder="1" applyAlignment="1">
      <alignment horizontal="centerContinuous" vertical="center"/>
    </xf>
    <xf numFmtId="0" fontId="12" fillId="9" borderId="132" xfId="0" applyFont="1" applyFill="1" applyBorder="1" applyAlignment="1">
      <alignment horizontal="center" vertical="center"/>
    </xf>
    <xf numFmtId="0" fontId="12" fillId="9" borderId="132" xfId="0" applyFont="1" applyFill="1" applyBorder="1" applyAlignment="1">
      <alignment horizontal="centerContinuous" vertical="center"/>
    </xf>
    <xf numFmtId="0" fontId="12" fillId="9" borderId="133" xfId="0" applyFont="1" applyFill="1" applyBorder="1" applyAlignment="1">
      <alignment horizontal="center" vertical="center"/>
    </xf>
    <xf numFmtId="0" fontId="4" fillId="0" borderId="134" xfId="0" applyFont="1" applyBorder="1" applyAlignment="1">
      <alignment horizontal="right" vertical="center"/>
    </xf>
    <xf numFmtId="0" fontId="2" fillId="0" borderId="135" xfId="0" applyFont="1" applyBorder="1" applyAlignment="1">
      <alignment horizontal="center" vertical="center"/>
    </xf>
    <xf numFmtId="0" fontId="2" fillId="0" borderId="136" xfId="0" applyFont="1" applyBorder="1" applyAlignment="1">
      <alignment horizontal="center" vertical="center"/>
    </xf>
    <xf numFmtId="0" fontId="66" fillId="8" borderId="136" xfId="0" applyFont="1" applyFill="1" applyBorder="1" applyAlignment="1">
      <alignment horizontal="center" vertical="center"/>
    </xf>
    <xf numFmtId="0" fontId="66" fillId="8" borderId="137" xfId="0" applyFont="1" applyFill="1" applyBorder="1" applyAlignment="1">
      <alignment horizontal="center" vertical="center"/>
    </xf>
    <xf numFmtId="0" fontId="67" fillId="0" borderId="138" xfId="0" applyFont="1" applyBorder="1" applyAlignment="1">
      <alignment horizontal="right" vertical="center"/>
    </xf>
    <xf numFmtId="0" fontId="2" fillId="0" borderId="65" xfId="0" applyFont="1" applyBorder="1" applyAlignment="1">
      <alignment horizontal="center" vertical="center"/>
    </xf>
    <xf numFmtId="0" fontId="2" fillId="0" borderId="38" xfId="0" applyFont="1" applyBorder="1" applyAlignment="1">
      <alignment horizontal="center" vertical="center"/>
    </xf>
    <xf numFmtId="0" fontId="66" fillId="8" borderId="38" xfId="0" applyFont="1" applyFill="1" applyBorder="1" applyAlignment="1">
      <alignment horizontal="center" vertical="center"/>
    </xf>
    <xf numFmtId="0" fontId="66" fillId="8" borderId="39" xfId="0" applyFont="1" applyFill="1" applyBorder="1" applyAlignment="1">
      <alignment horizontal="center" vertical="center"/>
    </xf>
    <xf numFmtId="0" fontId="68" fillId="0" borderId="139" xfId="0" applyFont="1" applyBorder="1" applyAlignment="1">
      <alignment horizontal="right" vertical="center"/>
    </xf>
    <xf numFmtId="0" fontId="69" fillId="9" borderId="140" xfId="0" applyFont="1" applyFill="1" applyBorder="1" applyAlignment="1">
      <alignment horizontal="center" vertical="center"/>
    </xf>
    <xf numFmtId="0" fontId="69" fillId="9" borderId="141" xfId="0" applyFont="1" applyFill="1" applyBorder="1" applyAlignment="1">
      <alignment horizontal="center" vertical="center"/>
    </xf>
    <xf numFmtId="0" fontId="70" fillId="8" borderId="141" xfId="0" applyFont="1" applyFill="1" applyBorder="1" applyAlignment="1">
      <alignment horizontal="center" vertical="center"/>
    </xf>
    <xf numFmtId="0" fontId="70" fillId="8" borderId="142" xfId="0" applyFont="1" applyFill="1" applyBorder="1" applyAlignment="1">
      <alignment horizontal="center" vertical="center"/>
    </xf>
    <xf numFmtId="0" fontId="4" fillId="0" borderId="143" xfId="0" applyFont="1" applyBorder="1" applyAlignment="1">
      <alignment horizontal="right" vertical="center"/>
    </xf>
    <xf numFmtId="1" fontId="69" fillId="9" borderId="144" xfId="0" applyNumberFormat="1" applyFont="1" applyFill="1" applyBorder="1" applyAlignment="1">
      <alignment horizontal="center" vertical="center"/>
    </xf>
    <xf numFmtId="1" fontId="69" fillId="9" borderId="145" xfId="0" applyNumberFormat="1" applyFont="1" applyFill="1" applyBorder="1" applyAlignment="1">
      <alignment horizontal="center" vertical="center"/>
    </xf>
    <xf numFmtId="1" fontId="69" fillId="8" borderId="145" xfId="0" applyNumberFormat="1" applyFont="1" applyFill="1" applyBorder="1" applyAlignment="1">
      <alignment horizontal="center" vertical="center"/>
    </xf>
    <xf numFmtId="1" fontId="69" fillId="8" borderId="146" xfId="0" applyNumberFormat="1" applyFont="1" applyFill="1" applyBorder="1" applyAlignment="1">
      <alignment horizontal="center" vertical="center"/>
    </xf>
    <xf numFmtId="0" fontId="65" fillId="0" borderId="58" xfId="0" applyFont="1" applyBorder="1" applyAlignment="1">
      <alignment horizontal="centerContinuous" vertical="center"/>
    </xf>
    <xf numFmtId="0" fontId="6" fillId="0" borderId="59" xfId="0" applyFont="1" applyBorder="1" applyAlignment="1">
      <alignment horizontal="centerContinuous" vertical="center"/>
    </xf>
    <xf numFmtId="0" fontId="6" fillId="0" borderId="60" xfId="0" applyFont="1" applyBorder="1" applyAlignment="1">
      <alignment horizontal="centerContinuous" vertical="center"/>
    </xf>
    <xf numFmtId="0" fontId="54" fillId="9" borderId="56" xfId="0" applyFont="1" applyFill="1" applyBorder="1" applyAlignment="1">
      <alignment horizontal="centerContinuous" vertical="center"/>
    </xf>
    <xf numFmtId="0" fontId="54" fillId="9" borderId="147" xfId="0" applyFont="1" applyFill="1" applyBorder="1" applyAlignment="1">
      <alignment horizontal="center" vertical="center"/>
    </xf>
    <xf numFmtId="0" fontId="54" fillId="9" borderId="61" xfId="0" applyFont="1" applyFill="1" applyBorder="1" applyAlignment="1">
      <alignment horizontal="center" vertical="center"/>
    </xf>
    <xf numFmtId="0" fontId="54" fillId="9" borderId="62" xfId="0" applyFont="1" applyFill="1" applyBorder="1" applyAlignment="1">
      <alignment horizontal="center" vertical="center"/>
    </xf>
    <xf numFmtId="0" fontId="7" fillId="0" borderId="1" xfId="0" applyFont="1" applyBorder="1" applyAlignment="1">
      <alignment horizontal="center" vertical="center" shrinkToFit="1"/>
    </xf>
    <xf numFmtId="0" fontId="7" fillId="0" borderId="25" xfId="0" applyFont="1" applyBorder="1" applyAlignment="1">
      <alignment horizontal="center" vertical="center"/>
    </xf>
    <xf numFmtId="49" fontId="7" fillId="0" borderId="25" xfId="0" applyNumberFormat="1" applyFont="1" applyBorder="1" applyAlignment="1">
      <alignment horizontal="center" vertical="center"/>
    </xf>
    <xf numFmtId="0" fontId="53" fillId="5" borderId="27" xfId="2" applyNumberFormat="1" applyFont="1" applyFill="1" applyBorder="1" applyAlignment="1">
      <alignment horizontal="center" vertical="center" shrinkToFit="1"/>
    </xf>
    <xf numFmtId="0" fontId="7" fillId="0" borderId="56" xfId="0" applyFont="1" applyBorder="1" applyAlignment="1">
      <alignment horizontal="center" vertical="center" shrinkToFit="1"/>
    </xf>
    <xf numFmtId="0" fontId="7" fillId="0" borderId="57" xfId="0" applyFont="1" applyBorder="1" applyAlignment="1">
      <alignment horizontal="center" vertical="center"/>
    </xf>
    <xf numFmtId="49" fontId="7" fillId="0" borderId="57" xfId="0" applyNumberFormat="1" applyFont="1" applyBorder="1" applyAlignment="1">
      <alignment horizontal="center" vertical="center"/>
    </xf>
    <xf numFmtId="0" fontId="53" fillId="5" borderId="32" xfId="2" applyNumberFormat="1" applyFont="1" applyFill="1" applyBorder="1" applyAlignment="1">
      <alignment horizontal="center" vertical="center" shrinkToFit="1"/>
    </xf>
    <xf numFmtId="0" fontId="7" fillId="0" borderId="8" xfId="0" applyFont="1" applyBorder="1" applyAlignment="1">
      <alignment horizontal="center" vertical="center" shrinkToFit="1"/>
    </xf>
    <xf numFmtId="0" fontId="7" fillId="0" borderId="44" xfId="0" applyFont="1" applyBorder="1" applyAlignment="1">
      <alignment horizontal="center" vertical="center"/>
    </xf>
    <xf numFmtId="49" fontId="7" fillId="0" borderId="44" xfId="0" applyNumberFormat="1" applyFont="1" applyBorder="1" applyAlignment="1">
      <alignment horizontal="center" vertical="center"/>
    </xf>
    <xf numFmtId="0" fontId="53" fillId="5" borderId="33" xfId="2" applyNumberFormat="1" applyFont="1" applyFill="1" applyBorder="1" applyAlignment="1">
      <alignment horizontal="center" vertical="center" shrinkToFit="1"/>
    </xf>
    <xf numFmtId="2" fontId="2" fillId="0" borderId="116" xfId="0" applyNumberFormat="1" applyFont="1" applyFill="1" applyBorder="1" applyAlignment="1">
      <alignment horizontal="center" vertical="center"/>
    </xf>
    <xf numFmtId="0" fontId="56" fillId="2" borderId="64" xfId="0" applyFont="1" applyFill="1" applyBorder="1" applyAlignment="1">
      <alignment horizontal="left" vertical="center"/>
    </xf>
    <xf numFmtId="0" fontId="7" fillId="12" borderId="62" xfId="0" quotePrefix="1" applyFont="1" applyFill="1" applyBorder="1" applyAlignment="1">
      <alignment horizontal="center" vertical="center"/>
    </xf>
    <xf numFmtId="0" fontId="2" fillId="13" borderId="112" xfId="0" applyFont="1" applyFill="1" applyBorder="1" applyAlignment="1">
      <alignment horizontal="center" vertical="center" shrinkToFit="1"/>
    </xf>
    <xf numFmtId="0" fontId="2" fillId="13" borderId="75" xfId="0" applyFont="1" applyFill="1" applyBorder="1" applyAlignment="1">
      <alignment horizontal="center" vertical="center"/>
    </xf>
    <xf numFmtId="0" fontId="2" fillId="13" borderId="75" xfId="0" quotePrefix="1" applyFont="1" applyFill="1" applyBorder="1" applyAlignment="1">
      <alignment horizontal="center" vertical="center"/>
    </xf>
    <xf numFmtId="9" fontId="2" fillId="13" borderId="75" xfId="0" applyNumberFormat="1" applyFont="1" applyFill="1" applyBorder="1" applyAlignment="1">
      <alignment horizontal="center" vertical="center"/>
    </xf>
    <xf numFmtId="49" fontId="2" fillId="13" borderId="75" xfId="0" quotePrefix="1" applyNumberFormat="1" applyFont="1" applyFill="1" applyBorder="1" applyAlignment="1">
      <alignment horizontal="center" vertical="center"/>
    </xf>
    <xf numFmtId="164" fontId="2" fillId="13" borderId="75" xfId="0" applyNumberFormat="1" applyFont="1" applyFill="1" applyBorder="1" applyAlignment="1">
      <alignment horizontal="center" vertical="center"/>
    </xf>
    <xf numFmtId="164" fontId="2" fillId="13" borderId="76" xfId="0" applyNumberFormat="1" applyFont="1" applyFill="1" applyBorder="1" applyAlignment="1">
      <alignment horizontal="centerContinuous" vertical="center"/>
    </xf>
    <xf numFmtId="164" fontId="2" fillId="13" borderId="118" xfId="0" applyNumberFormat="1" applyFont="1" applyFill="1" applyBorder="1" applyAlignment="1">
      <alignment horizontal="centerContinuous" vertical="center"/>
    </xf>
    <xf numFmtId="0" fontId="5" fillId="13" borderId="119" xfId="0" quotePrefix="1" applyFont="1" applyFill="1" applyBorder="1" applyAlignment="1">
      <alignment horizontal="centerContinuous" vertical="center"/>
    </xf>
    <xf numFmtId="1" fontId="2" fillId="13" borderId="34" xfId="0" applyNumberFormat="1" applyFont="1" applyFill="1" applyBorder="1" applyAlignment="1">
      <alignment horizontal="center" vertical="center"/>
    </xf>
    <xf numFmtId="0" fontId="2" fillId="13" borderId="77" xfId="0" applyFont="1" applyFill="1" applyBorder="1" applyAlignment="1">
      <alignment horizontal="center" vertical="center"/>
    </xf>
    <xf numFmtId="0" fontId="2" fillId="13" borderId="78" xfId="0" applyFont="1" applyFill="1" applyBorder="1" applyAlignment="1">
      <alignment horizontal="center" vertical="center"/>
    </xf>
    <xf numFmtId="0" fontId="2" fillId="13" borderId="78" xfId="0" quotePrefix="1" applyFont="1" applyFill="1" applyBorder="1" applyAlignment="1">
      <alignment horizontal="center" vertical="center" wrapText="1"/>
    </xf>
    <xf numFmtId="49" fontId="2" fillId="13" borderId="78" xfId="2" applyNumberFormat="1" applyFont="1" applyFill="1" applyBorder="1" applyAlignment="1">
      <alignment horizontal="center" vertical="center"/>
    </xf>
    <xf numFmtId="0" fontId="2" fillId="13" borderId="78" xfId="0" applyFont="1" applyFill="1" applyBorder="1" applyAlignment="1">
      <alignment horizontal="center" vertical="center" shrinkToFit="1"/>
    </xf>
    <xf numFmtId="164" fontId="2" fillId="13" borderId="78" xfId="0" applyNumberFormat="1" applyFont="1" applyFill="1" applyBorder="1" applyAlignment="1">
      <alignment horizontal="center" vertical="center"/>
    </xf>
    <xf numFmtId="1" fontId="2" fillId="13" borderId="78" xfId="0" applyNumberFormat="1" applyFont="1" applyFill="1" applyBorder="1" applyAlignment="1">
      <alignment horizontal="center" vertical="center"/>
    </xf>
    <xf numFmtId="1" fontId="2" fillId="13" borderId="79" xfId="0" applyNumberFormat="1" applyFont="1" applyFill="1" applyBorder="1" applyAlignment="1">
      <alignment horizontal="center" vertical="center"/>
    </xf>
    <xf numFmtId="0" fontId="2" fillId="13" borderId="80" xfId="0" quotePrefix="1" applyFont="1" applyFill="1" applyBorder="1" applyAlignment="1">
      <alignment horizontal="center" vertical="center"/>
    </xf>
    <xf numFmtId="1" fontId="2" fillId="13" borderId="53" xfId="0" applyNumberFormat="1" applyFont="1" applyFill="1" applyBorder="1" applyAlignment="1">
      <alignment horizontal="center" vertical="center"/>
    </xf>
    <xf numFmtId="0" fontId="39" fillId="0" borderId="114" xfId="0" applyFont="1" applyBorder="1" applyAlignment="1">
      <alignment horizontal="center" shrinkToFit="1"/>
    </xf>
    <xf numFmtId="0" fontId="7" fillId="0" borderId="68" xfId="0" applyNumberFormat="1" applyFont="1" applyFill="1" applyBorder="1" applyAlignment="1">
      <alignment horizontal="centerContinuous" vertical="center"/>
    </xf>
    <xf numFmtId="0" fontId="2" fillId="0" borderId="70" xfId="0" applyNumberFormat="1" applyFont="1" applyFill="1" applyBorder="1" applyAlignment="1">
      <alignment horizontal="centerContinuous" vertical="center"/>
    </xf>
    <xf numFmtId="0" fontId="2" fillId="0" borderId="55" xfId="0" applyFont="1" applyBorder="1" applyAlignment="1">
      <alignment horizontal="center" vertical="center" shrinkToFit="1"/>
    </xf>
    <xf numFmtId="164" fontId="2" fillId="0" borderId="38" xfId="0" applyNumberFormat="1" applyFont="1" applyBorder="1" applyAlignment="1">
      <alignment horizontal="center" vertical="center" shrinkToFit="1"/>
    </xf>
    <xf numFmtId="0" fontId="5" fillId="0" borderId="38" xfId="0" applyFont="1" applyBorder="1" applyAlignment="1">
      <alignment horizontal="left" vertical="center"/>
    </xf>
    <xf numFmtId="1" fontId="2" fillId="0" borderId="34" xfId="0" applyNumberFormat="1" applyFont="1" applyBorder="1" applyAlignment="1">
      <alignment horizontal="center" vertical="center" shrinkToFit="1"/>
    </xf>
    <xf numFmtId="0" fontId="2" fillId="0" borderId="0" xfId="0" applyFont="1" applyAlignment="1">
      <alignment horizontal="center" vertical="center" shrinkToFit="1"/>
    </xf>
    <xf numFmtId="0" fontId="73" fillId="0" borderId="0" xfId="0" applyFont="1" applyAlignment="1">
      <alignment vertical="center"/>
    </xf>
    <xf numFmtId="0" fontId="2" fillId="0" borderId="0" xfId="0" applyFont="1" applyAlignment="1">
      <alignment horizontal="left" vertical="center" shrinkToFit="1"/>
    </xf>
    <xf numFmtId="0" fontId="2" fillId="0" borderId="103" xfId="0" applyFont="1" applyBorder="1" applyAlignment="1">
      <alignment horizontal="center" vertical="center" shrinkToFit="1"/>
    </xf>
    <xf numFmtId="1" fontId="2" fillId="0" borderId="122" xfId="0" applyNumberFormat="1" applyFont="1" applyBorder="1" applyAlignment="1">
      <alignment horizontal="center" vertical="center" shrinkToFit="1"/>
    </xf>
    <xf numFmtId="164" fontId="2" fillId="0" borderId="122" xfId="0" applyNumberFormat="1" applyFont="1" applyBorder="1" applyAlignment="1">
      <alignment horizontal="center" vertical="center" shrinkToFit="1"/>
    </xf>
    <xf numFmtId="0" fontId="2" fillId="0" borderId="148" xfId="0" applyFont="1" applyBorder="1" applyAlignment="1">
      <alignment horizontal="left" vertical="center"/>
    </xf>
    <xf numFmtId="0" fontId="2" fillId="0" borderId="123" xfId="0" applyFont="1" applyBorder="1" applyAlignment="1">
      <alignment horizontal="left" vertical="center" shrinkToFit="1"/>
    </xf>
    <xf numFmtId="1" fontId="2" fillId="0" borderId="74" xfId="0" applyNumberFormat="1" applyFont="1" applyBorder="1" applyAlignment="1">
      <alignment horizontal="center" vertical="center" shrinkToFit="1"/>
    </xf>
    <xf numFmtId="0" fontId="2" fillId="0" borderId="149" xfId="0" applyFont="1" applyBorder="1" applyAlignment="1">
      <alignment horizontal="center" vertical="center" shrinkToFit="1"/>
    </xf>
    <xf numFmtId="1" fontId="2" fillId="0" borderId="38" xfId="0" applyNumberFormat="1" applyFont="1" applyBorder="1" applyAlignment="1">
      <alignment horizontal="center" vertical="center" shrinkToFit="1"/>
    </xf>
    <xf numFmtId="0" fontId="2" fillId="0" borderId="150" xfId="0" applyFont="1" applyBorder="1" applyAlignment="1">
      <alignment horizontal="left" vertical="center"/>
    </xf>
    <xf numFmtId="0" fontId="2" fillId="0" borderId="39" xfId="0" applyFont="1" applyBorder="1" applyAlignment="1">
      <alignment horizontal="left" vertical="center" shrinkToFit="1"/>
    </xf>
    <xf numFmtId="0" fontId="2" fillId="0" borderId="96" xfId="0" applyFont="1" applyBorder="1" applyAlignment="1">
      <alignment horizontal="center" vertical="center" shrinkToFit="1"/>
    </xf>
    <xf numFmtId="1" fontId="2" fillId="0" borderId="40" xfId="0" applyNumberFormat="1" applyFont="1" applyBorder="1" applyAlignment="1">
      <alignment horizontal="center" vertical="center" shrinkToFit="1"/>
    </xf>
    <xf numFmtId="164" fontId="2" fillId="0" borderId="40" xfId="0" applyNumberFormat="1" applyFont="1" applyBorder="1" applyAlignment="1">
      <alignment horizontal="center" vertical="center" shrinkToFit="1"/>
    </xf>
    <xf numFmtId="0" fontId="2" fillId="0" borderId="151" xfId="0" applyFont="1" applyBorder="1" applyAlignment="1">
      <alignment horizontal="left" vertical="center"/>
    </xf>
    <xf numFmtId="0" fontId="2" fillId="0" borderId="41" xfId="0" applyFont="1" applyBorder="1" applyAlignment="1">
      <alignment horizontal="left" vertical="center" shrinkToFit="1"/>
    </xf>
    <xf numFmtId="1" fontId="2" fillId="0" borderId="46" xfId="0" applyNumberFormat="1" applyFont="1" applyBorder="1" applyAlignment="1">
      <alignment horizontal="center" vertical="center" shrinkToFit="1"/>
    </xf>
    <xf numFmtId="0" fontId="33" fillId="0" borderId="38" xfId="1" applyBorder="1" applyAlignment="1" applyProtection="1">
      <alignment horizontal="left" vertical="center"/>
    </xf>
    <xf numFmtId="165" fontId="2" fillId="0" borderId="0" xfId="0" applyNumberFormat="1" applyFont="1" applyAlignment="1">
      <alignment horizontal="center" vertical="center"/>
    </xf>
    <xf numFmtId="0" fontId="21" fillId="3" borderId="22" xfId="0" applyFont="1" applyFill="1" applyBorder="1" applyAlignment="1">
      <alignment horizontal="center" vertical="center"/>
    </xf>
    <xf numFmtId="9" fontId="21" fillId="3" borderId="21" xfId="2" applyFont="1" applyFill="1" applyBorder="1" applyAlignment="1">
      <alignment horizontal="center" vertical="center"/>
    </xf>
  </cellXfs>
  <cellStyles count="12">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2 3" xfId="11" xr:uid="{00000000-0005-0000-0000-000005000000}"/>
    <cellStyle name="Normal 3" xfId="8" xr:uid="{00000000-0005-0000-0000-000006000000}"/>
    <cellStyle name="Normal 4" xfId="9" xr:uid="{00000000-0005-0000-0000-000007000000}"/>
    <cellStyle name="Normal 5" xfId="7" xr:uid="{00000000-0005-0000-0000-000008000000}"/>
    <cellStyle name="Percent" xfId="2" builtinId="5"/>
    <cellStyle name="Percent 2" xfId="3" xr:uid="{00000000-0005-0000-0000-00000A000000}"/>
    <cellStyle name="Percent 2 2" xfId="10" xr:uid="{00000000-0005-0000-0000-00000B000000}"/>
  </cellStyles>
  <dxfs count="13">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rgb="FFFF0000"/>
        </patternFill>
      </fill>
    </dxf>
    <dxf>
      <fill>
        <patternFill>
          <bgColor rgb="FFFF0000"/>
        </patternFill>
      </fill>
    </dxf>
    <dxf>
      <fill>
        <patternFill>
          <bgColor rgb="FFFF00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00FF"/>
      <color rgb="FFCC00FF"/>
      <color rgb="FFCCFFCC"/>
      <color rgb="FF6600CC"/>
      <color rgb="FF009900"/>
      <color rgb="FF9966FF"/>
      <color rgb="FF00FF99"/>
      <color rgb="FF00FF00"/>
      <color rgb="FF00CC66"/>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91440</xdr:colOff>
      <xdr:row>1</xdr:row>
      <xdr:rowOff>83820</xdr:rowOff>
    </xdr:from>
    <xdr:to>
      <xdr:col>6</xdr:col>
      <xdr:colOff>960120</xdr:colOff>
      <xdr:row>17</xdr:row>
      <xdr:rowOff>203558</xdr:rowOff>
    </xdr:to>
    <xdr:pic>
      <xdr:nvPicPr>
        <xdr:cNvPr id="6" name="Picture 5">
          <a:extLst>
            <a:ext uri="{FF2B5EF4-FFF2-40B4-BE49-F238E27FC236}">
              <a16:creationId xmlns:a16="http://schemas.microsoft.com/office/drawing/2014/main" id="{259A1AF2-55D4-439A-A7C6-486CD4AAC3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35780" y="457200"/>
          <a:ext cx="1912620" cy="3579218"/>
        </a:xfrm>
        <a:prstGeom prst="rect">
          <a:avLst/>
        </a:prstGeom>
        <a:ln w="38100" cmpd="dbl">
          <a:solidFill>
            <a:srgbClr val="FFC000"/>
          </a:solidFill>
        </a:ln>
        <a:extLst>
          <a:ext uri="{909E8E84-426E-40DD-AFC4-6F175D3DCCD1}">
            <a14:hiddenFill xmlns:a14="http://schemas.microsoft.com/office/drawing/2010/main">
              <a:solidFill>
                <a:srgbClr val="FFFFFF"/>
              </a:solidFill>
            </a14:hiddenFill>
          </a:ext>
        </a:extLst>
      </xdr:spPr>
    </xdr:pic>
    <xdr:clientData/>
  </xdr:twoCellAnchor>
  <xdr:twoCellAnchor>
    <xdr:from>
      <xdr:col>5</xdr:col>
      <xdr:colOff>60960</xdr:colOff>
      <xdr:row>16</xdr:row>
      <xdr:rowOff>1904</xdr:rowOff>
    </xdr:from>
    <xdr:to>
      <xdr:col>6</xdr:col>
      <xdr:colOff>982980</xdr:colOff>
      <xdr:row>17</xdr:row>
      <xdr:rowOff>243840</xdr:rowOff>
    </xdr:to>
    <xdr:sp macro="" textlink="">
      <xdr:nvSpPr>
        <xdr:cNvPr id="1084" name="Text Box 60">
          <a:extLst>
            <a:ext uri="{FF2B5EF4-FFF2-40B4-BE49-F238E27FC236}">
              <a16:creationId xmlns:a16="http://schemas.microsoft.com/office/drawing/2014/main" id="{00000000-0008-0000-0000-00003C040000}"/>
            </a:ext>
          </a:extLst>
        </xdr:cNvPr>
        <xdr:cNvSpPr txBox="1">
          <a:spLocks noChangeArrowheads="1"/>
        </xdr:cNvSpPr>
      </xdr:nvSpPr>
      <xdr:spPr bwMode="auto">
        <a:xfrm>
          <a:off x="4305300" y="3613784"/>
          <a:ext cx="1965960" cy="462916"/>
        </a:xfrm>
        <a:prstGeom prst="rect">
          <a:avLst/>
        </a:prstGeom>
        <a:solidFill>
          <a:srgbClr xmlns:mc="http://schemas.openxmlformats.org/markup-compatibility/2006" xmlns:a14="http://schemas.microsoft.com/office/drawing/2010/main" val="CCFFFF" mc:Ignorable="a14" a14:legacySpreadsheetColorIndex="41">
            <a:alpha val="64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l" rtl="0"/>
          <a:r>
            <a:rPr lang="en-US" sz="1200" b="1" i="0" baseline="0">
              <a:effectLst/>
              <a:latin typeface="Times New Roman" panose="02020603050405020304" pitchFamily="18" charset="0"/>
              <a:ea typeface="+mn-ea"/>
              <a:cs typeface="Times New Roman" panose="02020603050405020304" pitchFamily="18" charset="0"/>
            </a:rPr>
            <a:t>Current Effects:</a:t>
          </a:r>
          <a:endParaRPr lang="en-US" sz="1200" b="0" i="1" baseline="0">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0</xdr:col>
      <xdr:colOff>41910</xdr:colOff>
      <xdr:row>18</xdr:row>
      <xdr:rowOff>51434</xdr:rowOff>
    </xdr:from>
    <xdr:to>
      <xdr:col>6</xdr:col>
      <xdr:colOff>1261110</xdr:colOff>
      <xdr:row>40</xdr:row>
      <xdr:rowOff>190499</xdr:rowOff>
    </xdr:to>
    <xdr:sp macro="" textlink="">
      <xdr:nvSpPr>
        <xdr:cNvPr id="5" name="Text 6">
          <a:extLst>
            <a:ext uri="{FF2B5EF4-FFF2-40B4-BE49-F238E27FC236}">
              <a16:creationId xmlns:a16="http://schemas.microsoft.com/office/drawing/2014/main" id="{A1E6F62E-C980-4693-83FE-BA392389D585}"/>
            </a:ext>
          </a:extLst>
        </xdr:cNvPr>
        <xdr:cNvSpPr txBox="1">
          <a:spLocks noChangeArrowheads="1"/>
        </xdr:cNvSpPr>
      </xdr:nvSpPr>
      <xdr:spPr bwMode="auto">
        <a:xfrm>
          <a:off x="41910" y="3762374"/>
          <a:ext cx="6499860" cy="5053965"/>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1">
              <a:effectLst/>
              <a:latin typeface="Times New Roman" panose="02020603050405020304" pitchFamily="18" charset="0"/>
              <a:ea typeface="+mn-ea"/>
              <a:cs typeface="Times New Roman" panose="02020603050405020304" pitchFamily="18" charset="0"/>
            </a:rPr>
            <a:t>Appearance:  </a:t>
          </a:r>
          <a:r>
            <a:rPr lang="en-US" sz="1200">
              <a:effectLst/>
              <a:latin typeface="Times New Roman" panose="02020603050405020304" pitchFamily="18" charset="0"/>
              <a:ea typeface="+mn-ea"/>
              <a:cs typeface="Times New Roman" panose="02020603050405020304" pitchFamily="18" charset="0"/>
            </a:rPr>
            <a:t>Medium brown skin, green pixie cut hair, blue eyes, curvy, considered tall for a gnome.</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b="1">
              <a:effectLst/>
              <a:latin typeface="Times New Roman" panose="02020603050405020304" pitchFamily="18" charset="0"/>
              <a:ea typeface="+mn-ea"/>
              <a:cs typeface="Times New Roman" panose="02020603050405020304" pitchFamily="18" charset="0"/>
            </a:rPr>
            <a:t>History:  </a:t>
          </a:r>
          <a:r>
            <a:rPr lang="en-US" sz="1200">
              <a:effectLst/>
              <a:latin typeface="Times New Roman" panose="02020603050405020304" pitchFamily="18" charset="0"/>
              <a:ea typeface="+mn-ea"/>
              <a:cs typeface="Times New Roman" panose="02020603050405020304" pitchFamily="18" charset="0"/>
            </a:rPr>
            <a:t>Saradette is Tassaran, from Tasseldale, the tassel (or town) of Tasselheart, located in the Dalelands near Sembria. Gnomes are a tiny minority among the mostly human Dalelanders, but they are well respected as craftsmen. Saradette's parents were gemcutters, supplying other craftsman in Tasseldale with superior gemstones for jewelry and magical uses. Her favorite uncle was a inveterate tinkerer, and Saradette became fascinated with his avocation. Her mother, who taught her how to use weapons, pick locks, and other tradecraft, was also an investigator for the Mairshars (local constabulary). Her father taught her about metalcraft and gemcutting. </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a:effectLst/>
              <a:latin typeface="Times New Roman" panose="02020603050405020304" pitchFamily="18" charset="0"/>
              <a:ea typeface="+mn-ea"/>
              <a:cs typeface="Times New Roman" panose="02020603050405020304" pitchFamily="18" charset="0"/>
            </a:rPr>
            <a:t>Her mother became embroiled in a case against the Zhentarim, one of the Dale's bitter enemies. Saradette knew nothing of this until one evening when she and her mother were staying in Tegal's Mark, Tasseldale's administrative center. Her mother awakened her in the dead of night, bid her to dress, and pressed a small linen pouch into her hands. "You must flee," her mother said. "The Zhentarim and some within the Mairshars are conspiring to kill me, your father, and you. I will send for you when it is safe for you to return."</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a:effectLst/>
              <a:latin typeface="Times New Roman" panose="02020603050405020304" pitchFamily="18" charset="0"/>
              <a:ea typeface="+mn-ea"/>
              <a:cs typeface="Times New Roman" panose="02020603050405020304" pitchFamily="18" charset="0"/>
            </a:rPr>
            <a:t>So, Saradette fled, heading away from her home. Along the way, she bought weapons, armor, and other supplies, being careful to not display her wealth. She hasn't dared stay in one place for more than a single night since she left home. </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b="1">
              <a:effectLst/>
              <a:latin typeface="Times New Roman" panose="02020603050405020304" pitchFamily="18" charset="0"/>
              <a:ea typeface="+mn-ea"/>
              <a:cs typeface="Times New Roman" panose="02020603050405020304" pitchFamily="18" charset="0"/>
            </a:rPr>
            <a:t>Personality:  </a:t>
          </a:r>
          <a:r>
            <a:rPr lang="en-US" sz="1200">
              <a:effectLst/>
              <a:latin typeface="Times New Roman" panose="02020603050405020304" pitchFamily="18" charset="0"/>
              <a:ea typeface="+mn-ea"/>
              <a:cs typeface="Times New Roman" panose="02020603050405020304" pitchFamily="18" charset="0"/>
            </a:rPr>
            <a:t>Saradette has the optimism of the young, though it has been tempered with a deep concern for her parents. To the dismay of her family and her fellow Tassarans, Saradette believes strongly in the individual's right to choose their own path over devotion to law and order. A year ago, she became a follower of Mayaheine, as the goddess' message of helping the downtrodden and protecting the helpless appealed to her. Normally of cheerful demeanor and given to light conversation, Saradette has kept to herself in her travels, avoiding conversations and interactions with strangers.</a:t>
          </a:r>
        </a:p>
      </xdr:txBody>
    </xdr:sp>
    <xdr:clientData/>
  </xdr:twoCellAnchor>
  <xdr:twoCellAnchor editAs="oneCell">
    <xdr:from>
      <xdr:col>7</xdr:col>
      <xdr:colOff>52122</xdr:colOff>
      <xdr:row>0</xdr:row>
      <xdr:rowOff>45720</xdr:rowOff>
    </xdr:from>
    <xdr:to>
      <xdr:col>12</xdr:col>
      <xdr:colOff>278016</xdr:colOff>
      <xdr:row>24</xdr:row>
      <xdr:rowOff>175260</xdr:rowOff>
    </xdr:to>
    <xdr:pic>
      <xdr:nvPicPr>
        <xdr:cNvPr id="7" name="Picture 6">
          <a:extLst>
            <a:ext uri="{FF2B5EF4-FFF2-40B4-BE49-F238E27FC236}">
              <a16:creationId xmlns:a16="http://schemas.microsoft.com/office/drawing/2014/main" id="{CA984EAA-9B66-4A0A-99AE-31BC606D71B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84342" y="45720"/>
          <a:ext cx="5178894" cy="5554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46326E9C-FC6F-41D6-95A9-6FC90734537C}"/>
            </a:ext>
          </a:extLst>
        </xdr:cNvPr>
        <xdr:cNvSpPr>
          <a:spLocks noChangeArrowheads="1"/>
        </xdr:cNvSpPr>
      </xdr:nvSpPr>
      <xdr:spPr bwMode="auto">
        <a:xfrm>
          <a:off x="6713220" y="0"/>
          <a:ext cx="142494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230505</xdr:colOff>
      <xdr:row>1</xdr:row>
      <xdr:rowOff>123825</xdr:rowOff>
    </xdr:from>
    <xdr:to>
      <xdr:col>4</xdr:col>
      <xdr:colOff>116205</xdr:colOff>
      <xdr:row>2</xdr:row>
      <xdr:rowOff>66675</xdr:rowOff>
    </xdr:to>
    <xdr:sp macro="" textlink="">
      <xdr:nvSpPr>
        <xdr:cNvPr id="3078" name="Text Box 6" hidden="1">
          <a:extLst>
            <a:ext uri="{FF2B5EF4-FFF2-40B4-BE49-F238E27FC236}">
              <a16:creationId xmlns:a16="http://schemas.microsoft.com/office/drawing/2014/main" id="{00000000-0008-0000-06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R'%20%3cjoertexas@earthlink.net%3e?subject=Fist%20of%20Ligh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s://www.amazon.com/ghillie-suit/s?k=ghillie+suit" TargetMode="External"/><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2"/>
  <sheetViews>
    <sheetView showGridLines="0" tabSelected="1" zoomScaleNormal="100" workbookViewId="0"/>
  </sheetViews>
  <sheetFormatPr defaultColWidth="13" defaultRowHeight="15.6"/>
  <cols>
    <col min="1" max="1" width="16.8984375" style="145" bestFit="1" customWidth="1"/>
    <col min="2" max="2" width="10" style="147" customWidth="1"/>
    <col min="3" max="3" width="5.5" style="147" customWidth="1"/>
    <col min="4" max="4" width="13.69921875" style="145" bestFit="1" customWidth="1"/>
    <col min="5" max="5" width="9.59765625" style="147" bestFit="1" customWidth="1"/>
    <col min="6" max="6" width="13.69921875" style="145" customWidth="1"/>
    <col min="7" max="7" width="13.69921875" style="147" customWidth="1"/>
    <col min="8" max="16384" width="13" style="22"/>
  </cols>
  <sheetData>
    <row r="1" spans="1:7" ht="29.4" thickTop="1" thickBot="1">
      <c r="A1" s="150" t="s">
        <v>106</v>
      </c>
      <c r="B1" s="469" t="s">
        <v>293</v>
      </c>
      <c r="C1" s="151"/>
      <c r="D1" s="152"/>
      <c r="E1" s="153"/>
      <c r="F1" s="152"/>
      <c r="G1" s="154" t="s">
        <v>105</v>
      </c>
    </row>
    <row r="2" spans="1:7" ht="17.399999999999999" thickTop="1">
      <c r="A2" s="155" t="s">
        <v>155</v>
      </c>
      <c r="B2" s="156" t="s">
        <v>78</v>
      </c>
      <c r="C2" s="156"/>
      <c r="D2" s="157" t="s">
        <v>156</v>
      </c>
      <c r="E2" s="158" t="s">
        <v>142</v>
      </c>
      <c r="F2" s="159"/>
      <c r="G2" s="160"/>
    </row>
    <row r="3" spans="1:7" ht="16.8">
      <c r="A3" s="155" t="s">
        <v>157</v>
      </c>
      <c r="B3" s="156" t="s">
        <v>115</v>
      </c>
      <c r="C3" s="156"/>
      <c r="D3" s="157" t="s">
        <v>79</v>
      </c>
      <c r="E3" s="158">
        <v>3</v>
      </c>
      <c r="F3" s="157"/>
      <c r="G3" s="160"/>
    </row>
    <row r="4" spans="1:7" ht="16.8">
      <c r="A4" s="155" t="s">
        <v>157</v>
      </c>
      <c r="B4" s="156" t="s">
        <v>200</v>
      </c>
      <c r="C4" s="156"/>
      <c r="D4" s="157" t="s">
        <v>79</v>
      </c>
      <c r="E4" s="158">
        <v>1</v>
      </c>
      <c r="F4" s="157"/>
      <c r="G4" s="160"/>
    </row>
    <row r="5" spans="1:7" ht="16.8">
      <c r="A5" s="300" t="s">
        <v>157</v>
      </c>
      <c r="B5" s="301" t="s">
        <v>154</v>
      </c>
      <c r="C5" s="301"/>
      <c r="D5" s="302" t="s">
        <v>79</v>
      </c>
      <c r="E5" s="303">
        <v>0</v>
      </c>
      <c r="F5" s="157"/>
      <c r="G5" s="160"/>
    </row>
    <row r="6" spans="1:7" ht="16.8">
      <c r="A6" s="155" t="s">
        <v>158</v>
      </c>
      <c r="B6" s="156" t="s">
        <v>110</v>
      </c>
      <c r="C6" s="156"/>
      <c r="D6" s="157" t="s">
        <v>159</v>
      </c>
      <c r="E6" s="158" t="s">
        <v>108</v>
      </c>
      <c r="F6" s="157"/>
      <c r="G6" s="160"/>
    </row>
    <row r="7" spans="1:7" ht="16.8">
      <c r="A7" s="155" t="s">
        <v>160</v>
      </c>
      <c r="B7" s="156">
        <v>42</v>
      </c>
      <c r="C7" s="156"/>
      <c r="D7" s="157" t="s">
        <v>161</v>
      </c>
      <c r="E7" s="158" t="s">
        <v>109</v>
      </c>
      <c r="F7" s="157"/>
      <c r="G7" s="160"/>
    </row>
    <row r="8" spans="1:7" ht="16.8">
      <c r="A8" s="155" t="s">
        <v>162</v>
      </c>
      <c r="B8" s="156" t="s">
        <v>112</v>
      </c>
      <c r="C8" s="156"/>
      <c r="D8" s="157" t="s">
        <v>163</v>
      </c>
      <c r="E8" s="158" t="s">
        <v>107</v>
      </c>
      <c r="F8" s="157"/>
      <c r="G8" s="160"/>
    </row>
    <row r="9" spans="1:7" ht="17.399999999999999" thickBot="1">
      <c r="A9" s="155" t="s">
        <v>164</v>
      </c>
      <c r="B9" s="156" t="s">
        <v>111</v>
      </c>
      <c r="C9" s="156"/>
      <c r="D9" s="157"/>
      <c r="E9" s="158"/>
      <c r="F9" s="157"/>
      <c r="G9" s="160"/>
    </row>
    <row r="10" spans="1:7" ht="17.399999999999999" thickTop="1">
      <c r="A10" s="161" t="s">
        <v>165</v>
      </c>
      <c r="B10" s="492">
        <f>2+0</f>
        <v>2</v>
      </c>
      <c r="C10" s="493"/>
      <c r="D10" s="162" t="s">
        <v>67</v>
      </c>
      <c r="E10" s="163" t="s">
        <v>189</v>
      </c>
      <c r="F10" s="164"/>
      <c r="G10" s="160"/>
    </row>
    <row r="11" spans="1:7" ht="17.399999999999999" thickBot="1">
      <c r="A11" s="165" t="s">
        <v>166</v>
      </c>
      <c r="B11" s="166" t="str">
        <f>C13</f>
        <v>+3</v>
      </c>
      <c r="C11" s="167"/>
      <c r="D11" s="277" t="s">
        <v>167</v>
      </c>
      <c r="E11" s="370">
        <v>9999</v>
      </c>
      <c r="F11" s="164"/>
      <c r="G11" s="160"/>
    </row>
    <row r="12" spans="1:7" ht="17.399999999999999" thickTop="1">
      <c r="A12" s="168" t="s">
        <v>168</v>
      </c>
      <c r="B12" s="292">
        <f>8+2</f>
        <v>10</v>
      </c>
      <c r="C12" s="169" t="str">
        <f>IF(B12&gt;9.9,CONCATENATE("+",ROUNDDOWN((B12-10)/2,0)),ROUNDUP((B12-10)/2,0))</f>
        <v>+0</v>
      </c>
      <c r="D12" s="170" t="s">
        <v>169</v>
      </c>
      <c r="E12" s="224" t="s">
        <v>143</v>
      </c>
      <c r="F12" s="164"/>
      <c r="G12" s="160"/>
    </row>
    <row r="13" spans="1:7" ht="16.8">
      <c r="A13" s="171" t="s">
        <v>170</v>
      </c>
      <c r="B13" s="223">
        <v>16</v>
      </c>
      <c r="C13" s="172" t="str">
        <f t="shared" ref="C13:C17" si="0">IF(B13&gt;9.9,CONCATENATE("+",ROUNDDOWN((B13-10)/2,0)),ROUNDUP((B13-10)/2,0))</f>
        <v>+3</v>
      </c>
      <c r="D13" s="173" t="s">
        <v>171</v>
      </c>
      <c r="E13" s="174">
        <f>SUM(Martial!G6:G20)+SUM(Equipment!C3:C22)</f>
        <v>35.317499999999995</v>
      </c>
      <c r="F13" s="164"/>
      <c r="G13" s="160"/>
    </row>
    <row r="14" spans="1:7" ht="16.8">
      <c r="A14" s="175" t="s">
        <v>172</v>
      </c>
      <c r="B14" s="223">
        <v>13</v>
      </c>
      <c r="C14" s="177" t="str">
        <f t="shared" si="0"/>
        <v>+1</v>
      </c>
      <c r="D14" s="173" t="s">
        <v>173</v>
      </c>
      <c r="E14" s="178">
        <f>ROUNDUP(((E3*6)*0.75)+((E4*4)*0.75)+((E5*0)*0.75)+((E3+E5)*C14),0)</f>
        <v>20</v>
      </c>
      <c r="F14" s="164"/>
      <c r="G14" s="160"/>
    </row>
    <row r="15" spans="1:7" ht="16.8">
      <c r="A15" s="179" t="s">
        <v>174</v>
      </c>
      <c r="B15" s="223">
        <v>15</v>
      </c>
      <c r="C15" s="172" t="str">
        <f t="shared" si="0"/>
        <v>+2</v>
      </c>
      <c r="D15" s="180" t="s">
        <v>175</v>
      </c>
      <c r="E15" s="290">
        <f>11+C13</f>
        <v>14</v>
      </c>
      <c r="F15" s="238"/>
      <c r="G15" s="160"/>
    </row>
    <row r="16" spans="1:7" ht="16.8">
      <c r="A16" s="181" t="s">
        <v>176</v>
      </c>
      <c r="B16" s="176">
        <v>10</v>
      </c>
      <c r="C16" s="172" t="str">
        <f t="shared" si="0"/>
        <v>+0</v>
      </c>
      <c r="D16" s="180" t="s">
        <v>177</v>
      </c>
      <c r="E16" s="290">
        <f>E17-C13</f>
        <v>15</v>
      </c>
      <c r="F16" s="238"/>
      <c r="G16" s="160"/>
    </row>
    <row r="17" spans="1:7" ht="17.399999999999999" thickBot="1">
      <c r="A17" s="182" t="s">
        <v>178</v>
      </c>
      <c r="B17" s="183">
        <v>10</v>
      </c>
      <c r="C17" s="184" t="str">
        <f t="shared" si="0"/>
        <v>+0</v>
      </c>
      <c r="D17" s="185" t="s">
        <v>179</v>
      </c>
      <c r="E17" s="291">
        <f>E15+SUM(Martial!B14:B16)</f>
        <v>18</v>
      </c>
      <c r="F17" s="238"/>
      <c r="G17" s="160"/>
    </row>
    <row r="18" spans="1:7" s="5" customFormat="1" ht="24" thickTop="1" thickBot="1">
      <c r="A18" s="293" t="s">
        <v>113</v>
      </c>
      <c r="B18" s="294"/>
      <c r="C18" s="294"/>
      <c r="D18" s="295"/>
      <c r="E18" s="295"/>
      <c r="F18" s="295"/>
      <c r="G18" s="296"/>
    </row>
    <row r="19" spans="1:7" s="5" customFormat="1" ht="17.399999999999999" thickTop="1">
      <c r="A19" s="186"/>
      <c r="B19" s="187"/>
      <c r="C19" s="187"/>
      <c r="D19" s="187"/>
      <c r="E19" s="187"/>
      <c r="F19" s="187"/>
      <c r="G19" s="188"/>
    </row>
    <row r="20" spans="1:7" s="5" customFormat="1" ht="16.8">
      <c r="A20" s="189"/>
      <c r="B20" s="297"/>
      <c r="C20" s="297"/>
      <c r="D20" s="297"/>
      <c r="E20" s="297"/>
      <c r="F20" s="297"/>
      <c r="G20" s="190"/>
    </row>
    <row r="21" spans="1:7" s="5" customFormat="1" ht="16.8">
      <c r="A21" s="189"/>
      <c r="B21" s="297"/>
      <c r="C21" s="297"/>
      <c r="D21" s="297"/>
      <c r="E21" s="297"/>
      <c r="F21" s="297"/>
      <c r="G21" s="190"/>
    </row>
    <row r="22" spans="1:7" s="5" customFormat="1" ht="16.8">
      <c r="A22" s="189"/>
      <c r="B22" s="297"/>
      <c r="C22" s="297"/>
      <c r="D22" s="297"/>
      <c r="E22" s="297"/>
      <c r="F22" s="297"/>
      <c r="G22" s="190"/>
    </row>
    <row r="23" spans="1:7" s="5" customFormat="1" ht="16.8">
      <c r="A23" s="189"/>
      <c r="B23" s="297"/>
      <c r="C23" s="297"/>
      <c r="D23" s="297"/>
      <c r="E23" s="297"/>
      <c r="F23" s="297"/>
      <c r="G23" s="190"/>
    </row>
    <row r="24" spans="1:7" ht="16.8">
      <c r="A24" s="189"/>
      <c r="B24" s="297"/>
      <c r="C24" s="297"/>
      <c r="D24" s="297"/>
      <c r="E24" s="297"/>
      <c r="F24" s="297"/>
      <c r="G24" s="190"/>
    </row>
    <row r="25" spans="1:7" ht="16.8">
      <c r="A25" s="189"/>
      <c r="B25" s="297"/>
      <c r="C25" s="297"/>
      <c r="D25" s="297"/>
      <c r="E25" s="297"/>
      <c r="F25" s="297"/>
      <c r="G25" s="190"/>
    </row>
    <row r="26" spans="1:7" ht="16.8">
      <c r="A26" s="189"/>
      <c r="B26" s="297"/>
      <c r="C26" s="297"/>
      <c r="D26" s="297"/>
      <c r="E26" s="297"/>
      <c r="F26" s="297"/>
      <c r="G26" s="190"/>
    </row>
    <row r="27" spans="1:7" ht="16.8">
      <c r="A27" s="189"/>
      <c r="B27" s="297"/>
      <c r="C27" s="297"/>
      <c r="D27" s="297"/>
      <c r="E27" s="297"/>
      <c r="F27" s="297"/>
      <c r="G27" s="190"/>
    </row>
    <row r="28" spans="1:7" ht="16.8">
      <c r="A28" s="189"/>
      <c r="B28" s="297"/>
      <c r="C28" s="297"/>
      <c r="D28" s="297"/>
      <c r="E28" s="297"/>
      <c r="F28" s="297"/>
      <c r="G28" s="190"/>
    </row>
    <row r="29" spans="1:7" ht="16.8">
      <c r="A29" s="189"/>
      <c r="B29" s="297"/>
      <c r="C29" s="297"/>
      <c r="D29" s="297"/>
      <c r="E29" s="297"/>
      <c r="F29" s="297"/>
      <c r="G29" s="190"/>
    </row>
    <row r="30" spans="1:7" ht="16.8">
      <c r="A30" s="189"/>
      <c r="B30" s="297"/>
      <c r="C30" s="297"/>
      <c r="D30" s="297"/>
      <c r="E30" s="297"/>
      <c r="F30" s="297"/>
      <c r="G30" s="190"/>
    </row>
    <row r="31" spans="1:7" ht="16.8">
      <c r="A31" s="189"/>
      <c r="B31" s="297"/>
      <c r="C31" s="297"/>
      <c r="D31" s="297"/>
      <c r="E31" s="297"/>
      <c r="F31" s="297"/>
      <c r="G31" s="190"/>
    </row>
    <row r="32" spans="1:7" ht="16.8">
      <c r="A32" s="189"/>
      <c r="B32" s="297"/>
      <c r="C32" s="297"/>
      <c r="D32" s="297"/>
      <c r="E32" s="297"/>
      <c r="F32" s="297"/>
      <c r="G32" s="190"/>
    </row>
    <row r="33" spans="1:7" ht="16.8">
      <c r="A33" s="189"/>
      <c r="B33" s="297"/>
      <c r="C33" s="297"/>
      <c r="D33" s="297"/>
      <c r="E33" s="297"/>
      <c r="F33" s="297"/>
      <c r="G33" s="190"/>
    </row>
    <row r="34" spans="1:7" ht="16.8">
      <c r="A34" s="189"/>
      <c r="B34" s="297"/>
      <c r="C34" s="297"/>
      <c r="D34" s="297"/>
      <c r="E34" s="297"/>
      <c r="F34" s="297"/>
      <c r="G34" s="190"/>
    </row>
    <row r="35" spans="1:7" ht="16.8">
      <c r="A35" s="189"/>
      <c r="B35" s="297"/>
      <c r="C35" s="297"/>
      <c r="D35" s="297"/>
      <c r="E35" s="297"/>
      <c r="F35" s="297"/>
      <c r="G35" s="190"/>
    </row>
    <row r="36" spans="1:7" ht="16.8">
      <c r="A36" s="189"/>
      <c r="B36" s="297"/>
      <c r="C36" s="297"/>
      <c r="D36" s="297"/>
      <c r="E36" s="297"/>
      <c r="F36" s="297"/>
      <c r="G36" s="190"/>
    </row>
    <row r="37" spans="1:7" ht="16.8">
      <c r="A37" s="189"/>
      <c r="B37" s="297"/>
      <c r="C37" s="297"/>
      <c r="D37" s="297"/>
      <c r="E37" s="297"/>
      <c r="F37" s="297"/>
      <c r="G37" s="190"/>
    </row>
    <row r="38" spans="1:7" ht="16.8">
      <c r="A38" s="189"/>
      <c r="B38" s="297"/>
      <c r="C38" s="297"/>
      <c r="D38" s="297"/>
      <c r="E38" s="297"/>
      <c r="F38" s="297"/>
      <c r="G38" s="190"/>
    </row>
    <row r="39" spans="1:7" ht="16.8">
      <c r="A39" s="189"/>
      <c r="B39" s="297"/>
      <c r="C39" s="297"/>
      <c r="D39" s="297"/>
      <c r="E39" s="297"/>
      <c r="F39" s="297"/>
      <c r="G39" s="190"/>
    </row>
    <row r="40" spans="1:7" ht="16.8">
      <c r="A40" s="189"/>
      <c r="B40" s="297"/>
      <c r="C40" s="297"/>
      <c r="D40" s="297"/>
      <c r="E40" s="297"/>
      <c r="F40" s="297"/>
      <c r="G40" s="190"/>
    </row>
    <row r="41" spans="1:7" ht="17.399999999999999" thickBot="1">
      <c r="A41" s="191"/>
      <c r="B41" s="192"/>
      <c r="C41" s="192"/>
      <c r="D41" s="192"/>
      <c r="E41" s="192"/>
      <c r="F41" s="192"/>
      <c r="G41" s="193"/>
    </row>
    <row r="42" spans="1:7" ht="16.2" thickTop="1">
      <c r="A42" s="298"/>
      <c r="B42" s="299"/>
      <c r="C42" s="299"/>
      <c r="D42" s="298"/>
      <c r="E42" s="299"/>
      <c r="F42" s="298"/>
      <c r="G42" s="299"/>
    </row>
  </sheetData>
  <phoneticPr fontId="0" type="noConversion"/>
  <conditionalFormatting sqref="E13">
    <cfRule type="cellIs" dxfId="12" priority="1" stopIfTrue="1" operator="greaterThan">
      <formula>50</formula>
    </cfRule>
    <cfRule type="cellIs" dxfId="11" priority="2" stopIfTrue="1" operator="between">
      <formula>25</formula>
      <formula>50</formula>
    </cfRule>
  </conditionalFormatting>
  <hyperlinks>
    <hyperlink ref="G1" r:id="rId1" xr:uid="{F88A9D46-7E58-4EC8-80C0-E2FAC845C3DB}"/>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9"/>
  <sheetViews>
    <sheetView showGridLines="0" workbookViewId="0">
      <pane ySplit="2" topLeftCell="A3" activePane="bottomLeft" state="frozen"/>
      <selection pane="bottomLeft" activeCell="A3" sqref="A3"/>
    </sheetView>
  </sheetViews>
  <sheetFormatPr defaultColWidth="13" defaultRowHeight="15.6"/>
  <cols>
    <col min="1" max="1" width="29.59765625" style="145" bestFit="1" customWidth="1"/>
    <col min="2" max="2" width="5.8984375" style="145" bestFit="1" customWidth="1"/>
    <col min="3" max="3" width="7.59765625" style="147" hidden="1" customWidth="1"/>
    <col min="4" max="4" width="7.19921875" style="147" hidden="1" customWidth="1"/>
    <col min="5" max="5" width="9.19921875" style="147" bestFit="1" customWidth="1"/>
    <col min="6" max="6" width="7.3984375" style="147" customWidth="1"/>
    <col min="7" max="7" width="6" style="148" bestFit="1" customWidth="1"/>
    <col min="8" max="8" width="5.19921875" style="148" bestFit="1" customWidth="1"/>
    <col min="9" max="9" width="7.5" style="148" customWidth="1"/>
    <col min="10" max="10" width="26.59765625" style="145" customWidth="1"/>
    <col min="11" max="16384" width="13" style="22"/>
  </cols>
  <sheetData>
    <row r="1" spans="1:10" ht="23.4" thickBot="1">
      <c r="A1" s="92" t="s">
        <v>6</v>
      </c>
      <c r="B1" s="93"/>
      <c r="C1" s="93"/>
      <c r="D1" s="93"/>
      <c r="E1" s="93"/>
      <c r="F1" s="93"/>
      <c r="G1" s="94"/>
      <c r="H1" s="94"/>
      <c r="I1" s="94"/>
      <c r="J1" s="93"/>
    </row>
    <row r="2" spans="1:10" s="5" customFormat="1" ht="34.200000000000003" thickBot="1">
      <c r="A2" s="1" t="s">
        <v>82</v>
      </c>
      <c r="B2" s="2" t="s">
        <v>20</v>
      </c>
      <c r="C2" s="2" t="s">
        <v>27</v>
      </c>
      <c r="D2" s="2" t="s">
        <v>19</v>
      </c>
      <c r="E2" s="3" t="s">
        <v>52</v>
      </c>
      <c r="F2" s="3" t="s">
        <v>28</v>
      </c>
      <c r="G2" s="331" t="s">
        <v>54</v>
      </c>
      <c r="H2" s="366" t="s">
        <v>75</v>
      </c>
      <c r="I2" s="331" t="s">
        <v>65</v>
      </c>
      <c r="J2" s="4" t="s">
        <v>63</v>
      </c>
    </row>
    <row r="3" spans="1:10" s="5" customFormat="1" ht="16.8">
      <c r="A3" s="216" t="s">
        <v>98</v>
      </c>
      <c r="B3" s="217">
        <f>1+0</f>
        <v>1</v>
      </c>
      <c r="C3" s="90" t="s">
        <v>22</v>
      </c>
      <c r="D3" s="90" t="str">
        <f>IF(C3="Str",'Personal File'!$C$12,IF(C3="Dex",'Personal File'!$C$13,IF(C3="Con",'Personal File'!$C$14,IF(C3="Int",'Personal File'!$C$15,IF(C3="Wis",'Personal File'!$C$16,IF(C3="Cha",'Personal File'!$C$17))))))</f>
        <v>+1</v>
      </c>
      <c r="E3" s="219" t="str">
        <f t="shared" ref="E3" si="0">CONCATENATE(C3," (",D3,")")</f>
        <v>Con (+1)</v>
      </c>
      <c r="F3" s="90">
        <v>3</v>
      </c>
      <c r="G3" s="332">
        <f t="shared" ref="G3:G4" si="1">B3+D3+F3</f>
        <v>5</v>
      </c>
      <c r="H3" s="350">
        <f t="shared" ref="H3:H43" ca="1" si="2">RANDBETWEEN(1,20)</f>
        <v>17</v>
      </c>
      <c r="I3" s="194">
        <f t="shared" ref="I3:I4" ca="1" si="3">SUM(G3:H3)</f>
        <v>22</v>
      </c>
      <c r="J3" s="239"/>
    </row>
    <row r="4" spans="1:10" s="5" customFormat="1" ht="16.8">
      <c r="A4" s="218" t="s">
        <v>99</v>
      </c>
      <c r="B4" s="217">
        <f>3+0</f>
        <v>3</v>
      </c>
      <c r="C4" s="90" t="s">
        <v>25</v>
      </c>
      <c r="D4" s="90" t="str">
        <f>IF(C4="Str",'Personal File'!$C$12,IF(C4="Dex",'Personal File'!$C$13,IF(C4="Con",'Personal File'!$C$14,IF(C4="Int",'Personal File'!$C$15,IF(C4="Wis",'Personal File'!$C$16,IF(C4="Cha",'Personal File'!$C$17))))))</f>
        <v>+3</v>
      </c>
      <c r="E4" s="95" t="str">
        <f t="shared" ref="E4" si="4">CONCATENATE(C4," (",D4,")")</f>
        <v>Dex (+3)</v>
      </c>
      <c r="F4" s="112">
        <v>3</v>
      </c>
      <c r="G4" s="332">
        <f t="shared" si="1"/>
        <v>9</v>
      </c>
      <c r="H4" s="350">
        <f t="shared" ca="1" si="2"/>
        <v>15</v>
      </c>
      <c r="I4" s="194">
        <f t="shared" ca="1" si="3"/>
        <v>24</v>
      </c>
      <c r="J4" s="144"/>
    </row>
    <row r="5" spans="1:10" s="5" customFormat="1" ht="16.8">
      <c r="A5" s="96" t="s">
        <v>56</v>
      </c>
      <c r="B5" s="97">
        <f>1+2</f>
        <v>3</v>
      </c>
      <c r="C5" s="98" t="s">
        <v>24</v>
      </c>
      <c r="D5" s="98" t="str">
        <f>IF(C5="Str",'Personal File'!$C$12,IF(C5="Dex",'Personal File'!$C$13,IF(C5="Con",'Personal File'!$C$14,IF(C5="Int",'Personal File'!$C$15,IF(C5="Wis",'Personal File'!$C$16,IF(C5="Cha",'Personal File'!$C$17))))))</f>
        <v>+0</v>
      </c>
      <c r="E5" s="333" t="str">
        <f t="shared" ref="E5:E6" si="5">CONCATENATE(C5," (",D5,")")</f>
        <v>Wis (+0)</v>
      </c>
      <c r="F5" s="98">
        <v>3</v>
      </c>
      <c r="G5" s="334">
        <f t="shared" ref="G5:G44" si="6">B5+D5+F5</f>
        <v>6</v>
      </c>
      <c r="H5" s="351">
        <f t="shared" ca="1" si="2"/>
        <v>20</v>
      </c>
      <c r="I5" s="335">
        <f t="shared" ref="I5" ca="1" si="7">SUM(G5:H5)</f>
        <v>26</v>
      </c>
      <c r="J5" s="470" t="s">
        <v>294</v>
      </c>
    </row>
    <row r="6" spans="1:10" s="106" customFormat="1" ht="16.8">
      <c r="A6" s="120" t="s">
        <v>29</v>
      </c>
      <c r="B6" s="91">
        <v>0</v>
      </c>
      <c r="C6" s="121" t="s">
        <v>23</v>
      </c>
      <c r="D6" s="122" t="str">
        <f>IF(C6="Str",'Personal File'!$C$12,IF(C6="Dex",'Personal File'!$C$13,IF(C6="Con",'Personal File'!$C$14,IF(C6="Int",'Personal File'!$C$15,IF(C6="Wis",'Personal File'!$C$16,IF(C6="Cha",'Personal File'!$C$17))))))</f>
        <v>+2</v>
      </c>
      <c r="E6" s="123" t="str">
        <f t="shared" si="5"/>
        <v>Int (+2)</v>
      </c>
      <c r="F6" s="112" t="s">
        <v>53</v>
      </c>
      <c r="G6" s="112">
        <f t="shared" si="6"/>
        <v>2</v>
      </c>
      <c r="H6" s="352">
        <f t="shared" ca="1" si="2"/>
        <v>20</v>
      </c>
      <c r="I6" s="112">
        <f ca="1">SUM(G6:H6)</f>
        <v>22</v>
      </c>
      <c r="J6" s="144"/>
    </row>
    <row r="7" spans="1:10" s="107" customFormat="1" ht="16.8">
      <c r="A7" s="234" t="s">
        <v>30</v>
      </c>
      <c r="B7" s="100">
        <v>4</v>
      </c>
      <c r="C7" s="235" t="s">
        <v>25</v>
      </c>
      <c r="D7" s="236" t="str">
        <f>IF(C7="Str",'Personal File'!$C$12,IF(C7="Dex",'Personal File'!$C$13,IF(C7="Con",'Personal File'!$C$14,IF(C7="Int",'Personal File'!$C$15,IF(C7="Wis",'Personal File'!$C$16,IF(C7="Cha",'Personal File'!$C$17))))))</f>
        <v>+3</v>
      </c>
      <c r="E7" s="237" t="str">
        <f t="shared" ref="E7:E44" si="8">CONCATENATE(C7," (",D7,")")</f>
        <v>Dex (+3)</v>
      </c>
      <c r="F7" s="104" t="s">
        <v>53</v>
      </c>
      <c r="G7" s="104">
        <f t="shared" si="6"/>
        <v>7</v>
      </c>
      <c r="H7" s="350">
        <f t="shared" ca="1" si="2"/>
        <v>14</v>
      </c>
      <c r="I7" s="104">
        <f t="shared" ref="I7" ca="1" si="9">SUM(G7:H7)</f>
        <v>21</v>
      </c>
      <c r="J7" s="143"/>
    </row>
    <row r="8" spans="1:10" s="114" customFormat="1" ht="16.8">
      <c r="A8" s="108" t="s">
        <v>31</v>
      </c>
      <c r="B8" s="91">
        <v>0</v>
      </c>
      <c r="C8" s="109" t="s">
        <v>21</v>
      </c>
      <c r="D8" s="110" t="str">
        <f>IF(C8="Str",'Personal File'!$C$12,IF(C8="Dex",'Personal File'!$C$13,IF(C8="Con",'Personal File'!$C$14,IF(C8="Int",'Personal File'!$C$15,IF(C8="Wis",'Personal File'!$C$16,IF(C8="Cha",'Personal File'!$C$17))))))</f>
        <v>+0</v>
      </c>
      <c r="E8" s="111" t="str">
        <f t="shared" si="8"/>
        <v>Cha (+0)</v>
      </c>
      <c r="F8" s="112" t="s">
        <v>53</v>
      </c>
      <c r="G8" s="112">
        <f t="shared" si="6"/>
        <v>0</v>
      </c>
      <c r="H8" s="350">
        <f t="shared" ca="1" si="2"/>
        <v>15</v>
      </c>
      <c r="I8" s="112">
        <f t="shared" ref="I8:I44" ca="1" si="10">SUM(G8:H8)</f>
        <v>15</v>
      </c>
      <c r="J8" s="144"/>
    </row>
    <row r="9" spans="1:10" s="115" customFormat="1" ht="16.8">
      <c r="A9" s="319" t="s">
        <v>32</v>
      </c>
      <c r="B9" s="100">
        <v>6</v>
      </c>
      <c r="C9" s="320" t="s">
        <v>26</v>
      </c>
      <c r="D9" s="321" t="str">
        <f>IF(C9="Str",'Personal File'!$C$12,IF(C9="Dex",'Personal File'!$C$13,IF(C9="Con",'Personal File'!$C$14,IF(C9="Int",'Personal File'!$C$15,IF(C9="Wis",'Personal File'!$C$16,IF(C9="Cha",'Personal File'!$C$17))))))</f>
        <v>+0</v>
      </c>
      <c r="E9" s="322" t="str">
        <f t="shared" si="8"/>
        <v>Str (+0)</v>
      </c>
      <c r="F9" s="104" t="s">
        <v>53</v>
      </c>
      <c r="G9" s="104">
        <f t="shared" si="6"/>
        <v>6</v>
      </c>
      <c r="H9" s="350">
        <f t="shared" ca="1" si="2"/>
        <v>20</v>
      </c>
      <c r="I9" s="104">
        <f t="shared" ca="1" si="10"/>
        <v>26</v>
      </c>
      <c r="J9" s="143"/>
    </row>
    <row r="10" spans="1:10" s="115" customFormat="1" ht="16.8">
      <c r="A10" s="325" t="s">
        <v>7</v>
      </c>
      <c r="B10" s="91">
        <v>0</v>
      </c>
      <c r="C10" s="326" t="s">
        <v>22</v>
      </c>
      <c r="D10" s="327" t="str">
        <f>IF(C10="Str",'Personal File'!$C$12,IF(C10="Dex",'Personal File'!$C$13,IF(C10="Con",'Personal File'!$C$14,IF(C10="Int",'Personal File'!$C$15,IF(C10="Wis",'Personal File'!$C$16,IF(C10="Cha",'Personal File'!$C$17))))))</f>
        <v>+1</v>
      </c>
      <c r="E10" s="219" t="str">
        <f t="shared" si="8"/>
        <v>Con (+1)</v>
      </c>
      <c r="F10" s="112" t="s">
        <v>53</v>
      </c>
      <c r="G10" s="112">
        <f t="shared" si="6"/>
        <v>1</v>
      </c>
      <c r="H10" s="350">
        <f t="shared" ca="1" si="2"/>
        <v>8</v>
      </c>
      <c r="I10" s="112">
        <f t="shared" ca="1" si="10"/>
        <v>9</v>
      </c>
      <c r="J10" s="144"/>
    </row>
    <row r="11" spans="1:10" s="106" customFormat="1" ht="16.8">
      <c r="A11" s="99" t="s">
        <v>296</v>
      </c>
      <c r="B11" s="100">
        <v>3</v>
      </c>
      <c r="C11" s="101" t="s">
        <v>23</v>
      </c>
      <c r="D11" s="102" t="str">
        <f>IF(C11="Str",'Personal File'!$C$12,IF(C11="Dex",'Personal File'!$C$13,IF(C11="Con",'Personal File'!$C$14,IF(C11="Int",'Personal File'!$C$15,IF(C11="Wis",'Personal File'!$C$16,IF(C11="Cha",'Personal File'!$C$17))))))</f>
        <v>+2</v>
      </c>
      <c r="E11" s="103" t="str">
        <f t="shared" si="8"/>
        <v>Int (+2)</v>
      </c>
      <c r="F11" s="104" t="s">
        <v>53</v>
      </c>
      <c r="G11" s="104">
        <f t="shared" si="6"/>
        <v>5</v>
      </c>
      <c r="H11" s="350">
        <f t="shared" ca="1" si="2"/>
        <v>15</v>
      </c>
      <c r="I11" s="323">
        <f t="shared" ca="1" si="10"/>
        <v>20</v>
      </c>
      <c r="J11" s="324"/>
    </row>
    <row r="12" spans="1:10" s="106" customFormat="1" ht="16.8">
      <c r="A12" s="99" t="s">
        <v>297</v>
      </c>
      <c r="B12" s="100">
        <v>4</v>
      </c>
      <c r="C12" s="101" t="s">
        <v>23</v>
      </c>
      <c r="D12" s="102" t="str">
        <f>IF(C12="Str",'Personal File'!$C$12,IF(C12="Dex",'Personal File'!$C$13,IF(C12="Con",'Personal File'!$C$14,IF(C12="Int",'Personal File'!$C$15,IF(C12="Wis",'Personal File'!$C$16,IF(C12="Cha",'Personal File'!$C$17))))))</f>
        <v>+2</v>
      </c>
      <c r="E12" s="103" t="str">
        <f t="shared" ref="E12:E13" si="11">CONCATENATE(C12," (",D12,")")</f>
        <v>Int (+2)</v>
      </c>
      <c r="F12" s="104" t="s">
        <v>53</v>
      </c>
      <c r="G12" s="104">
        <f t="shared" ref="G12:G13" si="12">B12+D12+F12</f>
        <v>6</v>
      </c>
      <c r="H12" s="350">
        <f t="shared" ca="1" si="2"/>
        <v>10</v>
      </c>
      <c r="I12" s="323">
        <f t="shared" ref="I12:I13" ca="1" si="13">SUM(G12:H12)</f>
        <v>16</v>
      </c>
      <c r="J12" s="324"/>
    </row>
    <row r="13" spans="1:10" s="106" customFormat="1" ht="16.8">
      <c r="A13" s="99" t="s">
        <v>141</v>
      </c>
      <c r="B13" s="100">
        <v>7</v>
      </c>
      <c r="C13" s="101" t="s">
        <v>23</v>
      </c>
      <c r="D13" s="102" t="str">
        <f>IF(C13="Str",'Personal File'!$C$12,IF(C13="Dex",'Personal File'!$C$13,IF(C13="Con",'Personal File'!$C$14,IF(C13="Int",'Personal File'!$C$15,IF(C13="Wis",'Personal File'!$C$16,IF(C13="Cha",'Personal File'!$C$17))))))</f>
        <v>+2</v>
      </c>
      <c r="E13" s="103" t="str">
        <f t="shared" si="11"/>
        <v>Int (+2)</v>
      </c>
      <c r="F13" s="104" t="s">
        <v>53</v>
      </c>
      <c r="G13" s="104">
        <f t="shared" si="12"/>
        <v>9</v>
      </c>
      <c r="H13" s="350">
        <f t="shared" ca="1" si="2"/>
        <v>3</v>
      </c>
      <c r="I13" s="323">
        <f t="shared" ca="1" si="13"/>
        <v>12</v>
      </c>
      <c r="J13" s="324"/>
    </row>
    <row r="14" spans="1:10" s="116" customFormat="1" ht="16.8">
      <c r="A14" s="139" t="s">
        <v>33</v>
      </c>
      <c r="B14" s="125">
        <v>0</v>
      </c>
      <c r="C14" s="140" t="s">
        <v>23</v>
      </c>
      <c r="D14" s="141" t="str">
        <f>IF(C14="Str",'Personal File'!$C$12,IF(C14="Dex",'Personal File'!$C$13,IF(C14="Con",'Personal File'!$C$14,IF(C14="Int",'Personal File'!$C$15,IF(C14="Wis",'Personal File'!$C$16,IF(C14="Cha",'Personal File'!$C$17))))))</f>
        <v>+2</v>
      </c>
      <c r="E14" s="142" t="str">
        <f t="shared" si="8"/>
        <v>Int (+2)</v>
      </c>
      <c r="F14" s="129" t="s">
        <v>53</v>
      </c>
      <c r="G14" s="129">
        <f t="shared" si="6"/>
        <v>2</v>
      </c>
      <c r="H14" s="350">
        <f t="shared" ca="1" si="2"/>
        <v>10</v>
      </c>
      <c r="I14" s="129">
        <f t="shared" ca="1" si="10"/>
        <v>12</v>
      </c>
      <c r="J14" s="240"/>
    </row>
    <row r="15" spans="1:10" s="107" customFormat="1" ht="16.8">
      <c r="A15" s="108" t="s">
        <v>34</v>
      </c>
      <c r="B15" s="91">
        <v>0</v>
      </c>
      <c r="C15" s="109" t="s">
        <v>21</v>
      </c>
      <c r="D15" s="110" t="str">
        <f>IF(C15="Str",'Personal File'!$C$12,IF(C15="Dex",'Personal File'!$C$13,IF(C15="Con",'Personal File'!$C$14,IF(C15="Int",'Personal File'!$C$15,IF(C15="Wis",'Personal File'!$C$16,IF(C15="Cha",'Personal File'!$C$17))))))</f>
        <v>+0</v>
      </c>
      <c r="E15" s="111" t="str">
        <f t="shared" si="8"/>
        <v>Cha (+0)</v>
      </c>
      <c r="F15" s="112" t="s">
        <v>53</v>
      </c>
      <c r="G15" s="112">
        <f t="shared" si="6"/>
        <v>0</v>
      </c>
      <c r="H15" s="350">
        <f t="shared" ca="1" si="2"/>
        <v>15</v>
      </c>
      <c r="I15" s="112">
        <f t="shared" ca="1" si="10"/>
        <v>15</v>
      </c>
      <c r="J15" s="144"/>
    </row>
    <row r="16" spans="1:10" s="107" customFormat="1" ht="16.8">
      <c r="A16" s="99" t="s">
        <v>35</v>
      </c>
      <c r="B16" s="100">
        <v>4</v>
      </c>
      <c r="C16" s="101" t="s">
        <v>23</v>
      </c>
      <c r="D16" s="102" t="str">
        <f>IF(C16="Str",'Personal File'!$C$12,IF(C16="Dex",'Personal File'!$C$13,IF(C16="Con",'Personal File'!$C$14,IF(C16="Int",'Personal File'!$C$15,IF(C16="Wis",'Personal File'!$C$16,IF(C16="Cha",'Personal File'!$C$17))))))</f>
        <v>+2</v>
      </c>
      <c r="E16" s="103" t="str">
        <f t="shared" si="8"/>
        <v>Int (+2)</v>
      </c>
      <c r="F16" s="104" t="s">
        <v>53</v>
      </c>
      <c r="G16" s="104">
        <f t="shared" si="6"/>
        <v>6</v>
      </c>
      <c r="H16" s="350">
        <f t="shared" ca="1" si="2"/>
        <v>1</v>
      </c>
      <c r="I16" s="104">
        <f t="shared" ca="1" si="10"/>
        <v>7</v>
      </c>
      <c r="J16" s="143"/>
    </row>
    <row r="17" spans="1:10" s="107" customFormat="1" ht="16.8">
      <c r="A17" s="108" t="s">
        <v>36</v>
      </c>
      <c r="B17" s="91">
        <v>0</v>
      </c>
      <c r="C17" s="109" t="s">
        <v>21</v>
      </c>
      <c r="D17" s="110" t="str">
        <f>IF(C17="Str",'Personal File'!$C$12,IF(C17="Dex",'Personal File'!$C$13,IF(C17="Con",'Personal File'!$C$14,IF(C17="Int",'Personal File'!$C$15,IF(C17="Wis",'Personal File'!$C$16,IF(C17="Cha",'Personal File'!$C$17))))))</f>
        <v>+0</v>
      </c>
      <c r="E17" s="111" t="str">
        <f t="shared" si="8"/>
        <v>Cha (+0)</v>
      </c>
      <c r="F17" s="112" t="s">
        <v>53</v>
      </c>
      <c r="G17" s="112">
        <f t="shared" si="6"/>
        <v>0</v>
      </c>
      <c r="H17" s="350">
        <f t="shared" ca="1" si="2"/>
        <v>6</v>
      </c>
      <c r="I17" s="112">
        <f t="shared" ca="1" si="10"/>
        <v>6</v>
      </c>
      <c r="J17" s="144"/>
    </row>
    <row r="18" spans="1:10" s="107" customFormat="1" ht="16.8">
      <c r="A18" s="117" t="s">
        <v>37</v>
      </c>
      <c r="B18" s="91">
        <v>0</v>
      </c>
      <c r="C18" s="118" t="s">
        <v>25</v>
      </c>
      <c r="D18" s="119" t="str">
        <f>IF(C18="Str",'Personal File'!$C$12,IF(C18="Dex",'Personal File'!$C$13,IF(C18="Con",'Personal File'!$C$14,IF(C18="Int",'Personal File'!$C$15,IF(C18="Wis",'Personal File'!$C$16,IF(C18="Cha",'Personal File'!$C$17))))))</f>
        <v>+3</v>
      </c>
      <c r="E18" s="95" t="str">
        <f t="shared" si="8"/>
        <v>Dex (+3)</v>
      </c>
      <c r="F18" s="112" t="s">
        <v>53</v>
      </c>
      <c r="G18" s="112">
        <f t="shared" si="6"/>
        <v>3</v>
      </c>
      <c r="H18" s="350">
        <f t="shared" ca="1" si="2"/>
        <v>12</v>
      </c>
      <c r="I18" s="112">
        <f t="shared" ca="1" si="10"/>
        <v>15</v>
      </c>
      <c r="J18" s="144"/>
    </row>
    <row r="19" spans="1:10" s="107" customFormat="1" ht="16.8">
      <c r="A19" s="120" t="s">
        <v>38</v>
      </c>
      <c r="B19" s="91">
        <v>0</v>
      </c>
      <c r="C19" s="121" t="s">
        <v>23</v>
      </c>
      <c r="D19" s="122" t="str">
        <f>IF(C19="Str",'Personal File'!$C$12,IF(C19="Dex",'Personal File'!$C$13,IF(C19="Con",'Personal File'!$C$14,IF(C19="Int",'Personal File'!$C$15,IF(C19="Wis",'Personal File'!$C$16,IF(C19="Cha",'Personal File'!$C$17))))))</f>
        <v>+2</v>
      </c>
      <c r="E19" s="123" t="str">
        <f t="shared" si="8"/>
        <v>Int (+2)</v>
      </c>
      <c r="F19" s="112" t="s">
        <v>53</v>
      </c>
      <c r="G19" s="112">
        <f t="shared" si="6"/>
        <v>2</v>
      </c>
      <c r="H19" s="350">
        <f t="shared" ca="1" si="2"/>
        <v>5</v>
      </c>
      <c r="I19" s="112">
        <f t="shared" ca="1" si="10"/>
        <v>7</v>
      </c>
      <c r="J19" s="144"/>
    </row>
    <row r="20" spans="1:10" s="107" customFormat="1" ht="16.8">
      <c r="A20" s="108" t="s">
        <v>39</v>
      </c>
      <c r="B20" s="91">
        <v>0</v>
      </c>
      <c r="C20" s="109" t="s">
        <v>21</v>
      </c>
      <c r="D20" s="110" t="str">
        <f>IF(C20="Str",'Personal File'!$C$12,IF(C20="Dex",'Personal File'!$C$13,IF(C20="Con",'Personal File'!$C$14,IF(C20="Int",'Personal File'!$C$15,IF(C20="Wis",'Personal File'!$C$16,IF(C20="Cha",'Personal File'!$C$17))))))</f>
        <v>+0</v>
      </c>
      <c r="E20" s="111" t="str">
        <f t="shared" si="8"/>
        <v>Cha (+0)</v>
      </c>
      <c r="F20" s="112" t="s">
        <v>53</v>
      </c>
      <c r="G20" s="112">
        <f t="shared" si="6"/>
        <v>0</v>
      </c>
      <c r="H20" s="350">
        <f t="shared" ca="1" si="2"/>
        <v>6</v>
      </c>
      <c r="I20" s="112">
        <f t="shared" ca="1" si="10"/>
        <v>6</v>
      </c>
      <c r="J20" s="144"/>
    </row>
    <row r="21" spans="1:10" s="107" customFormat="1" ht="16.8">
      <c r="A21" s="124" t="s">
        <v>9</v>
      </c>
      <c r="B21" s="125">
        <v>0</v>
      </c>
      <c r="C21" s="126" t="s">
        <v>21</v>
      </c>
      <c r="D21" s="127" t="str">
        <f>IF(C21="Str",'Personal File'!$C$12,IF(C21="Dex",'Personal File'!$C$13,IF(C21="Con",'Personal File'!$C$14,IF(C21="Int",'Personal File'!$C$15,IF(C21="Wis",'Personal File'!$C$16,IF(C21="Cha",'Personal File'!$C$17))))))</f>
        <v>+0</v>
      </c>
      <c r="E21" s="128" t="str">
        <f t="shared" si="8"/>
        <v>Cha (+0)</v>
      </c>
      <c r="F21" s="129" t="s">
        <v>53</v>
      </c>
      <c r="G21" s="129">
        <f t="shared" si="6"/>
        <v>0</v>
      </c>
      <c r="H21" s="350">
        <f t="shared" ca="1" si="2"/>
        <v>11</v>
      </c>
      <c r="I21" s="129">
        <f t="shared" ca="1" si="10"/>
        <v>11</v>
      </c>
      <c r="J21" s="240"/>
    </row>
    <row r="22" spans="1:10" s="107" customFormat="1" ht="16.8">
      <c r="A22" s="131" t="s">
        <v>40</v>
      </c>
      <c r="B22" s="91">
        <v>0</v>
      </c>
      <c r="C22" s="132" t="s">
        <v>24</v>
      </c>
      <c r="D22" s="133" t="str">
        <f>IF(C22="Str",'Personal File'!$C$12,IF(C22="Dex",'Personal File'!$C$13,IF(C22="Con",'Personal File'!$C$14,IF(C22="Int",'Personal File'!$C$15,IF(C22="Wis",'Personal File'!$C$16,IF(C22="Cha",'Personal File'!$C$17))))))</f>
        <v>+0</v>
      </c>
      <c r="E22" s="134" t="str">
        <f t="shared" si="8"/>
        <v>Wis (+0)</v>
      </c>
      <c r="F22" s="112" t="s">
        <v>53</v>
      </c>
      <c r="G22" s="112">
        <f t="shared" si="6"/>
        <v>0</v>
      </c>
      <c r="H22" s="350">
        <f t="shared" ca="1" si="2"/>
        <v>4</v>
      </c>
      <c r="I22" s="112">
        <f t="shared" ca="1" si="10"/>
        <v>4</v>
      </c>
      <c r="J22" s="144"/>
    </row>
    <row r="23" spans="1:10" s="107" customFormat="1" ht="16.8">
      <c r="A23" s="234" t="s">
        <v>41</v>
      </c>
      <c r="B23" s="100">
        <v>4</v>
      </c>
      <c r="C23" s="235" t="s">
        <v>25</v>
      </c>
      <c r="D23" s="236" t="str">
        <f>IF(C23="Str",'Personal File'!$C$12,IF(C23="Dex",'Personal File'!$C$13,IF(C23="Con",'Personal File'!$C$14,IF(C23="Int",'Personal File'!$C$15,IF(C23="Wis",'Personal File'!$C$16,IF(C23="Cha",'Personal File'!$C$17))))))</f>
        <v>+3</v>
      </c>
      <c r="E23" s="237" t="str">
        <f t="shared" si="8"/>
        <v>Dex (+3)</v>
      </c>
      <c r="F23" s="104" t="s">
        <v>93</v>
      </c>
      <c r="G23" s="104">
        <f t="shared" si="6"/>
        <v>11</v>
      </c>
      <c r="H23" s="350">
        <f t="shared" ca="1" si="2"/>
        <v>11</v>
      </c>
      <c r="I23" s="104">
        <f t="shared" ca="1" si="10"/>
        <v>22</v>
      </c>
      <c r="J23" s="143"/>
    </row>
    <row r="24" spans="1:10" s="107" customFormat="1" ht="16.8">
      <c r="A24" s="108" t="s">
        <v>42</v>
      </c>
      <c r="B24" s="91">
        <v>0</v>
      </c>
      <c r="C24" s="109" t="s">
        <v>21</v>
      </c>
      <c r="D24" s="110" t="str">
        <f>IF(C24="Str",'Personal File'!$C$12,IF(C24="Dex",'Personal File'!$C$13,IF(C24="Con",'Personal File'!$C$14,IF(C24="Int",'Personal File'!$C$15,IF(C24="Wis",'Personal File'!$C$16,IF(C24="Cha",'Personal File'!$C$17))))))</f>
        <v>+0</v>
      </c>
      <c r="E24" s="111" t="str">
        <f t="shared" si="8"/>
        <v>Cha (+0)</v>
      </c>
      <c r="F24" s="112" t="s">
        <v>53</v>
      </c>
      <c r="G24" s="112">
        <f t="shared" si="6"/>
        <v>0</v>
      </c>
      <c r="H24" s="350">
        <f t="shared" ca="1" si="2"/>
        <v>18</v>
      </c>
      <c r="I24" s="112">
        <f t="shared" ca="1" si="10"/>
        <v>18</v>
      </c>
      <c r="J24" s="144"/>
    </row>
    <row r="25" spans="1:10" s="107" customFormat="1" ht="16.8">
      <c r="A25" s="135" t="s">
        <v>43</v>
      </c>
      <c r="B25" s="91">
        <v>0</v>
      </c>
      <c r="C25" s="136" t="s">
        <v>26</v>
      </c>
      <c r="D25" s="137" t="str">
        <f>IF(C25="Str",'Personal File'!$C$12,IF(C25="Dex",'Personal File'!$C$13,IF(C25="Con",'Personal File'!$C$14,IF(C25="Int",'Personal File'!$C$15,IF(C25="Wis",'Personal File'!$C$16,IF(C25="Cha",'Personal File'!$C$17))))))</f>
        <v>+0</v>
      </c>
      <c r="E25" s="138" t="str">
        <f t="shared" si="8"/>
        <v>Str (+0)</v>
      </c>
      <c r="F25" s="112" t="s">
        <v>53</v>
      </c>
      <c r="G25" s="112">
        <f t="shared" si="6"/>
        <v>0</v>
      </c>
      <c r="H25" s="350">
        <f t="shared" ca="1" si="2"/>
        <v>1</v>
      </c>
      <c r="I25" s="112">
        <f t="shared" ca="1" si="10"/>
        <v>1</v>
      </c>
      <c r="J25" s="144"/>
    </row>
    <row r="26" spans="1:10" s="107" customFormat="1" ht="16.8">
      <c r="A26" s="139" t="s">
        <v>68</v>
      </c>
      <c r="B26" s="125">
        <v>0</v>
      </c>
      <c r="C26" s="140" t="s">
        <v>23</v>
      </c>
      <c r="D26" s="141" t="str">
        <f>IF(C26="Str",'Personal File'!$C$12,IF(C26="Dex",'Personal File'!$C$13,IF(C26="Con",'Personal File'!$C$14,IF(C26="Int",'Personal File'!$C$15,IF(C26="Wis",'Personal File'!$C$16,IF(C26="Cha",'Personal File'!$C$17))))))</f>
        <v>+2</v>
      </c>
      <c r="E26" s="142" t="str">
        <f t="shared" si="8"/>
        <v>Int (+2)</v>
      </c>
      <c r="F26" s="129" t="s">
        <v>53</v>
      </c>
      <c r="G26" s="129">
        <f t="shared" si="6"/>
        <v>2</v>
      </c>
      <c r="H26" s="350">
        <f t="shared" ca="1" si="2"/>
        <v>5</v>
      </c>
      <c r="I26" s="129">
        <f t="shared" ca="1" si="10"/>
        <v>7</v>
      </c>
      <c r="J26" s="240"/>
    </row>
    <row r="27" spans="1:10" s="107" customFormat="1" ht="16.8">
      <c r="A27" s="99" t="s">
        <v>202</v>
      </c>
      <c r="B27" s="100">
        <v>4</v>
      </c>
      <c r="C27" s="101" t="s">
        <v>23</v>
      </c>
      <c r="D27" s="102" t="str">
        <f>IF(C27="Str",'Personal File'!$C$12,IF(C27="Dex",'Personal File'!$C$13,IF(C27="Con",'Personal File'!$C$14,IF(C27="Int",'Personal File'!$C$15,IF(C27="Wis",'Personal File'!$C$16,IF(C27="Cha",'Personal File'!$C$17))))))</f>
        <v>+2</v>
      </c>
      <c r="E27" s="103" t="str">
        <f t="shared" ref="E27" si="14">CONCATENATE(C27," (",D27,")")</f>
        <v>Int (+2)</v>
      </c>
      <c r="F27" s="104" t="s">
        <v>53</v>
      </c>
      <c r="G27" s="104">
        <f t="shared" ref="G27" si="15">B27+D27+F27</f>
        <v>6</v>
      </c>
      <c r="H27" s="350">
        <f t="shared" ca="1" si="2"/>
        <v>14</v>
      </c>
      <c r="I27" s="104">
        <f t="shared" ref="I27" ca="1" si="16">SUM(G27:H27)</f>
        <v>20</v>
      </c>
      <c r="J27" s="143"/>
    </row>
    <row r="28" spans="1:10" s="107" customFormat="1" ht="16.8">
      <c r="A28" s="131" t="s">
        <v>44</v>
      </c>
      <c r="B28" s="91">
        <v>0</v>
      </c>
      <c r="C28" s="132" t="s">
        <v>24</v>
      </c>
      <c r="D28" s="133" t="str">
        <f>IF(C28="Str",'Personal File'!$C$12,IF(C28="Dex",'Personal File'!$C$13,IF(C28="Con",'Personal File'!$C$14,IF(C28="Int",'Personal File'!$C$15,IF(C28="Wis",'Personal File'!$C$16,IF(C28="Cha",'Personal File'!$C$17))))))</f>
        <v>+0</v>
      </c>
      <c r="E28" s="134" t="str">
        <f t="shared" si="8"/>
        <v>Wis (+0)</v>
      </c>
      <c r="F28" s="112" t="s">
        <v>74</v>
      </c>
      <c r="G28" s="112">
        <f t="shared" si="6"/>
        <v>2</v>
      </c>
      <c r="H28" s="350">
        <f t="shared" ca="1" si="2"/>
        <v>10</v>
      </c>
      <c r="I28" s="112">
        <f t="shared" ca="1" si="10"/>
        <v>12</v>
      </c>
      <c r="J28" s="144"/>
    </row>
    <row r="29" spans="1:10" s="107" customFormat="1" ht="16.8">
      <c r="A29" s="234" t="s">
        <v>10</v>
      </c>
      <c r="B29" s="100">
        <v>4</v>
      </c>
      <c r="C29" s="235" t="s">
        <v>25</v>
      </c>
      <c r="D29" s="236" t="str">
        <f>IF(C29="Str",'Personal File'!$C$12,IF(C29="Dex",'Personal File'!$C$13,IF(C29="Con",'Personal File'!$C$14,IF(C29="Int",'Personal File'!$C$15,IF(C29="Wis",'Personal File'!$C$16,IF(C29="Cha",'Personal File'!$C$17))))))</f>
        <v>+3</v>
      </c>
      <c r="E29" s="237" t="str">
        <f t="shared" si="8"/>
        <v>Dex (+3)</v>
      </c>
      <c r="F29" s="104" t="s">
        <v>93</v>
      </c>
      <c r="G29" s="104">
        <f t="shared" si="6"/>
        <v>11</v>
      </c>
      <c r="H29" s="350">
        <f t="shared" ca="1" si="2"/>
        <v>11</v>
      </c>
      <c r="I29" s="104">
        <f t="shared" ca="1" si="10"/>
        <v>22</v>
      </c>
      <c r="J29" s="143"/>
    </row>
    <row r="30" spans="1:10" s="107" customFormat="1" ht="16.8">
      <c r="A30" s="234" t="s">
        <v>45</v>
      </c>
      <c r="B30" s="100">
        <v>4</v>
      </c>
      <c r="C30" s="235" t="s">
        <v>25</v>
      </c>
      <c r="D30" s="236" t="str">
        <f>IF(C30="Str",'Personal File'!$C$12,IF(C30="Dex",'Personal File'!$C$13,IF(C30="Con",'Personal File'!$C$14,IF(C30="Int",'Personal File'!$C$15,IF(C30="Wis",'Personal File'!$C$16,IF(C30="Cha",'Personal File'!$C$17))))))</f>
        <v>+3</v>
      </c>
      <c r="E30" s="237" t="str">
        <f t="shared" si="8"/>
        <v>Dex (+3)</v>
      </c>
      <c r="F30" s="104" t="s">
        <v>53</v>
      </c>
      <c r="G30" s="104">
        <f t="shared" si="6"/>
        <v>7</v>
      </c>
      <c r="H30" s="350">
        <f t="shared" ca="1" si="2"/>
        <v>19</v>
      </c>
      <c r="I30" s="104">
        <f t="shared" ca="1" si="10"/>
        <v>26</v>
      </c>
      <c r="J30" s="143"/>
    </row>
    <row r="31" spans="1:10" ht="16.8">
      <c r="A31" s="108" t="s">
        <v>102</v>
      </c>
      <c r="B31" s="91">
        <v>0</v>
      </c>
      <c r="C31" s="109" t="s">
        <v>21</v>
      </c>
      <c r="D31" s="110" t="str">
        <f>IF(C31="Str",'Personal File'!$C$12,IF(C31="Dex",'Personal File'!$C$13,IF(C31="Con",'Personal File'!$C$14,IF(C31="Int",'Personal File'!$C$15,IF(C31="Wis",'Personal File'!$C$16,IF(C31="Cha",'Personal File'!$C$17))))))</f>
        <v>+0</v>
      </c>
      <c r="E31" s="111" t="str">
        <f t="shared" si="8"/>
        <v>Cha (+0)</v>
      </c>
      <c r="F31" s="112" t="s">
        <v>53</v>
      </c>
      <c r="G31" s="112">
        <f t="shared" si="6"/>
        <v>0</v>
      </c>
      <c r="H31" s="350">
        <f t="shared" ca="1" si="2"/>
        <v>4</v>
      </c>
      <c r="I31" s="112">
        <f t="shared" ca="1" si="10"/>
        <v>4</v>
      </c>
      <c r="J31" s="144"/>
    </row>
    <row r="32" spans="1:10" ht="16.8">
      <c r="A32" s="244" t="s">
        <v>290</v>
      </c>
      <c r="B32" s="100">
        <v>4</v>
      </c>
      <c r="C32" s="253" t="s">
        <v>24</v>
      </c>
      <c r="D32" s="254" t="str">
        <f>IF(C32="Str",'Personal File'!$C$12,IF(C32="Dex",'Personal File'!$C$13,IF(C32="Con",'Personal File'!$C$14,IF(C32="Int",'Personal File'!$C$15,IF(C32="Wis",'Personal File'!$C$16,IF(C32="Cha",'Personal File'!$C$17))))))</f>
        <v>+0</v>
      </c>
      <c r="E32" s="255" t="str">
        <f t="shared" ref="E32" si="17">CONCATENATE(C32," (",D32,")")</f>
        <v>Wis (+0)</v>
      </c>
      <c r="F32" s="104" t="s">
        <v>53</v>
      </c>
      <c r="G32" s="256">
        <f t="shared" si="6"/>
        <v>4</v>
      </c>
      <c r="H32" s="350">
        <f t="shared" ca="1" si="2"/>
        <v>8</v>
      </c>
      <c r="I32" s="256">
        <f t="shared" ca="1" si="10"/>
        <v>12</v>
      </c>
      <c r="J32" s="143"/>
    </row>
    <row r="33" spans="1:10" ht="16.8">
      <c r="A33" s="117" t="s">
        <v>11</v>
      </c>
      <c r="B33" s="91">
        <v>0</v>
      </c>
      <c r="C33" s="118" t="s">
        <v>25</v>
      </c>
      <c r="D33" s="119" t="str">
        <f>IF(C33="Str",'Personal File'!$C$12,IF(C33="Dex",'Personal File'!$C$13,IF(C33="Con",'Personal File'!$C$14,IF(C33="Int",'Personal File'!$C$15,IF(C33="Wis",'Personal File'!$C$16,IF(C33="Cha",'Personal File'!$C$17))))))</f>
        <v>+3</v>
      </c>
      <c r="E33" s="95" t="str">
        <f t="shared" si="8"/>
        <v>Dex (+3)</v>
      </c>
      <c r="F33" s="112" t="s">
        <v>53</v>
      </c>
      <c r="G33" s="112">
        <f t="shared" si="6"/>
        <v>3</v>
      </c>
      <c r="H33" s="350">
        <f t="shared" ca="1" si="2"/>
        <v>7</v>
      </c>
      <c r="I33" s="112">
        <f t="shared" ca="1" si="10"/>
        <v>10</v>
      </c>
      <c r="J33" s="113"/>
    </row>
    <row r="34" spans="1:10" ht="16.8">
      <c r="A34" s="99" t="s">
        <v>12</v>
      </c>
      <c r="B34" s="100">
        <v>2</v>
      </c>
      <c r="C34" s="101" t="s">
        <v>23</v>
      </c>
      <c r="D34" s="102" t="str">
        <f>IF(C34="Str",'Personal File'!$C$12,IF(C34="Dex",'Personal File'!$C$13,IF(C34="Con",'Personal File'!$C$14,IF(C34="Int",'Personal File'!$C$15,IF(C34="Wis",'Personal File'!$C$16,IF(C34="Cha",'Personal File'!$C$17))))))</f>
        <v>+2</v>
      </c>
      <c r="E34" s="103" t="str">
        <f t="shared" si="8"/>
        <v>Int (+2)</v>
      </c>
      <c r="F34" s="104" t="s">
        <v>53</v>
      </c>
      <c r="G34" s="104">
        <f t="shared" si="6"/>
        <v>4</v>
      </c>
      <c r="H34" s="350">
        <f t="shared" ca="1" si="2"/>
        <v>17</v>
      </c>
      <c r="I34" s="104">
        <f t="shared" ca="1" si="10"/>
        <v>21</v>
      </c>
      <c r="J34" s="105"/>
    </row>
    <row r="35" spans="1:10" ht="16.8">
      <c r="A35" s="131" t="s">
        <v>46</v>
      </c>
      <c r="B35" s="91">
        <v>0</v>
      </c>
      <c r="C35" s="132" t="s">
        <v>24</v>
      </c>
      <c r="D35" s="133" t="str">
        <f>IF(C35="Str",'Personal File'!$C$12,IF(C35="Dex",'Personal File'!$C$13,IF(C35="Con",'Personal File'!$C$14,IF(C35="Int",'Personal File'!$C$15,IF(C35="Wis",'Personal File'!$C$16,IF(C35="Cha",'Personal File'!$C$17))))))</f>
        <v>+0</v>
      </c>
      <c r="E35" s="134" t="str">
        <f t="shared" si="8"/>
        <v>Wis (+0)</v>
      </c>
      <c r="F35" s="112" t="s">
        <v>53</v>
      </c>
      <c r="G35" s="112">
        <f t="shared" si="6"/>
        <v>0</v>
      </c>
      <c r="H35" s="350">
        <f t="shared" ca="1" si="2"/>
        <v>13</v>
      </c>
      <c r="I35" s="112">
        <f t="shared" ca="1" si="10"/>
        <v>13</v>
      </c>
      <c r="J35" s="113"/>
    </row>
    <row r="36" spans="1:10" ht="16.8">
      <c r="A36" s="230" t="s">
        <v>69</v>
      </c>
      <c r="B36" s="125">
        <v>0</v>
      </c>
      <c r="C36" s="231" t="s">
        <v>25</v>
      </c>
      <c r="D36" s="232" t="str">
        <f>IF(C36="Str",'Personal File'!$C$12,IF(C36="Dex",'Personal File'!$C$13,IF(C36="Con",'Personal File'!$C$14,IF(C36="Int",'Personal File'!$C$15,IF(C36="Wis",'Personal File'!$C$16,IF(C36="Cha",'Personal File'!$C$17))))))</f>
        <v>+3</v>
      </c>
      <c r="E36" s="233" t="str">
        <f t="shared" si="8"/>
        <v>Dex (+3)</v>
      </c>
      <c r="F36" s="129" t="s">
        <v>53</v>
      </c>
      <c r="G36" s="129">
        <f t="shared" si="6"/>
        <v>3</v>
      </c>
      <c r="H36" s="350">
        <f t="shared" ca="1" si="2"/>
        <v>7</v>
      </c>
      <c r="I36" s="129">
        <f t="shared" ca="1" si="10"/>
        <v>10</v>
      </c>
      <c r="J36" s="130"/>
    </row>
    <row r="37" spans="1:10" ht="16.8">
      <c r="A37" s="139" t="s">
        <v>140</v>
      </c>
      <c r="B37" s="125">
        <v>0</v>
      </c>
      <c r="C37" s="140" t="s">
        <v>23</v>
      </c>
      <c r="D37" s="141" t="str">
        <f>IF(C37="Str",'Personal File'!$C$12,IF(C37="Dex",'Personal File'!$C$13,IF(C37="Con",'Personal File'!$C$14,IF(C37="Int",'Personal File'!$C$15,IF(C37="Wis",'Personal File'!$C$16,IF(C37="Cha",'Personal File'!$C$17))))))</f>
        <v>+2</v>
      </c>
      <c r="E37" s="142" t="str">
        <f t="shared" si="8"/>
        <v>Int (+2)</v>
      </c>
      <c r="F37" s="129" t="s">
        <v>53</v>
      </c>
      <c r="G37" s="129" t="s">
        <v>53</v>
      </c>
      <c r="H37" s="350">
        <f t="shared" ca="1" si="2"/>
        <v>20</v>
      </c>
      <c r="I37" s="129">
        <f t="shared" ca="1" si="10"/>
        <v>20</v>
      </c>
      <c r="J37" s="240"/>
    </row>
    <row r="38" spans="1:10" ht="16.8">
      <c r="A38" s="99" t="s">
        <v>47</v>
      </c>
      <c r="B38" s="100">
        <v>0</v>
      </c>
      <c r="C38" s="101" t="s">
        <v>23</v>
      </c>
      <c r="D38" s="102" t="str">
        <f>IF(C38="Str",'Personal File'!$C$12,IF(C38="Dex",'Personal File'!$C$13,IF(C38="Con",'Personal File'!$C$14,IF(C38="Int",'Personal File'!$C$15,IF(C38="Wis",'Personal File'!$C$16,IF(C38="Cha",'Personal File'!$C$17))))))</f>
        <v>+2</v>
      </c>
      <c r="E38" s="103" t="str">
        <f t="shared" si="8"/>
        <v>Int (+2)</v>
      </c>
      <c r="F38" s="104" t="s">
        <v>53</v>
      </c>
      <c r="G38" s="104">
        <f t="shared" si="6"/>
        <v>2</v>
      </c>
      <c r="H38" s="350">
        <f t="shared" ca="1" si="2"/>
        <v>20</v>
      </c>
      <c r="I38" s="104">
        <f t="shared" ca="1" si="10"/>
        <v>22</v>
      </c>
      <c r="J38" s="143"/>
    </row>
    <row r="39" spans="1:10" ht="16.8">
      <c r="A39" s="368" t="s">
        <v>48</v>
      </c>
      <c r="B39" s="100">
        <v>2</v>
      </c>
      <c r="C39" s="253" t="s">
        <v>24</v>
      </c>
      <c r="D39" s="254" t="str">
        <f>IF(C39="Str",'Personal File'!$C$12,IF(C39="Dex",'Personal File'!$C$13,IF(C39="Con",'Personal File'!$C$14,IF(C39="Int",'Personal File'!$C$15,IF(C39="Wis",'Personal File'!$C$16,IF(C39="Cha",'Personal File'!$C$17))))))</f>
        <v>+0</v>
      </c>
      <c r="E39" s="255" t="str">
        <f t="shared" si="8"/>
        <v>Wis (+0)</v>
      </c>
      <c r="F39" s="104" t="s">
        <v>74</v>
      </c>
      <c r="G39" s="104">
        <f t="shared" si="6"/>
        <v>4</v>
      </c>
      <c r="H39" s="350">
        <f t="shared" ca="1" si="2"/>
        <v>9</v>
      </c>
      <c r="I39" s="104">
        <f t="shared" ca="1" si="10"/>
        <v>13</v>
      </c>
      <c r="J39" s="105"/>
    </row>
    <row r="40" spans="1:10" ht="16.8">
      <c r="A40" s="368" t="s">
        <v>70</v>
      </c>
      <c r="B40" s="100">
        <v>2</v>
      </c>
      <c r="C40" s="253" t="s">
        <v>24</v>
      </c>
      <c r="D40" s="254" t="str">
        <f>IF(C40="Str",'Personal File'!$C$12,IF(C40="Dex",'Personal File'!$C$13,IF(C40="Con",'Personal File'!$C$14,IF(C40="Int",'Personal File'!$C$15,IF(C40="Wis",'Personal File'!$C$16,IF(C40="Cha",'Personal File'!$C$17))))))</f>
        <v>+0</v>
      </c>
      <c r="E40" s="255" t="str">
        <f t="shared" si="8"/>
        <v>Wis (+0)</v>
      </c>
      <c r="F40" s="104" t="s">
        <v>53</v>
      </c>
      <c r="G40" s="104">
        <f t="shared" si="6"/>
        <v>2</v>
      </c>
      <c r="H40" s="350">
        <f t="shared" ca="1" si="2"/>
        <v>15</v>
      </c>
      <c r="I40" s="104">
        <f t="shared" ca="1" si="10"/>
        <v>17</v>
      </c>
      <c r="J40" s="143" t="s">
        <v>198</v>
      </c>
    </row>
    <row r="41" spans="1:10" ht="16.8">
      <c r="A41" s="135" t="s">
        <v>13</v>
      </c>
      <c r="B41" s="91">
        <v>0</v>
      </c>
      <c r="C41" s="136" t="s">
        <v>26</v>
      </c>
      <c r="D41" s="137" t="str">
        <f>IF(C41="Str",'Personal File'!$C$12,IF(C41="Dex",'Personal File'!$C$13,IF(C41="Con",'Personal File'!$C$14,IF(C41="Int",'Personal File'!$C$15,IF(C41="Wis",'Personal File'!$C$16,IF(C41="Cha",'Personal File'!$C$17))))))</f>
        <v>+0</v>
      </c>
      <c r="E41" s="138" t="str">
        <f t="shared" si="8"/>
        <v>Str (+0)</v>
      </c>
      <c r="F41" s="112" t="s">
        <v>53</v>
      </c>
      <c r="G41" s="112">
        <f t="shared" si="6"/>
        <v>0</v>
      </c>
      <c r="H41" s="350">
        <f t="shared" ca="1" si="2"/>
        <v>1</v>
      </c>
      <c r="I41" s="112">
        <f t="shared" ca="1" si="10"/>
        <v>1</v>
      </c>
      <c r="J41" s="113"/>
    </row>
    <row r="42" spans="1:10" ht="16.8">
      <c r="A42" s="230" t="s">
        <v>49</v>
      </c>
      <c r="B42" s="125">
        <v>0</v>
      </c>
      <c r="C42" s="231" t="s">
        <v>25</v>
      </c>
      <c r="D42" s="232" t="str">
        <f>IF(C42="Str",'Personal File'!$C$12,IF(C42="Dex",'Personal File'!$C$13,IF(C42="Con",'Personal File'!$C$14,IF(C42="Int",'Personal File'!$C$15,IF(C42="Wis",'Personal File'!$C$16,IF(C42="Cha",'Personal File'!$C$17))))))</f>
        <v>+3</v>
      </c>
      <c r="E42" s="233" t="str">
        <f t="shared" si="8"/>
        <v>Dex (+3)</v>
      </c>
      <c r="F42" s="129" t="s">
        <v>53</v>
      </c>
      <c r="G42" s="129">
        <f t="shared" si="6"/>
        <v>3</v>
      </c>
      <c r="H42" s="350">
        <f t="shared" ca="1" si="2"/>
        <v>7</v>
      </c>
      <c r="I42" s="129">
        <f t="shared" ca="1" si="10"/>
        <v>10</v>
      </c>
      <c r="J42" s="130"/>
    </row>
    <row r="43" spans="1:10" ht="16.8">
      <c r="A43" s="244" t="s">
        <v>50</v>
      </c>
      <c r="B43" s="100">
        <v>4</v>
      </c>
      <c r="C43" s="245" t="s">
        <v>21</v>
      </c>
      <c r="D43" s="246" t="str">
        <f>IF(C43="Str",'Personal File'!$C$12,IF(C43="Dex",'Personal File'!$C$13,IF(C43="Con",'Personal File'!$C$14,IF(C43="Int",'Personal File'!$C$15,IF(C43="Wis",'Personal File'!$C$16,IF(C43="Cha",'Personal File'!$C$17))))))</f>
        <v>+0</v>
      </c>
      <c r="E43" s="247" t="str">
        <f t="shared" si="8"/>
        <v>Cha (+0)</v>
      </c>
      <c r="F43" s="104" t="s">
        <v>53</v>
      </c>
      <c r="G43" s="104">
        <f t="shared" si="6"/>
        <v>4</v>
      </c>
      <c r="H43" s="350">
        <f t="shared" ca="1" si="2"/>
        <v>12</v>
      </c>
      <c r="I43" s="104">
        <f t="shared" ca="1" si="10"/>
        <v>16</v>
      </c>
      <c r="J43" s="105"/>
    </row>
    <row r="44" spans="1:10" ht="17.399999999999999" thickBot="1">
      <c r="A44" s="343" t="s">
        <v>51</v>
      </c>
      <c r="B44" s="344">
        <v>4</v>
      </c>
      <c r="C44" s="345" t="s">
        <v>25</v>
      </c>
      <c r="D44" s="346" t="str">
        <f>IF(C44="Str",'Personal File'!$C$12,IF(C44="Dex",'Personal File'!$C$13,IF(C44="Con",'Personal File'!$C$14,IF(C44="Int",'Personal File'!$C$15,IF(C44="Wis",'Personal File'!$C$16,IF(C44="Cha",'Personal File'!$C$17))))))</f>
        <v>+3</v>
      </c>
      <c r="E44" s="347" t="str">
        <f t="shared" si="8"/>
        <v>Dex (+3)</v>
      </c>
      <c r="F44" s="348" t="s">
        <v>53</v>
      </c>
      <c r="G44" s="348">
        <f t="shared" si="6"/>
        <v>7</v>
      </c>
      <c r="H44" s="353">
        <f t="shared" ref="H44" ca="1" si="18">RANDBETWEEN(1,20)</f>
        <v>17</v>
      </c>
      <c r="I44" s="348">
        <f t="shared" ca="1" si="10"/>
        <v>24</v>
      </c>
      <c r="J44" s="349"/>
    </row>
    <row r="45" spans="1:10" ht="16.2" thickTop="1">
      <c r="B45" s="146">
        <f>SUM(B6:B44)+B40</f>
        <v>64</v>
      </c>
      <c r="E45" s="371">
        <f>SUM(E46:E50)</f>
        <v>64</v>
      </c>
    </row>
    <row r="46" spans="1:10">
      <c r="B46" s="146"/>
      <c r="E46" s="304">
        <f>4*(8+'Personal File'!$C$15)</f>
        <v>40</v>
      </c>
      <c r="F46" s="149" t="s">
        <v>116</v>
      </c>
    </row>
    <row r="47" spans="1:10">
      <c r="E47" s="367">
        <f>8+'Personal File'!$C$15</f>
        <v>10</v>
      </c>
      <c r="F47" s="149" t="s">
        <v>197</v>
      </c>
    </row>
    <row r="48" spans="1:10">
      <c r="E48" s="367">
        <f>2+'Personal File'!$C$15</f>
        <v>4</v>
      </c>
      <c r="F48" s="149" t="s">
        <v>201</v>
      </c>
    </row>
    <row r="49" spans="5:6">
      <c r="E49" s="367">
        <f>8+'Personal File'!$C$15</f>
        <v>10</v>
      </c>
      <c r="F49" s="149" t="s">
        <v>295</v>
      </c>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3F6BE-4C33-4CAB-9C23-ADB2CC485239}">
  <dimension ref="A1:J25"/>
  <sheetViews>
    <sheetView showGridLines="0" zoomScaleNormal="100" workbookViewId="0">
      <pane ySplit="2" topLeftCell="A3" activePane="bottomLeft" state="frozen"/>
      <selection pane="bottomLeft" activeCell="A3" sqref="A3"/>
    </sheetView>
  </sheetViews>
  <sheetFormatPr defaultColWidth="18.19921875" defaultRowHeight="15.6"/>
  <cols>
    <col min="1" max="1" width="21.296875" style="418" bestFit="1" customWidth="1"/>
    <col min="2" max="2" width="6.19921875" style="418" bestFit="1" customWidth="1"/>
    <col min="3" max="3" width="13.59765625" style="419" bestFit="1" customWidth="1"/>
    <col min="4" max="4" width="11.296875" style="419" bestFit="1" customWidth="1"/>
    <col min="5" max="5" width="10.5" style="419" bestFit="1" customWidth="1"/>
    <col min="6" max="7" width="13.19921875" style="419" bestFit="1" customWidth="1"/>
    <col min="8" max="8" width="21.3984375" style="418" bestFit="1" customWidth="1"/>
    <col min="9" max="9" width="5.5" style="405" bestFit="1" customWidth="1"/>
    <col min="10" max="10" width="3.296875" style="405" bestFit="1" customWidth="1"/>
    <col min="11" max="16384" width="18.19921875" style="405"/>
  </cols>
  <sheetData>
    <row r="1" spans="1:10" ht="23.4" thickBot="1">
      <c r="A1" s="403" t="s">
        <v>284</v>
      </c>
      <c r="B1" s="404"/>
      <c r="C1" s="404"/>
      <c r="D1" s="404"/>
      <c r="E1" s="404"/>
      <c r="F1" s="404"/>
      <c r="G1" s="404"/>
      <c r="H1" s="404"/>
    </row>
    <row r="2" spans="1:10" s="362" customFormat="1" ht="16.8">
      <c r="A2" s="406" t="s">
        <v>76</v>
      </c>
      <c r="B2" s="407" t="s">
        <v>79</v>
      </c>
      <c r="C2" s="407" t="s">
        <v>206</v>
      </c>
      <c r="D2" s="408" t="s">
        <v>207</v>
      </c>
      <c r="E2" s="408" t="s">
        <v>208</v>
      </c>
      <c r="F2" s="407" t="s">
        <v>209</v>
      </c>
      <c r="G2" s="407" t="s">
        <v>210</v>
      </c>
      <c r="H2" s="407" t="s">
        <v>211</v>
      </c>
      <c r="I2" s="409" t="s">
        <v>212</v>
      </c>
      <c r="J2" s="373"/>
    </row>
    <row r="3" spans="1:10" s="412" customFormat="1" ht="16.8">
      <c r="A3" s="392" t="s">
        <v>239</v>
      </c>
      <c r="B3" s="410">
        <v>0</v>
      </c>
      <c r="C3" s="393" t="s">
        <v>236</v>
      </c>
      <c r="D3" s="394" t="s">
        <v>231</v>
      </c>
      <c r="E3" s="395" t="s">
        <v>216</v>
      </c>
      <c r="F3" s="396" t="s">
        <v>226</v>
      </c>
      <c r="G3" s="396" t="s">
        <v>253</v>
      </c>
      <c r="H3" s="396" t="s">
        <v>219</v>
      </c>
      <c r="I3" s="411">
        <v>272</v>
      </c>
    </row>
    <row r="4" spans="1:10" ht="16.8">
      <c r="A4" s="374" t="s">
        <v>213</v>
      </c>
      <c r="B4" s="413">
        <v>0</v>
      </c>
      <c r="C4" s="378" t="s">
        <v>214</v>
      </c>
      <c r="D4" s="375" t="s">
        <v>215</v>
      </c>
      <c r="E4" s="379" t="s">
        <v>216</v>
      </c>
      <c r="F4" s="379" t="s">
        <v>217</v>
      </c>
      <c r="G4" s="379" t="s">
        <v>218</v>
      </c>
      <c r="H4" s="377" t="s">
        <v>219</v>
      </c>
      <c r="I4" s="397">
        <v>196</v>
      </c>
    </row>
    <row r="5" spans="1:10" ht="16.8">
      <c r="A5" s="374" t="s">
        <v>240</v>
      </c>
      <c r="B5" s="413">
        <v>0</v>
      </c>
      <c r="C5" s="378" t="s">
        <v>214</v>
      </c>
      <c r="D5" s="380" t="s">
        <v>215</v>
      </c>
      <c r="E5" s="379" t="s">
        <v>216</v>
      </c>
      <c r="F5" s="379" t="s">
        <v>217</v>
      </c>
      <c r="G5" s="379" t="s">
        <v>227</v>
      </c>
      <c r="H5" s="377" t="s">
        <v>237</v>
      </c>
      <c r="I5" s="397">
        <v>42</v>
      </c>
    </row>
    <row r="6" spans="1:10" ht="16.8">
      <c r="A6" s="374" t="s">
        <v>241</v>
      </c>
      <c r="B6" s="413">
        <v>0</v>
      </c>
      <c r="C6" s="381" t="s">
        <v>214</v>
      </c>
      <c r="D6" s="375" t="s">
        <v>215</v>
      </c>
      <c r="E6" s="376" t="s">
        <v>216</v>
      </c>
      <c r="F6" s="377" t="s">
        <v>217</v>
      </c>
      <c r="G6" s="377" t="s">
        <v>218</v>
      </c>
      <c r="H6" s="377" t="s">
        <v>219</v>
      </c>
      <c r="I6" s="397">
        <v>269</v>
      </c>
    </row>
    <row r="7" spans="1:10" ht="16.8">
      <c r="A7" s="374" t="s">
        <v>242</v>
      </c>
      <c r="B7" s="413">
        <v>0</v>
      </c>
      <c r="C7" s="378" t="s">
        <v>224</v>
      </c>
      <c r="D7" s="380" t="s">
        <v>215</v>
      </c>
      <c r="E7" s="379" t="s">
        <v>216</v>
      </c>
      <c r="F7" s="379" t="s">
        <v>217</v>
      </c>
      <c r="G7" s="379" t="s">
        <v>218</v>
      </c>
      <c r="H7" s="377" t="s">
        <v>219</v>
      </c>
      <c r="I7" s="397">
        <v>219</v>
      </c>
    </row>
    <row r="8" spans="1:10" ht="16.8">
      <c r="A8" s="374" t="s">
        <v>220</v>
      </c>
      <c r="B8" s="413">
        <v>0</v>
      </c>
      <c r="C8" s="381" t="s">
        <v>221</v>
      </c>
      <c r="D8" s="375" t="s">
        <v>222</v>
      </c>
      <c r="E8" s="376" t="s">
        <v>216</v>
      </c>
      <c r="F8" s="377" t="s">
        <v>217</v>
      </c>
      <c r="G8" s="377" t="s">
        <v>223</v>
      </c>
      <c r="H8" s="377" t="s">
        <v>219</v>
      </c>
      <c r="I8" s="384">
        <v>217</v>
      </c>
    </row>
    <row r="9" spans="1:10" ht="16.8">
      <c r="A9" s="374" t="s">
        <v>243</v>
      </c>
      <c r="B9" s="413">
        <v>0</v>
      </c>
      <c r="C9" s="381" t="s">
        <v>230</v>
      </c>
      <c r="D9" s="375" t="s">
        <v>215</v>
      </c>
      <c r="E9" s="376" t="s">
        <v>216</v>
      </c>
      <c r="F9" s="377" t="s">
        <v>217</v>
      </c>
      <c r="G9" s="377" t="s">
        <v>218</v>
      </c>
      <c r="H9" s="377" t="s">
        <v>237</v>
      </c>
      <c r="I9" s="384">
        <v>78</v>
      </c>
    </row>
    <row r="10" spans="1:10" ht="16.8">
      <c r="A10" s="374" t="s">
        <v>244</v>
      </c>
      <c r="B10" s="413">
        <v>0</v>
      </c>
      <c r="C10" s="381" t="s">
        <v>230</v>
      </c>
      <c r="D10" s="375" t="s">
        <v>228</v>
      </c>
      <c r="E10" s="376" t="s">
        <v>216</v>
      </c>
      <c r="F10" s="377" t="s">
        <v>217</v>
      </c>
      <c r="G10" s="377" t="s">
        <v>218</v>
      </c>
      <c r="H10" s="377" t="s">
        <v>219</v>
      </c>
      <c r="I10" s="397">
        <v>232</v>
      </c>
    </row>
    <row r="11" spans="1:10" ht="16.8">
      <c r="A11" s="374" t="s">
        <v>245</v>
      </c>
      <c r="B11" s="413">
        <v>0</v>
      </c>
      <c r="C11" s="381" t="s">
        <v>230</v>
      </c>
      <c r="D11" s="375" t="s">
        <v>254</v>
      </c>
      <c r="E11" s="376" t="s">
        <v>216</v>
      </c>
      <c r="F11" s="377" t="s">
        <v>226</v>
      </c>
      <c r="G11" s="377" t="s">
        <v>234</v>
      </c>
      <c r="H11" s="377" t="s">
        <v>219</v>
      </c>
      <c r="I11" s="397">
        <v>248</v>
      </c>
    </row>
    <row r="12" spans="1:10" ht="16.8">
      <c r="A12" s="374" t="s">
        <v>246</v>
      </c>
      <c r="B12" s="413">
        <v>0</v>
      </c>
      <c r="C12" s="381" t="s">
        <v>230</v>
      </c>
      <c r="D12" s="375" t="s">
        <v>215</v>
      </c>
      <c r="E12" s="376" t="s">
        <v>216</v>
      </c>
      <c r="F12" s="377" t="s">
        <v>217</v>
      </c>
      <c r="G12" s="377" t="s">
        <v>218</v>
      </c>
      <c r="H12" s="377" t="s">
        <v>237</v>
      </c>
      <c r="I12" s="384">
        <v>195</v>
      </c>
    </row>
    <row r="13" spans="1:10" ht="16.8">
      <c r="A13" s="374" t="s">
        <v>146</v>
      </c>
      <c r="B13" s="413">
        <v>0</v>
      </c>
      <c r="C13" s="378" t="s">
        <v>235</v>
      </c>
      <c r="D13" s="375" t="s">
        <v>215</v>
      </c>
      <c r="E13" s="379" t="s">
        <v>216</v>
      </c>
      <c r="F13" s="379" t="s">
        <v>232</v>
      </c>
      <c r="G13" s="379" t="s">
        <v>253</v>
      </c>
      <c r="H13" s="377" t="s">
        <v>219</v>
      </c>
      <c r="I13" s="397">
        <v>216</v>
      </c>
    </row>
    <row r="14" spans="1:10" ht="16.8">
      <c r="A14" s="374" t="s">
        <v>83</v>
      </c>
      <c r="B14" s="413">
        <v>0</v>
      </c>
      <c r="C14" s="381" t="s">
        <v>235</v>
      </c>
      <c r="D14" s="375" t="s">
        <v>222</v>
      </c>
      <c r="E14" s="376" t="s">
        <v>216</v>
      </c>
      <c r="F14" s="377" t="s">
        <v>217</v>
      </c>
      <c r="G14" s="377" t="s">
        <v>227</v>
      </c>
      <c r="H14" s="377" t="s">
        <v>219</v>
      </c>
      <c r="I14" s="397">
        <v>235</v>
      </c>
    </row>
    <row r="15" spans="1:10" ht="16.8">
      <c r="A15" s="374" t="s">
        <v>247</v>
      </c>
      <c r="B15" s="413">
        <v>0</v>
      </c>
      <c r="C15" s="378" t="s">
        <v>235</v>
      </c>
      <c r="D15" s="380" t="s">
        <v>255</v>
      </c>
      <c r="E15" s="379" t="s">
        <v>216</v>
      </c>
      <c r="F15" s="379" t="s">
        <v>217</v>
      </c>
      <c r="G15" s="379" t="s">
        <v>233</v>
      </c>
      <c r="H15" s="377" t="s">
        <v>237</v>
      </c>
      <c r="I15" s="397">
        <v>190</v>
      </c>
    </row>
    <row r="16" spans="1:10" ht="16.8">
      <c r="A16" s="374" t="s">
        <v>248</v>
      </c>
      <c r="B16" s="413">
        <v>0</v>
      </c>
      <c r="C16" s="381" t="s">
        <v>235</v>
      </c>
      <c r="D16" s="375" t="s">
        <v>215</v>
      </c>
      <c r="E16" s="376" t="s">
        <v>216</v>
      </c>
      <c r="F16" s="377" t="s">
        <v>217</v>
      </c>
      <c r="G16" s="377" t="s">
        <v>227</v>
      </c>
      <c r="H16" s="377" t="s">
        <v>256</v>
      </c>
      <c r="I16" s="397">
        <v>108</v>
      </c>
      <c r="J16" s="373"/>
    </row>
    <row r="17" spans="1:9" ht="16.8">
      <c r="A17" s="374" t="s">
        <v>250</v>
      </c>
      <c r="B17" s="413">
        <v>0</v>
      </c>
      <c r="C17" s="378" t="s">
        <v>260</v>
      </c>
      <c r="D17" s="380" t="s">
        <v>215</v>
      </c>
      <c r="E17" s="379" t="s">
        <v>216</v>
      </c>
      <c r="F17" s="379" t="s">
        <v>261</v>
      </c>
      <c r="G17" s="379" t="s">
        <v>262</v>
      </c>
      <c r="H17" s="377" t="s">
        <v>219</v>
      </c>
      <c r="I17" s="397">
        <v>201</v>
      </c>
    </row>
    <row r="18" spans="1:9" ht="16.8">
      <c r="A18" s="374" t="s">
        <v>251</v>
      </c>
      <c r="B18" s="413">
        <v>0</v>
      </c>
      <c r="C18" s="385" t="s">
        <v>260</v>
      </c>
      <c r="D18" s="388" t="s">
        <v>215</v>
      </c>
      <c r="E18" s="386" t="s">
        <v>216</v>
      </c>
      <c r="F18" s="386" t="s">
        <v>151</v>
      </c>
      <c r="G18" s="386" t="s">
        <v>233</v>
      </c>
      <c r="H18" s="377" t="s">
        <v>219</v>
      </c>
      <c r="I18" s="397">
        <v>219</v>
      </c>
    </row>
    <row r="19" spans="1:9" ht="16.8">
      <c r="A19" s="374" t="s">
        <v>147</v>
      </c>
      <c r="B19" s="413">
        <v>0</v>
      </c>
      <c r="C19" s="385" t="s">
        <v>260</v>
      </c>
      <c r="D19" s="388" t="s">
        <v>215</v>
      </c>
      <c r="E19" s="386" t="s">
        <v>216</v>
      </c>
      <c r="F19" s="386" t="s">
        <v>258</v>
      </c>
      <c r="G19" s="386" t="s">
        <v>229</v>
      </c>
      <c r="H19" s="377" t="s">
        <v>219</v>
      </c>
      <c r="I19" s="397">
        <v>264</v>
      </c>
    </row>
    <row r="20" spans="1:9" ht="16.8">
      <c r="A20" s="382" t="s">
        <v>252</v>
      </c>
      <c r="B20" s="420">
        <v>0</v>
      </c>
      <c r="C20" s="389" t="s">
        <v>260</v>
      </c>
      <c r="D20" s="390" t="s">
        <v>238</v>
      </c>
      <c r="E20" s="391" t="s">
        <v>216</v>
      </c>
      <c r="F20" s="391" t="s">
        <v>225</v>
      </c>
      <c r="G20" s="391" t="s">
        <v>234</v>
      </c>
      <c r="H20" s="383" t="s">
        <v>219</v>
      </c>
      <c r="I20" s="387">
        <v>269</v>
      </c>
    </row>
    <row r="21" spans="1:9" ht="16.8">
      <c r="A21" s="398" t="s">
        <v>263</v>
      </c>
      <c r="B21" s="414">
        <v>1</v>
      </c>
      <c r="C21" s="385" t="s">
        <v>236</v>
      </c>
      <c r="D21" s="388" t="s">
        <v>231</v>
      </c>
      <c r="E21" s="386" t="s">
        <v>216</v>
      </c>
      <c r="F21" s="386" t="s">
        <v>217</v>
      </c>
      <c r="G21" s="386" t="s">
        <v>267</v>
      </c>
      <c r="H21" s="377" t="s">
        <v>219</v>
      </c>
      <c r="I21" s="415">
        <v>197</v>
      </c>
    </row>
    <row r="22" spans="1:9" ht="16.8">
      <c r="A22" s="398" t="s">
        <v>264</v>
      </c>
      <c r="B22" s="414">
        <v>1</v>
      </c>
      <c r="C22" s="385" t="s">
        <v>214</v>
      </c>
      <c r="D22" s="388" t="s">
        <v>238</v>
      </c>
      <c r="E22" s="386" t="s">
        <v>216</v>
      </c>
      <c r="F22" s="386" t="s">
        <v>226</v>
      </c>
      <c r="G22" s="386" t="s">
        <v>259</v>
      </c>
      <c r="H22" s="377" t="s">
        <v>219</v>
      </c>
      <c r="I22" s="415">
        <v>249</v>
      </c>
    </row>
    <row r="23" spans="1:9" ht="16.8">
      <c r="A23" s="398" t="s">
        <v>265</v>
      </c>
      <c r="B23" s="414">
        <v>1</v>
      </c>
      <c r="C23" s="385" t="s">
        <v>230</v>
      </c>
      <c r="D23" s="388" t="s">
        <v>222</v>
      </c>
      <c r="E23" s="386" t="s">
        <v>216</v>
      </c>
      <c r="F23" s="386" t="s">
        <v>217</v>
      </c>
      <c r="G23" s="386" t="s">
        <v>259</v>
      </c>
      <c r="H23" s="377" t="s">
        <v>219</v>
      </c>
      <c r="I23" s="415">
        <v>294</v>
      </c>
    </row>
    <row r="24" spans="1:9" ht="17.399999999999999" thickBot="1">
      <c r="A24" s="399" t="s">
        <v>266</v>
      </c>
      <c r="B24" s="416">
        <v>1</v>
      </c>
      <c r="C24" s="400" t="s">
        <v>236</v>
      </c>
      <c r="D24" s="401" t="s">
        <v>215</v>
      </c>
      <c r="E24" s="402" t="s">
        <v>216</v>
      </c>
      <c r="F24" s="402" t="s">
        <v>226</v>
      </c>
      <c r="G24" s="402" t="s">
        <v>257</v>
      </c>
      <c r="H24" s="402" t="s">
        <v>219</v>
      </c>
      <c r="I24" s="417">
        <v>226</v>
      </c>
    </row>
    <row r="25" spans="1:9" ht="16.2" thickTop="1"/>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D1EC9-ECEB-47A4-B92A-F46BEB4CA2F4}">
  <dimension ref="A1:Q15"/>
  <sheetViews>
    <sheetView showGridLines="0" workbookViewId="0"/>
  </sheetViews>
  <sheetFormatPr defaultColWidth="6.19921875" defaultRowHeight="16.8"/>
  <cols>
    <col min="1" max="1" width="20.69921875" style="81" bestFit="1" customWidth="1"/>
    <col min="2" max="2" width="6.19921875" style="81"/>
    <col min="3" max="3" width="8.8984375" style="81" bestFit="1" customWidth="1"/>
    <col min="4" max="4" width="4.09765625" style="81" bestFit="1" customWidth="1"/>
    <col min="5" max="5" width="6.296875" style="81" bestFit="1" customWidth="1"/>
    <col min="6" max="6" width="3.796875" style="81" customWidth="1"/>
    <col min="7" max="7" width="16.3984375" style="81" bestFit="1" customWidth="1"/>
    <col min="8" max="8" width="3.8984375" style="81" bestFit="1" customWidth="1"/>
    <col min="9" max="10" width="4.59765625" style="81" customWidth="1"/>
    <col min="11" max="11" width="4.09765625" style="81" bestFit="1" customWidth="1"/>
    <col min="12" max="19" width="3.8984375" style="81" bestFit="1" customWidth="1"/>
    <col min="20" max="16384" width="6.19921875" style="81"/>
  </cols>
  <sheetData>
    <row r="1" spans="1:17" ht="22.2" thickTop="1" thickBot="1">
      <c r="A1" s="449" t="s">
        <v>285</v>
      </c>
      <c r="B1" s="450"/>
      <c r="C1" s="450"/>
      <c r="D1" s="450"/>
      <c r="E1" s="451"/>
      <c r="F1" s="364"/>
      <c r="G1" s="364"/>
      <c r="H1" s="422" t="s">
        <v>268</v>
      </c>
      <c r="I1" s="423"/>
      <c r="J1" s="423"/>
      <c r="K1" s="423"/>
      <c r="L1" s="423"/>
      <c r="M1" s="423"/>
      <c r="N1" s="423"/>
      <c r="O1" s="423"/>
      <c r="P1" s="423"/>
      <c r="Q1" s="424"/>
    </row>
    <row r="2" spans="1:17" ht="18" thickTop="1" thickBot="1">
      <c r="A2" s="452" t="s">
        <v>76</v>
      </c>
      <c r="B2" s="453" t="s">
        <v>79</v>
      </c>
      <c r="C2" s="454" t="s">
        <v>286</v>
      </c>
      <c r="D2" s="454" t="s">
        <v>80</v>
      </c>
      <c r="E2" s="455" t="s">
        <v>81</v>
      </c>
      <c r="F2" s="364"/>
      <c r="G2" s="364"/>
      <c r="H2" s="425" t="s">
        <v>269</v>
      </c>
      <c r="I2" s="426" t="s">
        <v>270</v>
      </c>
      <c r="J2" s="426" t="s">
        <v>271</v>
      </c>
      <c r="K2" s="426" t="s">
        <v>272</v>
      </c>
      <c r="L2" s="427" t="s">
        <v>273</v>
      </c>
      <c r="M2" s="426" t="s">
        <v>274</v>
      </c>
      <c r="N2" s="426" t="s">
        <v>275</v>
      </c>
      <c r="O2" s="426" t="s">
        <v>276</v>
      </c>
      <c r="P2" s="427" t="s">
        <v>277</v>
      </c>
      <c r="Q2" s="428" t="s">
        <v>278</v>
      </c>
    </row>
    <row r="3" spans="1:17" ht="17.399999999999999" thickTop="1">
      <c r="A3" s="456" t="s">
        <v>251</v>
      </c>
      <c r="B3" s="457">
        <v>0</v>
      </c>
      <c r="C3" s="457">
        <v>0</v>
      </c>
      <c r="D3" s="458">
        <f>10+B3+C3+'Personal File'!$C$15</f>
        <v>12</v>
      </c>
      <c r="E3" s="459" t="s">
        <v>103</v>
      </c>
      <c r="F3" s="364"/>
      <c r="G3" s="429" t="s">
        <v>279</v>
      </c>
      <c r="H3" s="430">
        <v>3</v>
      </c>
      <c r="I3" s="431">
        <v>1</v>
      </c>
      <c r="J3" s="432">
        <v>0</v>
      </c>
      <c r="K3" s="432">
        <v>0</v>
      </c>
      <c r="L3" s="432">
        <v>0</v>
      </c>
      <c r="M3" s="432">
        <v>0</v>
      </c>
      <c r="N3" s="432">
        <v>0</v>
      </c>
      <c r="O3" s="432">
        <v>0</v>
      </c>
      <c r="P3" s="432">
        <v>0</v>
      </c>
      <c r="Q3" s="433">
        <v>0</v>
      </c>
    </row>
    <row r="4" spans="1:17">
      <c r="A4" s="456" t="s">
        <v>220</v>
      </c>
      <c r="B4" s="457">
        <v>0</v>
      </c>
      <c r="C4" s="457">
        <v>0</v>
      </c>
      <c r="D4" s="458">
        <f>10+B4+C4+'Personal File'!$C$15</f>
        <v>12</v>
      </c>
      <c r="E4" s="459" t="s">
        <v>103</v>
      </c>
      <c r="F4" s="364"/>
      <c r="G4" s="434" t="s">
        <v>280</v>
      </c>
      <c r="H4" s="435">
        <v>0</v>
      </c>
      <c r="I4" s="436">
        <v>1</v>
      </c>
      <c r="J4" s="437">
        <v>1</v>
      </c>
      <c r="K4" s="437">
        <v>0</v>
      </c>
      <c r="L4" s="437">
        <v>0</v>
      </c>
      <c r="M4" s="437">
        <v>0</v>
      </c>
      <c r="N4" s="437">
        <v>0</v>
      </c>
      <c r="O4" s="437">
        <v>0</v>
      </c>
      <c r="P4" s="437">
        <v>0</v>
      </c>
      <c r="Q4" s="438">
        <v>0</v>
      </c>
    </row>
    <row r="5" spans="1:17" ht="17.399999999999999" thickBot="1">
      <c r="A5" s="460" t="s">
        <v>249</v>
      </c>
      <c r="B5" s="461">
        <v>0</v>
      </c>
      <c r="C5" s="461">
        <v>0</v>
      </c>
      <c r="D5" s="462">
        <f>10+B5+C5+'Personal File'!$C$15</f>
        <v>12</v>
      </c>
      <c r="E5" s="463" t="s">
        <v>103</v>
      </c>
      <c r="F5" s="364"/>
      <c r="G5" s="439" t="s">
        <v>281</v>
      </c>
      <c r="H5" s="440">
        <f t="shared" ref="H5:I5" si="0">SUM(H3:H4)</f>
        <v>3</v>
      </c>
      <c r="I5" s="441">
        <f t="shared" si="0"/>
        <v>2</v>
      </c>
      <c r="J5" s="442">
        <v>0</v>
      </c>
      <c r="K5" s="442">
        <v>0</v>
      </c>
      <c r="L5" s="442">
        <v>0</v>
      </c>
      <c r="M5" s="442">
        <v>0</v>
      </c>
      <c r="N5" s="442">
        <v>0</v>
      </c>
      <c r="O5" s="442">
        <v>0</v>
      </c>
      <c r="P5" s="442">
        <v>0</v>
      </c>
      <c r="Q5" s="443">
        <v>0</v>
      </c>
    </row>
    <row r="6" spans="1:17" ht="17.399999999999999" thickBot="1">
      <c r="A6" s="456" t="s">
        <v>264</v>
      </c>
      <c r="B6" s="457">
        <v>1</v>
      </c>
      <c r="C6" s="457">
        <v>0</v>
      </c>
      <c r="D6" s="458">
        <f>10+B6+C6+'Personal File'!$C$15</f>
        <v>13</v>
      </c>
      <c r="E6" s="459" t="s">
        <v>103</v>
      </c>
      <c r="F6" s="364"/>
      <c r="G6" s="444" t="s">
        <v>282</v>
      </c>
      <c r="H6" s="445">
        <f>10+LEFT(H2,1)+'Personal File'!$C$15</f>
        <v>12</v>
      </c>
      <c r="I6" s="446">
        <f>10+LEFT(I2,1)+'Personal File'!$C$15</f>
        <v>13</v>
      </c>
      <c r="J6" s="447">
        <f>10+LEFT(J2,1)+'Personal File'!$C$15</f>
        <v>14</v>
      </c>
      <c r="K6" s="447">
        <f>10+LEFT(K2,1)+'Personal File'!$C$15</f>
        <v>15</v>
      </c>
      <c r="L6" s="447">
        <f>10+LEFT(L2,1)+'Personal File'!$C$15</f>
        <v>16</v>
      </c>
      <c r="M6" s="447">
        <f>10+LEFT(M2,1)+'Personal File'!$C$15</f>
        <v>17</v>
      </c>
      <c r="N6" s="447">
        <f>10+LEFT(N2,1)+'Personal File'!$C$15</f>
        <v>18</v>
      </c>
      <c r="O6" s="447">
        <f>10+LEFT(O2,1)+'Personal File'!$C$15</f>
        <v>19</v>
      </c>
      <c r="P6" s="447">
        <f>10+LEFT(P2,1)+'Personal File'!$C$15</f>
        <v>20</v>
      </c>
      <c r="Q6" s="448">
        <f>10+LEFT(Q2,1)+'Personal File'!$C$15</f>
        <v>21</v>
      </c>
    </row>
    <row r="7" spans="1:17" ht="18" thickTop="1" thickBot="1">
      <c r="A7" s="464" t="s">
        <v>263</v>
      </c>
      <c r="B7" s="465">
        <v>1</v>
      </c>
      <c r="C7" s="465">
        <v>0</v>
      </c>
      <c r="D7" s="466">
        <f>10+B7+C7+'Personal File'!$C$15</f>
        <v>13</v>
      </c>
      <c r="E7" s="467" t="s">
        <v>103</v>
      </c>
      <c r="F7" s="364"/>
      <c r="G7" s="298"/>
      <c r="H7" s="298"/>
      <c r="I7" s="298" t="s">
        <v>283</v>
      </c>
      <c r="J7" s="357">
        <f>'Personal File'!E4</f>
        <v>1</v>
      </c>
      <c r="K7" s="298"/>
      <c r="L7" s="298"/>
      <c r="M7" s="298"/>
      <c r="N7" s="298"/>
      <c r="O7" s="298"/>
      <c r="P7" s="298"/>
      <c r="Q7" s="298"/>
    </row>
    <row r="8" spans="1:17" ht="18" thickTop="1" thickBot="1"/>
    <row r="9" spans="1:17" ht="22.2" thickTop="1" thickBot="1">
      <c r="A9" s="267" t="s">
        <v>153</v>
      </c>
      <c r="B9" s="259"/>
      <c r="C9" s="259"/>
      <c r="D9" s="259"/>
      <c r="E9" s="260"/>
    </row>
    <row r="10" spans="1:17" ht="17.399999999999999" thickTop="1">
      <c r="A10" s="265" t="s">
        <v>76</v>
      </c>
      <c r="B10" s="269" t="s">
        <v>79</v>
      </c>
      <c r="C10" s="266" t="s">
        <v>144</v>
      </c>
      <c r="D10" s="266" t="s">
        <v>80</v>
      </c>
      <c r="E10" s="276" t="s">
        <v>81</v>
      </c>
    </row>
    <row r="11" spans="1:17">
      <c r="A11" s="261" t="s">
        <v>83</v>
      </c>
      <c r="B11" s="270">
        <v>0</v>
      </c>
      <c r="C11" s="262" t="s">
        <v>145</v>
      </c>
      <c r="D11" s="262">
        <f>10+B11+C11+'Personal File'!$C$15</f>
        <v>13</v>
      </c>
      <c r="E11" s="273" t="s">
        <v>103</v>
      </c>
    </row>
    <row r="12" spans="1:17">
      <c r="A12" s="263" t="s">
        <v>146</v>
      </c>
      <c r="B12" s="271">
        <v>0</v>
      </c>
      <c r="C12" s="194" t="s">
        <v>145</v>
      </c>
      <c r="D12" s="194">
        <f>10+B12+C12+'Personal File'!$C$15</f>
        <v>13</v>
      </c>
      <c r="E12" s="274" t="s">
        <v>103</v>
      </c>
    </row>
    <row r="13" spans="1:17">
      <c r="A13" s="263" t="s">
        <v>147</v>
      </c>
      <c r="B13" s="271">
        <v>0</v>
      </c>
      <c r="C13" s="194" t="s">
        <v>53</v>
      </c>
      <c r="D13" s="194">
        <f>10+B13+C13+'Personal File'!$C$15</f>
        <v>12</v>
      </c>
      <c r="E13" s="274" t="s">
        <v>103</v>
      </c>
    </row>
    <row r="14" spans="1:17" ht="17.399999999999999" thickBot="1">
      <c r="A14" s="264" t="s">
        <v>148</v>
      </c>
      <c r="B14" s="272">
        <v>1</v>
      </c>
      <c r="C14" s="258" t="s">
        <v>53</v>
      </c>
      <c r="D14" s="258">
        <f>10+B14+C14+'Personal File'!$C$15</f>
        <v>13</v>
      </c>
      <c r="E14" s="275" t="s">
        <v>103</v>
      </c>
    </row>
    <row r="15" spans="1:17" ht="17.399999999999999" thickTop="1"/>
  </sheetData>
  <conditionalFormatting sqref="E5:E7">
    <cfRule type="cellIs" dxfId="10" priority="224" operator="equal">
      <formula>"þ"</formula>
    </cfRule>
  </conditionalFormatting>
  <conditionalFormatting sqref="E3:E4">
    <cfRule type="cellIs" dxfId="9" priority="247" operator="equal">
      <formula>"þ"</formula>
    </cfRule>
  </conditionalFormatting>
  <conditionalFormatting sqref="E11:E14">
    <cfRule type="cellIs" dxfId="8" priority="1" operator="equal">
      <formula>"þ"</formula>
    </cfRule>
  </conditionalFormatting>
  <printOptions gridLinesSet="0"/>
  <pageMargins left="0.62" right="0.33" top="0.5" bottom="0.63" header="0.5" footer="0.5"/>
  <pageSetup orientation="portrait" horizontalDpi="120" verticalDpi="144"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5"/>
  <sheetViews>
    <sheetView showGridLines="0" workbookViewId="0"/>
  </sheetViews>
  <sheetFormatPr defaultColWidth="10.59765625" defaultRowHeight="16.8"/>
  <cols>
    <col min="1" max="1" width="31.5" style="82" bestFit="1" customWidth="1"/>
    <col min="2" max="2" width="2.59765625" style="80" customWidth="1"/>
    <col min="3" max="3" width="26.3984375" style="81" bestFit="1" customWidth="1"/>
    <col min="4" max="16384" width="10.59765625" style="81"/>
  </cols>
  <sheetData>
    <row r="1" spans="1:3" ht="24" thickTop="1" thickBot="1">
      <c r="A1" s="226" t="s">
        <v>73</v>
      </c>
      <c r="C1" s="342" t="s">
        <v>117</v>
      </c>
    </row>
    <row r="2" spans="1:3">
      <c r="A2" s="225" t="s">
        <v>121</v>
      </c>
      <c r="C2" s="305" t="s">
        <v>298</v>
      </c>
    </row>
    <row r="3" spans="1:3" ht="17.399999999999999" thickBot="1">
      <c r="A3" s="268" t="s">
        <v>203</v>
      </c>
      <c r="C3" s="491" t="str">
        <f>CONCATENATE("Trap Sense +",1)</f>
        <v>Trap Sense +1</v>
      </c>
    </row>
    <row r="4" spans="1:3" ht="18" thickTop="1" thickBot="1">
      <c r="C4" s="369" t="s">
        <v>199</v>
      </c>
    </row>
    <row r="5" spans="1:3" ht="24" thickTop="1" thickBot="1">
      <c r="A5" s="227" t="s">
        <v>71</v>
      </c>
      <c r="C5" s="306" t="s">
        <v>118</v>
      </c>
    </row>
    <row r="6" spans="1:3" ht="17.399999999999999" thickBot="1">
      <c r="A6" s="83" t="s">
        <v>101</v>
      </c>
    </row>
    <row r="7" spans="1:3" ht="24" thickTop="1" thickBot="1">
      <c r="A7" s="307" t="s">
        <v>122</v>
      </c>
      <c r="C7" s="421" t="s">
        <v>204</v>
      </c>
    </row>
    <row r="8" spans="1:3" ht="17.399999999999999" thickBot="1">
      <c r="A8" s="87" t="s">
        <v>100</v>
      </c>
      <c r="C8" s="225" t="s">
        <v>299</v>
      </c>
    </row>
    <row r="9" spans="1:3" ht="18" thickTop="1" thickBot="1">
      <c r="C9" s="372" t="s">
        <v>205</v>
      </c>
    </row>
    <row r="10" spans="1:3" ht="24" thickTop="1" thickBot="1">
      <c r="A10" s="229" t="s">
        <v>59</v>
      </c>
    </row>
    <row r="11" spans="1:3" ht="24" thickTop="1" thickBot="1">
      <c r="A11" s="84" t="s">
        <v>120</v>
      </c>
      <c r="C11" s="228" t="s">
        <v>84</v>
      </c>
    </row>
    <row r="12" spans="1:3" ht="17.399999999999999" thickBot="1">
      <c r="A12" s="86" t="s">
        <v>119</v>
      </c>
      <c r="C12" s="85" t="s">
        <v>91</v>
      </c>
    </row>
    <row r="13" spans="1:3" ht="17.399999999999999" thickTop="1">
      <c r="C13" s="88" t="s">
        <v>85</v>
      </c>
    </row>
    <row r="14" spans="1:3" ht="17.399999999999999" thickBot="1">
      <c r="C14" s="89" t="s">
        <v>86</v>
      </c>
    </row>
    <row r="15" spans="1:3" ht="17.399999999999999" thickTop="1"/>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0"/>
  <sheetViews>
    <sheetView showGridLines="0" workbookViewId="0"/>
  </sheetViews>
  <sheetFormatPr defaultColWidth="13" defaultRowHeight="15.6"/>
  <cols>
    <col min="1" max="1" width="20.8984375" style="27" bestFit="1" customWidth="1"/>
    <col min="2" max="2" width="8.5" style="27" bestFit="1" customWidth="1"/>
    <col min="3" max="3" width="4.296875" style="27" bestFit="1" customWidth="1"/>
    <col min="4" max="4" width="6.296875" style="27" bestFit="1" customWidth="1"/>
    <col min="5" max="5" width="8.09765625" style="27" bestFit="1" customWidth="1"/>
    <col min="6" max="6" width="8.3984375" style="27" bestFit="1" customWidth="1"/>
    <col min="7" max="7" width="4.69921875" style="27" bestFit="1" customWidth="1"/>
    <col min="8" max="8" width="5.69921875" style="27" bestFit="1" customWidth="1"/>
    <col min="9" max="9" width="5.59765625" style="27" bestFit="1" customWidth="1"/>
    <col min="10" max="10" width="6.296875" style="27" bestFit="1" customWidth="1"/>
    <col min="11" max="11" width="23.796875" style="27" bestFit="1" customWidth="1"/>
    <col min="12" max="12" width="3.3984375" style="22" customWidth="1"/>
    <col min="13" max="13" width="5.796875" style="209" bestFit="1" customWidth="1"/>
    <col min="14" max="14" width="7.69921875" style="27" bestFit="1" customWidth="1"/>
    <col min="15" max="16384" width="13" style="22"/>
  </cols>
  <sheetData>
    <row r="1" spans="1:14" ht="23.4" thickBot="1">
      <c r="A1" s="20" t="s">
        <v>14</v>
      </c>
      <c r="B1" s="20"/>
      <c r="C1" s="20"/>
      <c r="D1" s="20"/>
      <c r="E1" s="20"/>
      <c r="F1" s="20"/>
      <c r="G1" s="20"/>
      <c r="H1" s="20"/>
      <c r="I1" s="20"/>
      <c r="J1" s="20"/>
      <c r="K1" s="20"/>
    </row>
    <row r="2" spans="1:14" ht="16.8" thickTop="1" thickBot="1">
      <c r="A2" s="45" t="s">
        <v>0</v>
      </c>
      <c r="B2" s="46" t="s">
        <v>1</v>
      </c>
      <c r="C2" s="46" t="s">
        <v>16</v>
      </c>
      <c r="D2" s="46" t="s">
        <v>17</v>
      </c>
      <c r="E2" s="47" t="s">
        <v>55</v>
      </c>
      <c r="F2" s="46" t="s">
        <v>15</v>
      </c>
      <c r="G2" s="46" t="s">
        <v>18</v>
      </c>
      <c r="H2" s="48" t="s">
        <v>72</v>
      </c>
      <c r="I2" s="49" t="s">
        <v>75</v>
      </c>
      <c r="J2" s="48" t="s">
        <v>65</v>
      </c>
      <c r="K2" s="50" t="s">
        <v>63</v>
      </c>
      <c r="M2" s="210" t="s">
        <v>97</v>
      </c>
    </row>
    <row r="3" spans="1:14">
      <c r="A3" s="215" t="s">
        <v>124</v>
      </c>
      <c r="B3" s="6" t="s">
        <v>125</v>
      </c>
      <c r="C3" s="7" t="str">
        <f>'Personal File'!$C$12</f>
        <v>+0</v>
      </c>
      <c r="D3" s="8" t="s">
        <v>53</v>
      </c>
      <c r="E3" s="310" t="s">
        <v>128</v>
      </c>
      <c r="F3" s="9" t="s">
        <v>149</v>
      </c>
      <c r="G3" s="10">
        <v>1</v>
      </c>
      <c r="H3" s="206">
        <f>'Personal File'!$B$10+'Personal File'!$C$12+D3</f>
        <v>2</v>
      </c>
      <c r="I3" s="207">
        <f t="shared" ref="I3:I5" ca="1" si="0">RANDBETWEEN(1,20)</f>
        <v>3</v>
      </c>
      <c r="J3" s="208">
        <f t="shared" ref="J3" ca="1" si="1">I3+H3</f>
        <v>5</v>
      </c>
      <c r="K3" s="17"/>
      <c r="M3" s="211">
        <v>10</v>
      </c>
    </row>
    <row r="4" spans="1:14">
      <c r="A4" s="308" t="s">
        <v>126</v>
      </c>
      <c r="B4" s="287" t="s">
        <v>88</v>
      </c>
      <c r="C4" s="309" t="str">
        <f>'Personal File'!$C$12</f>
        <v>+0</v>
      </c>
      <c r="D4" s="310">
        <v>0</v>
      </c>
      <c r="E4" s="310" t="s">
        <v>128</v>
      </c>
      <c r="F4" s="311" t="s">
        <v>129</v>
      </c>
      <c r="G4" s="288">
        <v>0.5</v>
      </c>
      <c r="H4" s="315">
        <f>'Personal File'!$B$10+'Personal File'!$C$12+D4</f>
        <v>2</v>
      </c>
      <c r="I4" s="316">
        <f t="shared" ca="1" si="0"/>
        <v>15</v>
      </c>
      <c r="J4" s="317">
        <f t="shared" ref="J4:J5" ca="1" si="2">I4+H4</f>
        <v>17</v>
      </c>
      <c r="K4" s="318"/>
      <c r="M4" s="289">
        <v>2</v>
      </c>
    </row>
    <row r="5" spans="1:14">
      <c r="A5" s="308" t="s">
        <v>127</v>
      </c>
      <c r="B5" s="287" t="s">
        <v>88</v>
      </c>
      <c r="C5" s="309" t="str">
        <f>'Personal File'!$C$12</f>
        <v>+0</v>
      </c>
      <c r="D5" s="310">
        <v>0</v>
      </c>
      <c r="E5" s="310" t="s">
        <v>128</v>
      </c>
      <c r="F5" s="311" t="s">
        <v>129</v>
      </c>
      <c r="G5" s="288">
        <v>0.5</v>
      </c>
      <c r="H5" s="315">
        <f>'Personal File'!$B$10+'Personal File'!$C$12+D5</f>
        <v>2</v>
      </c>
      <c r="I5" s="316">
        <f t="shared" ca="1" si="0"/>
        <v>15</v>
      </c>
      <c r="J5" s="317">
        <f t="shared" ca="1" si="2"/>
        <v>17</v>
      </c>
      <c r="K5" s="318"/>
      <c r="M5" s="289">
        <v>2</v>
      </c>
    </row>
    <row r="6" spans="1:14" ht="16.2" thickBot="1">
      <c r="A6" s="11" t="s">
        <v>95</v>
      </c>
      <c r="B6" s="12" t="s">
        <v>88</v>
      </c>
      <c r="C6" s="13" t="str">
        <f>'Personal File'!$C$12</f>
        <v>+0</v>
      </c>
      <c r="D6" s="14" t="s">
        <v>53</v>
      </c>
      <c r="E6" s="14" t="s">
        <v>96</v>
      </c>
      <c r="F6" s="15" t="s">
        <v>87</v>
      </c>
      <c r="G6" s="16">
        <v>0</v>
      </c>
      <c r="H6" s="18">
        <f>'Personal File'!$B$10+'Personal File'!$C$12+D6</f>
        <v>2</v>
      </c>
      <c r="I6" s="51">
        <f t="shared" ref="I6" ca="1" si="3">RANDBETWEEN(1,20)</f>
        <v>4</v>
      </c>
      <c r="J6" s="52">
        <f t="shared" ref="J6" ca="1" si="4">I6+H6</f>
        <v>6</v>
      </c>
      <c r="K6" s="19" t="s">
        <v>85</v>
      </c>
      <c r="M6" s="221" t="s">
        <v>77</v>
      </c>
    </row>
    <row r="7" spans="1:14" ht="6" customHeight="1" thickTop="1" thickBot="1">
      <c r="I7" s="53"/>
      <c r="J7" s="53"/>
      <c r="M7" s="214"/>
    </row>
    <row r="8" spans="1:14" ht="16.8" thickTop="1" thickBot="1">
      <c r="A8" s="45" t="s">
        <v>3</v>
      </c>
      <c r="B8" s="46" t="s">
        <v>4</v>
      </c>
      <c r="C8" s="46" t="s">
        <v>16</v>
      </c>
      <c r="D8" s="46" t="s">
        <v>17</v>
      </c>
      <c r="E8" s="47" t="s">
        <v>55</v>
      </c>
      <c r="F8" s="46" t="s">
        <v>5</v>
      </c>
      <c r="G8" s="46" t="s">
        <v>18</v>
      </c>
      <c r="H8" s="48" t="s">
        <v>72</v>
      </c>
      <c r="I8" s="49" t="s">
        <v>75</v>
      </c>
      <c r="J8" s="48" t="s">
        <v>65</v>
      </c>
      <c r="K8" s="50" t="s">
        <v>63</v>
      </c>
      <c r="M8" s="210" t="s">
        <v>97</v>
      </c>
    </row>
    <row r="9" spans="1:14">
      <c r="A9" s="481" t="s">
        <v>104</v>
      </c>
      <c r="B9" s="482" t="s">
        <v>77</v>
      </c>
      <c r="C9" s="483" t="s">
        <v>77</v>
      </c>
      <c r="D9" s="484" t="s">
        <v>53</v>
      </c>
      <c r="E9" s="484" t="s">
        <v>77</v>
      </c>
      <c r="F9" s="485" t="s">
        <v>77</v>
      </c>
      <c r="G9" s="486" t="s">
        <v>77</v>
      </c>
      <c r="H9" s="487">
        <f>'Personal File'!$B$10+'Personal File'!$C$13+D9</f>
        <v>5</v>
      </c>
      <c r="I9" s="242">
        <f t="shared" ref="I9:I10" ca="1" si="5">RANDBETWEEN(1,20)</f>
        <v>18</v>
      </c>
      <c r="J9" s="488">
        <f t="shared" ref="J9" ca="1" si="6">I9+H9</f>
        <v>23</v>
      </c>
      <c r="K9" s="489" t="s">
        <v>85</v>
      </c>
      <c r="L9" s="220"/>
      <c r="M9" s="490" t="s">
        <v>77</v>
      </c>
    </row>
    <row r="10" spans="1:14" s="222" customFormat="1">
      <c r="A10" s="308" t="s">
        <v>123</v>
      </c>
      <c r="B10" s="287" t="s">
        <v>125</v>
      </c>
      <c r="C10" s="309">
        <v>0</v>
      </c>
      <c r="D10" s="310" t="s">
        <v>53</v>
      </c>
      <c r="E10" s="310" t="s">
        <v>150</v>
      </c>
      <c r="F10" s="311" t="s">
        <v>151</v>
      </c>
      <c r="G10" s="288">
        <v>1</v>
      </c>
      <c r="H10" s="312">
        <v>2</v>
      </c>
      <c r="I10" s="242">
        <f t="shared" ca="1" si="5"/>
        <v>17</v>
      </c>
      <c r="J10" s="312">
        <f t="shared" ref="J10:J11" ca="1" si="7">I10+H10</f>
        <v>19</v>
      </c>
      <c r="K10" s="313"/>
      <c r="L10" s="220"/>
      <c r="M10" s="289">
        <v>30</v>
      </c>
      <c r="N10" s="241"/>
    </row>
    <row r="11" spans="1:14" ht="16.2" thickBot="1">
      <c r="A11" s="11"/>
      <c r="B11" s="12"/>
      <c r="C11" s="75"/>
      <c r="D11" s="75"/>
      <c r="E11" s="12"/>
      <c r="F11" s="75"/>
      <c r="G11" s="16"/>
      <c r="H11" s="52"/>
      <c r="I11" s="243">
        <f t="shared" ref="I11" ca="1" si="8">RANDBETWEEN(1,20)</f>
        <v>19</v>
      </c>
      <c r="J11" s="52">
        <f t="shared" ca="1" si="7"/>
        <v>19</v>
      </c>
      <c r="K11" s="314"/>
      <c r="L11" s="220"/>
      <c r="M11" s="213" t="s">
        <v>77</v>
      </c>
    </row>
    <row r="12" spans="1:14" ht="6" customHeight="1" thickTop="1" thickBot="1">
      <c r="D12" s="54"/>
      <c r="E12" s="54"/>
      <c r="G12" s="44"/>
      <c r="H12" s="44"/>
      <c r="I12" s="53"/>
      <c r="J12" s="44"/>
      <c r="M12" s="214"/>
    </row>
    <row r="13" spans="1:14" ht="16.8" thickTop="1" thickBot="1">
      <c r="A13" s="45" t="s">
        <v>57</v>
      </c>
      <c r="B13" s="46" t="s">
        <v>8</v>
      </c>
      <c r="C13" s="46" t="s">
        <v>25</v>
      </c>
      <c r="D13" s="46" t="s">
        <v>65</v>
      </c>
      <c r="E13" s="46" t="s">
        <v>66</v>
      </c>
      <c r="F13" s="46" t="s">
        <v>67</v>
      </c>
      <c r="G13" s="46" t="s">
        <v>18</v>
      </c>
      <c r="H13" s="55" t="s">
        <v>63</v>
      </c>
      <c r="I13" s="56"/>
      <c r="J13" s="56"/>
      <c r="K13" s="57"/>
      <c r="M13" s="210" t="s">
        <v>97</v>
      </c>
    </row>
    <row r="14" spans="1:14">
      <c r="A14" s="278" t="s">
        <v>289</v>
      </c>
      <c r="B14" s="279">
        <v>4</v>
      </c>
      <c r="C14" s="280">
        <f>4+2</f>
        <v>6</v>
      </c>
      <c r="D14" s="279">
        <f>-2+2</f>
        <v>0</v>
      </c>
      <c r="E14" s="281">
        <f>0.2-0.1</f>
        <v>0.1</v>
      </c>
      <c r="F14" s="282" t="s">
        <v>114</v>
      </c>
      <c r="G14" s="468">
        <v>6.25</v>
      </c>
      <c r="H14" s="283"/>
      <c r="I14" s="284"/>
      <c r="J14" s="284"/>
      <c r="K14" s="285"/>
      <c r="M14" s="286">
        <v>1100</v>
      </c>
      <c r="N14" s="220"/>
    </row>
    <row r="15" spans="1:14">
      <c r="A15" s="471" t="s">
        <v>264</v>
      </c>
      <c r="B15" s="472" t="s">
        <v>306</v>
      </c>
      <c r="C15" s="473" t="s">
        <v>77</v>
      </c>
      <c r="D15" s="472" t="s">
        <v>77</v>
      </c>
      <c r="E15" s="474" t="s">
        <v>77</v>
      </c>
      <c r="F15" s="475" t="s">
        <v>77</v>
      </c>
      <c r="G15" s="476" t="s">
        <v>77</v>
      </c>
      <c r="H15" s="477"/>
      <c r="I15" s="478"/>
      <c r="J15" s="478"/>
      <c r="K15" s="479"/>
      <c r="M15" s="480" t="s">
        <v>77</v>
      </c>
      <c r="N15" s="220"/>
    </row>
    <row r="16" spans="1:14" ht="16.2" thickBot="1">
      <c r="A16" s="11"/>
      <c r="B16" s="12"/>
      <c r="C16" s="58"/>
      <c r="D16" s="12"/>
      <c r="E16" s="257"/>
      <c r="F16" s="12"/>
      <c r="G16" s="16"/>
      <c r="H16" s="59"/>
      <c r="I16" s="60"/>
      <c r="J16" s="60"/>
      <c r="K16" s="61"/>
      <c r="M16" s="213"/>
    </row>
    <row r="17" spans="1:14" ht="6.75" customHeight="1" thickTop="1" thickBot="1">
      <c r="M17" s="214"/>
    </row>
    <row r="18" spans="1:14" ht="16.8" thickTop="1" thickBot="1">
      <c r="A18" s="62"/>
      <c r="B18" s="44"/>
      <c r="D18" s="63" t="s">
        <v>58</v>
      </c>
      <c r="E18" s="64"/>
      <c r="F18" s="55" t="s">
        <v>2</v>
      </c>
      <c r="G18" s="46" t="s">
        <v>18</v>
      </c>
      <c r="H18" s="48" t="s">
        <v>72</v>
      </c>
      <c r="I18" s="55" t="s">
        <v>63</v>
      </c>
      <c r="J18" s="56"/>
      <c r="K18" s="57"/>
      <c r="M18" s="210" t="s">
        <v>97</v>
      </c>
    </row>
    <row r="19" spans="1:14">
      <c r="A19" s="62"/>
      <c r="B19" s="248"/>
      <c r="D19" s="65" t="s">
        <v>130</v>
      </c>
      <c r="E19" s="66"/>
      <c r="F19" s="67">
        <v>20</v>
      </c>
      <c r="G19" s="10">
        <f>F19*3/(2*20)</f>
        <v>1.5</v>
      </c>
      <c r="H19" s="68" t="s">
        <v>53</v>
      </c>
      <c r="I19" s="69"/>
      <c r="J19" s="70"/>
      <c r="K19" s="71"/>
      <c r="M19" s="328">
        <f>F19/20</f>
        <v>1</v>
      </c>
    </row>
    <row r="20" spans="1:14" ht="16.2" thickBot="1">
      <c r="A20" s="62"/>
      <c r="B20" s="248"/>
      <c r="D20" s="72"/>
      <c r="E20" s="73"/>
      <c r="F20" s="74"/>
      <c r="G20" s="16"/>
      <c r="H20" s="75"/>
      <c r="I20" s="76"/>
      <c r="J20" s="77"/>
      <c r="K20" s="61"/>
      <c r="M20" s="213"/>
    </row>
    <row r="21" spans="1:14" ht="16.8" thickTop="1" thickBot="1">
      <c r="B21" s="22"/>
    </row>
    <row r="22" spans="1:14" ht="16.8" thickTop="1" thickBot="1">
      <c r="B22" s="22"/>
      <c r="D22" s="63" t="s">
        <v>94</v>
      </c>
      <c r="E22" s="56"/>
      <c r="F22" s="56"/>
      <c r="G22" s="78" t="s">
        <v>2</v>
      </c>
      <c r="H22" s="78" t="s">
        <v>79</v>
      </c>
      <c r="I22" s="78" t="s">
        <v>90</v>
      </c>
      <c r="J22" s="79" t="s">
        <v>63</v>
      </c>
      <c r="K22" s="57"/>
      <c r="M22" s="210" t="s">
        <v>97</v>
      </c>
    </row>
    <row r="23" spans="1:14">
      <c r="B23" s="22"/>
      <c r="D23" s="196"/>
      <c r="E23" s="197"/>
      <c r="F23" s="197"/>
      <c r="G23" s="198"/>
      <c r="H23" s="198"/>
      <c r="I23" s="198"/>
      <c r="J23" s="199"/>
      <c r="K23" s="200"/>
      <c r="L23" s="201"/>
      <c r="M23" s="212"/>
      <c r="N23" s="22"/>
    </row>
    <row r="24" spans="1:14" ht="16.2" thickBot="1">
      <c r="A24" s="22"/>
      <c r="B24" s="22"/>
      <c r="D24" s="202"/>
      <c r="E24" s="203"/>
      <c r="F24" s="203"/>
      <c r="G24" s="12"/>
      <c r="H24" s="12"/>
      <c r="I24" s="12"/>
      <c r="J24" s="204"/>
      <c r="K24" s="205"/>
      <c r="M24" s="213"/>
      <c r="N24" s="53"/>
    </row>
    <row r="25" spans="1:14" ht="16.2" thickTop="1">
      <c r="A25" s="22"/>
      <c r="B25" s="22"/>
    </row>
    <row r="26" spans="1:14">
      <c r="A26" s="22"/>
      <c r="B26" s="22"/>
    </row>
    <row r="27" spans="1:14">
      <c r="A27" s="22"/>
      <c r="B27" s="22"/>
    </row>
    <row r="28" spans="1:14">
      <c r="A28" s="22"/>
      <c r="B28" s="22"/>
    </row>
    <row r="29" spans="1:14">
      <c r="A29" s="22"/>
      <c r="B29" s="22"/>
    </row>
    <row r="30" spans="1:14">
      <c r="A30" s="22"/>
      <c r="B30" s="22"/>
    </row>
  </sheetData>
  <sortState xmlns:xlrd2="http://schemas.microsoft.com/office/spreadsheetml/2017/richdata2" ref="D20:K34">
    <sortCondition ref="I20:I34"/>
    <sortCondition ref="D20:D34"/>
  </sortState>
  <phoneticPr fontId="0" type="noConversion"/>
  <conditionalFormatting sqref="I6">
    <cfRule type="cellIs" dxfId="7" priority="13" operator="equal">
      <formula>20</formula>
    </cfRule>
    <cfRule type="cellIs" dxfId="6" priority="14" operator="equal">
      <formula>1</formula>
    </cfRule>
  </conditionalFormatting>
  <conditionalFormatting sqref="I11">
    <cfRule type="cellIs" dxfId="5" priority="9" operator="equal">
      <formula>20</formula>
    </cfRule>
    <cfRule type="cellIs" dxfId="4" priority="10" operator="equal">
      <formula>1</formula>
    </cfRule>
  </conditionalFormatting>
  <conditionalFormatting sqref="I3:I5">
    <cfRule type="cellIs" dxfId="3" priority="3" operator="equal">
      <formula>20</formula>
    </cfRule>
    <cfRule type="cellIs" dxfId="2" priority="4" operator="equal">
      <formula>1</formula>
    </cfRule>
  </conditionalFormatting>
  <conditionalFormatting sqref="I9:I10">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1"/>
  <sheetViews>
    <sheetView showGridLines="0" workbookViewId="0"/>
  </sheetViews>
  <sheetFormatPr defaultColWidth="8.59765625" defaultRowHeight="15.6"/>
  <cols>
    <col min="1" max="1" width="17.3984375" style="27" bestFit="1" customWidth="1"/>
    <col min="2" max="2" width="4.69921875" style="27" bestFit="1" customWidth="1"/>
    <col min="3" max="3" width="4.3984375" style="44" bestFit="1" customWidth="1"/>
    <col min="4" max="5" width="22.3984375" style="22" customWidth="1"/>
    <col min="6" max="6" width="2.3984375" style="22" customWidth="1"/>
    <col min="7" max="7" width="7.296875" style="22" bestFit="1" customWidth="1"/>
    <col min="8" max="16384" width="8.59765625" style="22"/>
  </cols>
  <sheetData>
    <row r="1" spans="1:7" ht="23.4" thickBot="1">
      <c r="A1" s="20" t="s">
        <v>60</v>
      </c>
      <c r="B1" s="20"/>
      <c r="C1" s="21"/>
      <c r="D1" s="20"/>
      <c r="E1" s="20"/>
    </row>
    <row r="2" spans="1:7" s="27" customFormat="1" ht="16.8" thickTop="1" thickBot="1">
      <c r="A2" s="23" t="s">
        <v>61</v>
      </c>
      <c r="B2" s="23" t="s">
        <v>2</v>
      </c>
      <c r="C2" s="24" t="s">
        <v>18</v>
      </c>
      <c r="D2" s="25" t="s">
        <v>62</v>
      </c>
      <c r="E2" s="26" t="s">
        <v>63</v>
      </c>
      <c r="G2" s="249" t="s">
        <v>97</v>
      </c>
    </row>
    <row r="3" spans="1:7">
      <c r="A3" s="494" t="s">
        <v>300</v>
      </c>
      <c r="B3" s="31">
        <v>1</v>
      </c>
      <c r="C3" s="495" t="s">
        <v>305</v>
      </c>
      <c r="D3" s="517" t="s">
        <v>304</v>
      </c>
      <c r="E3" s="32"/>
      <c r="G3" s="497">
        <v>500</v>
      </c>
    </row>
    <row r="4" spans="1:7">
      <c r="A4" s="494" t="s">
        <v>301</v>
      </c>
      <c r="B4" s="31">
        <v>1</v>
      </c>
      <c r="C4" s="495">
        <v>1</v>
      </c>
      <c r="D4" s="496"/>
      <c r="E4" s="32"/>
      <c r="G4" s="497">
        <v>750</v>
      </c>
    </row>
    <row r="5" spans="1:7" ht="16.2" thickBot="1">
      <c r="A5" s="34" t="s">
        <v>92</v>
      </c>
      <c r="B5" s="35">
        <v>1</v>
      </c>
      <c r="C5" s="36">
        <v>1</v>
      </c>
      <c r="D5" s="37"/>
      <c r="E5" s="38"/>
      <c r="G5" s="251">
        <v>2</v>
      </c>
    </row>
    <row r="6" spans="1:7" ht="24" thickTop="1" thickBot="1">
      <c r="A6" s="20" t="s">
        <v>64</v>
      </c>
      <c r="B6" s="20"/>
      <c r="C6" s="39"/>
      <c r="D6" s="20"/>
      <c r="E6" s="40"/>
      <c r="G6" s="39"/>
    </row>
    <row r="7" spans="1:7" ht="16.8" thickTop="1" thickBot="1">
      <c r="A7" s="23" t="s">
        <v>61</v>
      </c>
      <c r="B7" s="23" t="s">
        <v>2</v>
      </c>
      <c r="C7" s="24" t="s">
        <v>18</v>
      </c>
      <c r="D7" s="25" t="s">
        <v>62</v>
      </c>
      <c r="E7" s="26" t="s">
        <v>63</v>
      </c>
      <c r="G7" s="249" t="s">
        <v>97</v>
      </c>
    </row>
    <row r="8" spans="1:7">
      <c r="A8" s="41" t="s">
        <v>133</v>
      </c>
      <c r="B8" s="28">
        <v>1</v>
      </c>
      <c r="C8" s="42">
        <v>0.5</v>
      </c>
      <c r="D8" s="43"/>
      <c r="E8" s="29"/>
      <c r="G8" s="252">
        <v>1</v>
      </c>
    </row>
    <row r="9" spans="1:7">
      <c r="A9" s="336" t="s">
        <v>152</v>
      </c>
      <c r="B9" s="337">
        <v>1</v>
      </c>
      <c r="C9" s="338">
        <v>3</v>
      </c>
      <c r="D9" s="339"/>
      <c r="E9" s="340"/>
      <c r="G9" s="341">
        <v>11</v>
      </c>
    </row>
    <row r="10" spans="1:7">
      <c r="A10" s="336" t="s">
        <v>291</v>
      </c>
      <c r="B10" s="337">
        <v>1</v>
      </c>
      <c r="C10" s="338">
        <v>15</v>
      </c>
      <c r="D10" s="339"/>
      <c r="E10" s="340"/>
      <c r="G10" s="341">
        <v>75</v>
      </c>
    </row>
    <row r="11" spans="1:7">
      <c r="A11" s="336" t="s">
        <v>292</v>
      </c>
      <c r="B11" s="337">
        <v>1</v>
      </c>
      <c r="C11" s="338">
        <v>1</v>
      </c>
      <c r="D11" s="339"/>
      <c r="E11" s="340"/>
      <c r="G11" s="341">
        <v>15</v>
      </c>
    </row>
    <row r="12" spans="1:7">
      <c r="A12" s="30" t="s">
        <v>134</v>
      </c>
      <c r="B12" s="31">
        <v>1</v>
      </c>
      <c r="C12" s="33">
        <v>0</v>
      </c>
      <c r="D12" s="195"/>
      <c r="E12" s="32"/>
      <c r="G12" s="250">
        <v>1</v>
      </c>
    </row>
    <row r="13" spans="1:7">
      <c r="A13" s="30" t="s">
        <v>136</v>
      </c>
      <c r="B13" s="31">
        <v>5</v>
      </c>
      <c r="C13" s="33">
        <f>B13*(5*0.05)</f>
        <v>1.25</v>
      </c>
      <c r="D13" s="195"/>
      <c r="E13" s="32"/>
      <c r="G13" s="250">
        <f>B13</f>
        <v>5</v>
      </c>
    </row>
    <row r="14" spans="1:7">
      <c r="A14" s="30" t="s">
        <v>135</v>
      </c>
      <c r="B14" s="31">
        <v>1</v>
      </c>
      <c r="C14" s="33">
        <f>B14</f>
        <v>1</v>
      </c>
      <c r="D14" s="195"/>
      <c r="E14" s="32"/>
      <c r="G14" s="250">
        <f>B14*4</f>
        <v>4</v>
      </c>
    </row>
    <row r="15" spans="1:7">
      <c r="A15" s="30" t="s">
        <v>287</v>
      </c>
      <c r="B15" s="31">
        <v>1</v>
      </c>
      <c r="C15" s="33">
        <v>0</v>
      </c>
      <c r="D15" s="195"/>
      <c r="E15" s="32"/>
      <c r="G15" s="330">
        <v>0.05</v>
      </c>
    </row>
    <row r="16" spans="1:7">
      <c r="A16" s="30" t="s">
        <v>288</v>
      </c>
      <c r="B16" s="31">
        <v>1</v>
      </c>
      <c r="C16" s="33">
        <v>0</v>
      </c>
      <c r="D16" s="195"/>
      <c r="E16" s="32"/>
      <c r="G16" s="250">
        <v>8</v>
      </c>
    </row>
    <row r="17" spans="1:7">
      <c r="A17" s="30" t="s">
        <v>137</v>
      </c>
      <c r="B17" s="31">
        <v>5</v>
      </c>
      <c r="C17" s="33">
        <v>0</v>
      </c>
      <c r="D17" s="195"/>
      <c r="E17" s="32"/>
      <c r="G17" s="250">
        <f>100*B17</f>
        <v>500</v>
      </c>
    </row>
    <row r="18" spans="1:7">
      <c r="A18" s="30" t="s">
        <v>89</v>
      </c>
      <c r="B18" s="31">
        <v>45</v>
      </c>
      <c r="C18" s="329">
        <f>B18*0.01</f>
        <v>0.45</v>
      </c>
      <c r="D18" s="195"/>
      <c r="E18" s="32"/>
      <c r="G18" s="250">
        <f>B18</f>
        <v>45</v>
      </c>
    </row>
    <row r="19" spans="1:7">
      <c r="A19" s="30" t="s">
        <v>138</v>
      </c>
      <c r="B19" s="31">
        <v>9</v>
      </c>
      <c r="C19" s="329">
        <f>B19*0.0075</f>
        <v>6.7500000000000004E-2</v>
      </c>
      <c r="D19" s="195"/>
      <c r="E19" s="32"/>
      <c r="G19" s="330">
        <f>B19/20</f>
        <v>0.45</v>
      </c>
    </row>
    <row r="20" spans="1:7">
      <c r="A20" s="30" t="s">
        <v>139</v>
      </c>
      <c r="B20" s="31">
        <v>10</v>
      </c>
      <c r="C20" s="329">
        <f>B20*0.005</f>
        <v>0.05</v>
      </c>
      <c r="D20" s="195"/>
      <c r="E20" s="32"/>
      <c r="G20" s="330">
        <f>B20/100</f>
        <v>0.1</v>
      </c>
    </row>
    <row r="21" spans="1:7">
      <c r="A21" s="30" t="s">
        <v>132</v>
      </c>
      <c r="B21" s="31">
        <v>1</v>
      </c>
      <c r="C21" s="329">
        <v>1.25</v>
      </c>
      <c r="D21" s="195"/>
      <c r="E21" s="32"/>
      <c r="G21" s="330">
        <v>0.05</v>
      </c>
    </row>
    <row r="22" spans="1:7" ht="16.2" thickBot="1">
      <c r="A22" s="34" t="s">
        <v>131</v>
      </c>
      <c r="B22" s="35">
        <v>1</v>
      </c>
      <c r="C22" s="36">
        <v>1</v>
      </c>
      <c r="D22" s="37"/>
      <c r="E22" s="38"/>
      <c r="G22" s="251">
        <v>30</v>
      </c>
    </row>
    <row r="23" spans="1:7" ht="22.8" thickTop="1" thickBot="1">
      <c r="A23" s="498"/>
      <c r="B23" s="498"/>
      <c r="C23" s="498"/>
      <c r="D23" s="499" t="s">
        <v>302</v>
      </c>
      <c r="E23" s="500"/>
      <c r="F23" s="357"/>
      <c r="G23" s="357">
        <v>2000</v>
      </c>
    </row>
    <row r="24" spans="1:7" ht="16.8" thickTop="1" thickBot="1">
      <c r="A24" s="23" t="s">
        <v>61</v>
      </c>
      <c r="B24" s="23" t="s">
        <v>2</v>
      </c>
      <c r="C24" s="24" t="s">
        <v>18</v>
      </c>
      <c r="D24" s="25" t="s">
        <v>62</v>
      </c>
      <c r="E24" s="26" t="s">
        <v>63</v>
      </c>
      <c r="F24" s="357"/>
      <c r="G24" s="249" t="s">
        <v>97</v>
      </c>
    </row>
    <row r="25" spans="1:7">
      <c r="A25" s="501"/>
      <c r="B25" s="502"/>
      <c r="C25" s="503"/>
      <c r="D25" s="504"/>
      <c r="E25" s="505"/>
      <c r="F25" s="357"/>
      <c r="G25" s="506"/>
    </row>
    <row r="26" spans="1:7">
      <c r="A26" s="507"/>
      <c r="B26" s="508"/>
      <c r="C26" s="495"/>
      <c r="D26" s="509"/>
      <c r="E26" s="510"/>
      <c r="F26"/>
      <c r="G26" s="497"/>
    </row>
    <row r="27" spans="1:7">
      <c r="A27" s="507"/>
      <c r="B27" s="508"/>
      <c r="C27" s="495"/>
      <c r="D27" s="509"/>
      <c r="E27" s="510"/>
      <c r="F27"/>
      <c r="G27" s="497"/>
    </row>
    <row r="28" spans="1:7">
      <c r="A28" s="507"/>
      <c r="B28" s="508"/>
      <c r="C28" s="495"/>
      <c r="D28" s="509"/>
      <c r="E28" s="510"/>
      <c r="F28"/>
      <c r="G28" s="497"/>
    </row>
    <row r="29" spans="1:7">
      <c r="A29" s="507"/>
      <c r="B29" s="508"/>
      <c r="C29" s="495"/>
      <c r="D29" s="509"/>
      <c r="E29" s="510"/>
      <c r="F29"/>
      <c r="G29" s="497"/>
    </row>
    <row r="30" spans="1:7">
      <c r="A30" s="507"/>
      <c r="B30" s="508"/>
      <c r="C30" s="495"/>
      <c r="D30" s="509"/>
      <c r="E30" s="510"/>
      <c r="F30"/>
      <c r="G30" s="497"/>
    </row>
    <row r="31" spans="1:7">
      <c r="A31" s="507"/>
      <c r="B31" s="508"/>
      <c r="C31" s="495"/>
      <c r="D31" s="509"/>
      <c r="E31" s="510"/>
      <c r="F31"/>
      <c r="G31" s="497"/>
    </row>
    <row r="32" spans="1:7">
      <c r="A32" s="507"/>
      <c r="B32" s="508"/>
      <c r="C32" s="495"/>
      <c r="D32" s="509"/>
      <c r="E32" s="510"/>
      <c r="F32"/>
      <c r="G32" s="497"/>
    </row>
    <row r="33" spans="1:7">
      <c r="A33" s="507"/>
      <c r="B33" s="508"/>
      <c r="C33" s="495"/>
      <c r="D33" s="509"/>
      <c r="E33" s="510"/>
      <c r="F33"/>
      <c r="G33" s="497"/>
    </row>
    <row r="34" spans="1:7">
      <c r="A34" s="507"/>
      <c r="B34" s="508"/>
      <c r="C34" s="495"/>
      <c r="D34" s="509"/>
      <c r="E34" s="510"/>
      <c r="F34"/>
      <c r="G34" s="497"/>
    </row>
    <row r="35" spans="1:7">
      <c r="A35" s="507"/>
      <c r="B35" s="508"/>
      <c r="C35" s="495"/>
      <c r="D35" s="509"/>
      <c r="E35" s="510"/>
      <c r="F35"/>
      <c r="G35" s="497"/>
    </row>
    <row r="36" spans="1:7">
      <c r="A36" s="507"/>
      <c r="B36" s="508"/>
      <c r="C36" s="495"/>
      <c r="D36" s="509"/>
      <c r="E36" s="510"/>
      <c r="F36"/>
      <c r="G36" s="497"/>
    </row>
    <row r="37" spans="1:7">
      <c r="A37" s="507"/>
      <c r="B37" s="508"/>
      <c r="C37" s="495"/>
      <c r="D37" s="509"/>
      <c r="E37" s="510"/>
      <c r="F37"/>
      <c r="G37" s="497"/>
    </row>
    <row r="38" spans="1:7" ht="16.2" thickBot="1">
      <c r="A38" s="511"/>
      <c r="B38" s="512"/>
      <c r="C38" s="513"/>
      <c r="D38" s="514"/>
      <c r="E38" s="515"/>
      <c r="F38" s="357"/>
      <c r="G38" s="516"/>
    </row>
    <row r="39" spans="1:7" ht="16.8" thickTop="1" thickBot="1">
      <c r="A39" s="519" t="s">
        <v>303</v>
      </c>
      <c r="B39" s="520">
        <f>C39/250</f>
        <v>0</v>
      </c>
      <c r="C39" s="24">
        <f>SUM(C25:C38)</f>
        <v>0</v>
      </c>
    </row>
    <row r="40" spans="1:7">
      <c r="E40" s="145" t="s">
        <v>308</v>
      </c>
      <c r="F40" s="201"/>
      <c r="G40" s="518">
        <f>SUM(G3:G38,Martial!M3:M24)</f>
        <v>5092.6499999999996</v>
      </c>
    </row>
    <row r="41" spans="1:7">
      <c r="E41" s="298" t="s">
        <v>307</v>
      </c>
      <c r="F41" s="357"/>
      <c r="G41" s="518">
        <v>5400</v>
      </c>
    </row>
  </sheetData>
  <sortState xmlns:xlrd2="http://schemas.microsoft.com/office/spreadsheetml/2017/richdata2" ref="A53:D65">
    <sortCondition ref="A53:A65"/>
  </sortState>
  <phoneticPr fontId="0" type="noConversion"/>
  <hyperlinks>
    <hyperlink ref="D3" r:id="rId1" xr:uid="{E6BCA904-4C8A-4EB1-B935-2F1AD3DBC9A9}"/>
  </hyperlinks>
  <printOptions gridLinesSet="0"/>
  <pageMargins left="0.62" right="0.33" top="0.5" bottom="0.63" header="0.5" footer="0.5"/>
  <pageSetup orientation="portrait" horizontalDpi="120" verticalDpi="144" r:id="rId2"/>
  <headerFooter alignWithMargins="0"/>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853F1-AFCF-4263-8F99-8AA77722313A}">
  <dimension ref="A1:C17"/>
  <sheetViews>
    <sheetView showGridLines="0" workbookViewId="0"/>
  </sheetViews>
  <sheetFormatPr defaultColWidth="9" defaultRowHeight="15.6"/>
  <cols>
    <col min="1" max="1" width="62.796875" style="159" bestFit="1" customWidth="1"/>
    <col min="2" max="2" width="9.5" style="365" customWidth="1"/>
    <col min="3" max="3" width="6.3984375" style="159" customWidth="1"/>
    <col min="4" max="16384" width="9" style="159"/>
  </cols>
  <sheetData>
    <row r="1" spans="1:3">
      <c r="A1" s="298" t="s">
        <v>180</v>
      </c>
      <c r="B1" s="354" t="str">
        <f>'Personal File'!A1</f>
        <v>Saradette</v>
      </c>
      <c r="C1" s="355" t="s">
        <v>181</v>
      </c>
    </row>
    <row r="2" spans="1:3">
      <c r="A2" s="356" t="s">
        <v>190</v>
      </c>
      <c r="B2" s="357" t="s">
        <v>182</v>
      </c>
      <c r="C2" s="358">
        <v>0.2</v>
      </c>
    </row>
    <row r="3" spans="1:3">
      <c r="A3" s="356" t="s">
        <v>191</v>
      </c>
      <c r="B3" s="357" t="s">
        <v>192</v>
      </c>
      <c r="C3" s="358">
        <v>0.12</v>
      </c>
    </row>
    <row r="4" spans="1:3">
      <c r="A4" s="356" t="s">
        <v>193</v>
      </c>
      <c r="B4" s="357" t="s">
        <v>182</v>
      </c>
      <c r="C4" s="358">
        <v>0.2</v>
      </c>
    </row>
    <row r="5" spans="1:3">
      <c r="A5" s="356" t="s">
        <v>194</v>
      </c>
      <c r="B5" s="357" t="s">
        <v>196</v>
      </c>
      <c r="C5" s="358">
        <v>0.16</v>
      </c>
    </row>
    <row r="6" spans="1:3">
      <c r="A6" s="356" t="s">
        <v>195</v>
      </c>
      <c r="B6" s="357" t="s">
        <v>182</v>
      </c>
      <c r="C6" s="358">
        <v>0.2</v>
      </c>
    </row>
    <row r="7" spans="1:3">
      <c r="A7" s="298" t="s">
        <v>54</v>
      </c>
      <c r="B7" s="354"/>
      <c r="C7" s="355">
        <f>SUM(C2:C6)</f>
        <v>0.88000000000000012</v>
      </c>
    </row>
    <row r="8" spans="1:3">
      <c r="A8" s="298"/>
      <c r="B8" s="354"/>
      <c r="C8" s="355"/>
    </row>
    <row r="9" spans="1:3">
      <c r="A9" s="298" t="s">
        <v>183</v>
      </c>
      <c r="B9" s="359">
        <v>0</v>
      </c>
      <c r="C9" s="360"/>
    </row>
    <row r="10" spans="1:3">
      <c r="A10" s="298" t="s">
        <v>184</v>
      </c>
      <c r="B10" s="359">
        <v>0</v>
      </c>
      <c r="C10" s="360"/>
    </row>
    <row r="11" spans="1:3">
      <c r="A11" s="298" t="s">
        <v>185</v>
      </c>
      <c r="B11" s="359">
        <f>IF(B9=0,B10*C7,(B10*C7*(1-(B9/4))))</f>
        <v>0</v>
      </c>
      <c r="C11" s="360"/>
    </row>
    <row r="12" spans="1:3">
      <c r="A12" s="298" t="s">
        <v>186</v>
      </c>
      <c r="B12" s="361">
        <v>0</v>
      </c>
      <c r="C12" s="362"/>
    </row>
    <row r="13" spans="1:3">
      <c r="A13" s="298" t="s">
        <v>54</v>
      </c>
      <c r="B13" s="363">
        <f>SUM(B11:B12)</f>
        <v>0</v>
      </c>
      <c r="C13" s="360"/>
    </row>
    <row r="14" spans="1:3">
      <c r="A14" s="298" t="s">
        <v>187</v>
      </c>
      <c r="B14" s="359">
        <v>0</v>
      </c>
      <c r="C14" s="360"/>
    </row>
    <row r="15" spans="1:3">
      <c r="A15" s="298" t="s">
        <v>188</v>
      </c>
      <c r="B15" s="363">
        <f>SUM(B13:B14)</f>
        <v>0</v>
      </c>
      <c r="C15" s="360"/>
    </row>
    <row r="17" spans="1:1">
      <c r="A17" s="364"/>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Personal File</vt:lpstr>
      <vt:lpstr>Skills</vt:lpstr>
      <vt:lpstr>Spellbook</vt:lpstr>
      <vt:lpstr>Spells</vt:lpstr>
      <vt:lpstr>Feats</vt:lpstr>
      <vt:lpstr>Martial</vt:lpstr>
      <vt:lpstr>Equipment</vt:lpstr>
      <vt:lpstr>XP Awards</vt:lpstr>
      <vt:lpstr>'Personal File'!Print_Area</vt:lpstr>
      <vt:lpstr>Skills!Print_Area</vt:lpstr>
      <vt:lpstr>Spellbook!Print_Area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2012-11-12T17:29:24Z</cp:lastPrinted>
  <dcterms:created xsi:type="dcterms:W3CDTF">2000-10-24T15:39:59Z</dcterms:created>
  <dcterms:modified xsi:type="dcterms:W3CDTF">2020-03-08T19:49:49Z</dcterms:modified>
</cp:coreProperties>
</file>