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776F730A-06AA-4812-9D80-0113C93CE714}"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XP Awards" sheetId="21"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File'!$A$1:$H$24</definedName>
    <definedName name="_xlnm.Print_Area" localSheetId="1">Skills!$A$1:$K$30</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9" l="1"/>
  <c r="B39" i="19" s="1"/>
  <c r="B5" i="15" l="1"/>
  <c r="B4" i="15"/>
  <c r="B3" i="15"/>
  <c r="B10" i="4"/>
  <c r="C3" i="20"/>
  <c r="H13" i="15" l="1"/>
  <c r="H12" i="15"/>
  <c r="I9" i="6" l="1"/>
  <c r="H26" i="15" l="1"/>
  <c r="E14" i="4" l="1"/>
  <c r="D14" i="6" l="1"/>
  <c r="E14" i="6"/>
  <c r="C14" i="6"/>
  <c r="H5" i="23" l="1"/>
  <c r="I5" i="23"/>
  <c r="J7" i="23"/>
  <c r="H27" i="15" l="1"/>
  <c r="B45" i="15" l="1"/>
  <c r="H34" i="15"/>
  <c r="H40" i="15"/>
  <c r="H39" i="15"/>
  <c r="C7" i="21" l="1"/>
  <c r="B11" i="21" s="1"/>
  <c r="B13" i="21" s="1"/>
  <c r="B15" i="21" s="1"/>
  <c r="B1" i="21" l="1"/>
  <c r="C3" i="6" l="1"/>
  <c r="C4" i="6"/>
  <c r="C5" i="6"/>
  <c r="C6" i="6"/>
  <c r="G20" i="19" l="1"/>
  <c r="G19" i="19"/>
  <c r="G18" i="19" l="1"/>
  <c r="G19" i="6"/>
  <c r="C19" i="19" l="1"/>
  <c r="C20" i="19"/>
  <c r="C18" i="19"/>
  <c r="E13" i="4" s="1"/>
  <c r="G14" i="19"/>
  <c r="C14" i="19"/>
  <c r="C13" i="19"/>
  <c r="G13" i="19"/>
  <c r="M19" i="6"/>
  <c r="E15" i="4" l="1"/>
  <c r="H30" i="15" l="1"/>
  <c r="H33" i="15"/>
  <c r="H43" i="15"/>
  <c r="H42" i="15"/>
  <c r="H41" i="15"/>
  <c r="H38" i="15"/>
  <c r="H37" i="15"/>
  <c r="H36" i="15"/>
  <c r="H35" i="15"/>
  <c r="H32" i="15"/>
  <c r="H31" i="15"/>
  <c r="H29" i="15"/>
  <c r="H28" i="15"/>
  <c r="H25" i="15"/>
  <c r="H24" i="15"/>
  <c r="H23" i="15"/>
  <c r="H22" i="15"/>
  <c r="H21" i="15"/>
  <c r="H20" i="15"/>
  <c r="H19" i="15"/>
  <c r="H18" i="15"/>
  <c r="H17" i="15"/>
  <c r="H16" i="15"/>
  <c r="H15" i="15"/>
  <c r="H14" i="15"/>
  <c r="H11" i="15"/>
  <c r="H10" i="15"/>
  <c r="H9" i="15"/>
  <c r="H8" i="15"/>
  <c r="H7" i="15"/>
  <c r="G17" i="19"/>
  <c r="G40" i="19" s="1"/>
  <c r="I5" i="6" l="1"/>
  <c r="H5" i="6"/>
  <c r="I4" i="6"/>
  <c r="H4" i="6"/>
  <c r="J5" i="6" l="1"/>
  <c r="J4" i="6"/>
  <c r="B12" i="4" l="1"/>
  <c r="I3" i="6" l="1"/>
  <c r="I10" i="6" l="1"/>
  <c r="I11" i="6"/>
  <c r="J10" i="6" l="1"/>
  <c r="I6" i="6" l="1"/>
  <c r="H6" i="15" l="1"/>
  <c r="J11" i="6" l="1"/>
  <c r="H4" i="15" l="1"/>
  <c r="H3" i="15"/>
  <c r="H5" i="15" l="1"/>
  <c r="C12" i="4" l="1"/>
  <c r="H3" i="6" l="1"/>
  <c r="J3" i="6" s="1"/>
  <c r="H6" i="6"/>
  <c r="J6" i="6" s="1"/>
  <c r="D9" i="15"/>
  <c r="E9" i="15" l="1"/>
  <c r="G9" i="15"/>
  <c r="I9" i="15" s="1"/>
  <c r="C14" i="4"/>
  <c r="D3" i="15" l="1"/>
  <c r="D10" i="15"/>
  <c r="C13" i="4"/>
  <c r="C15" i="4"/>
  <c r="C16" i="4"/>
  <c r="D5" i="15" s="1"/>
  <c r="C17" i="4"/>
  <c r="D12" i="15" l="1"/>
  <c r="D13" i="15"/>
  <c r="E49" i="15"/>
  <c r="D7" i="23"/>
  <c r="D6" i="23"/>
  <c r="D5" i="23"/>
  <c r="D3" i="23"/>
  <c r="D4" i="23"/>
  <c r="N6" i="23"/>
  <c r="D11" i="23"/>
  <c r="P6" i="23"/>
  <c r="Q6" i="23"/>
  <c r="J6" i="23"/>
  <c r="D13" i="23"/>
  <c r="O6" i="23"/>
  <c r="K6" i="23"/>
  <c r="M6" i="23"/>
  <c r="D12" i="23"/>
  <c r="H6" i="23"/>
  <c r="D14" i="23"/>
  <c r="I6" i="23"/>
  <c r="L6" i="23"/>
  <c r="D27" i="15"/>
  <c r="E48" i="15"/>
  <c r="E47" i="15"/>
  <c r="E46" i="15"/>
  <c r="E17" i="4"/>
  <c r="E16" i="4" s="1"/>
  <c r="D8" i="15"/>
  <c r="D17" i="15"/>
  <c r="D15" i="15"/>
  <c r="G3" i="15"/>
  <c r="I3" i="15" s="1"/>
  <c r="E3" i="15"/>
  <c r="E10" i="15"/>
  <c r="G10" i="15"/>
  <c r="I10" i="15" s="1"/>
  <c r="D4" i="15"/>
  <c r="H9" i="6"/>
  <c r="J9" i="6" s="1"/>
  <c r="D7" i="15"/>
  <c r="E5" i="15"/>
  <c r="G5" i="15"/>
  <c r="I5" i="15" s="1"/>
  <c r="D16" i="15"/>
  <c r="D6" i="15"/>
  <c r="D11" i="15"/>
  <c r="D14" i="15"/>
  <c r="B11" i="4"/>
  <c r="H44" i="15"/>
  <c r="E27" i="15" l="1"/>
  <c r="G27" i="15"/>
  <c r="I27" i="15" s="1"/>
  <c r="E45" i="15"/>
  <c r="E13" i="15"/>
  <c r="G13" i="15"/>
  <c r="I13" i="15" s="1"/>
  <c r="G12" i="15"/>
  <c r="I12" i="15" s="1"/>
  <c r="E12" i="15"/>
  <c r="E15" i="15"/>
  <c r="G15" i="15"/>
  <c r="I15" i="15" s="1"/>
  <c r="G17" i="15"/>
  <c r="I17" i="15" s="1"/>
  <c r="E17" i="15"/>
  <c r="E8" i="15"/>
  <c r="G8" i="15"/>
  <c r="I8" i="15" s="1"/>
  <c r="E4" i="15"/>
  <c r="G4" i="15"/>
  <c r="I4" i="15" s="1"/>
  <c r="E7" i="15"/>
  <c r="G7" i="15"/>
  <c r="I7" i="15" s="1"/>
  <c r="E14" i="15"/>
  <c r="G14" i="15"/>
  <c r="I14" i="15" s="1"/>
  <c r="E6" i="15"/>
  <c r="G6" i="15"/>
  <c r="I6" i="15" s="1"/>
  <c r="G11" i="15"/>
  <c r="I11" i="15" s="1"/>
  <c r="E11" i="15"/>
  <c r="E16" i="15"/>
  <c r="G16" i="15"/>
  <c r="I16" i="15" s="1"/>
  <c r="D32" i="15" l="1"/>
  <c r="E32" i="15" l="1"/>
  <c r="G32" i="15"/>
  <c r="D38" i="15"/>
  <c r="D21" i="15"/>
  <c r="D26" i="15"/>
  <c r="D40" i="15"/>
  <c r="D37" i="15"/>
  <c r="D42" i="15"/>
  <c r="D39" i="15"/>
  <c r="D41" i="15"/>
  <c r="D34" i="15"/>
  <c r="D43" i="15"/>
  <c r="D30" i="15"/>
  <c r="D36" i="15"/>
  <c r="D44" i="15"/>
  <c r="D35" i="15"/>
  <c r="D33" i="15"/>
  <c r="G33" i="15" s="1"/>
  <c r="I33" i="15" s="1"/>
  <c r="D31" i="15"/>
  <c r="D29" i="15"/>
  <c r="D28" i="15"/>
  <c r="D25" i="15"/>
  <c r="D24" i="15"/>
  <c r="D23" i="15"/>
  <c r="D22" i="15"/>
  <c r="D20" i="15"/>
  <c r="D19" i="15"/>
  <c r="D18" i="15"/>
  <c r="I32" i="15" l="1"/>
  <c r="E18" i="15"/>
  <c r="G18" i="15"/>
  <c r="E20" i="15"/>
  <c r="G20" i="15"/>
  <c r="E23" i="15"/>
  <c r="G23" i="15"/>
  <c r="E25" i="15"/>
  <c r="G25" i="15"/>
  <c r="E29" i="15"/>
  <c r="G29" i="15"/>
  <c r="E33" i="15"/>
  <c r="E44" i="15"/>
  <c r="G44" i="15"/>
  <c r="E30" i="15"/>
  <c r="G30" i="15"/>
  <c r="E34" i="15"/>
  <c r="G34" i="15"/>
  <c r="E39" i="15"/>
  <c r="G39" i="15"/>
  <c r="E40" i="15"/>
  <c r="G40" i="15"/>
  <c r="E21" i="15"/>
  <c r="G21" i="15"/>
  <c r="E19" i="15"/>
  <c r="G19" i="15"/>
  <c r="E22" i="15"/>
  <c r="G22" i="15"/>
  <c r="E24" i="15"/>
  <c r="G24" i="15"/>
  <c r="E28" i="15"/>
  <c r="G28" i="15"/>
  <c r="E31" i="15"/>
  <c r="G31" i="15"/>
  <c r="E35" i="15"/>
  <c r="G35" i="15"/>
  <c r="E36" i="15"/>
  <c r="G36" i="15"/>
  <c r="E43" i="15"/>
  <c r="G43" i="15"/>
  <c r="E41" i="15"/>
  <c r="G41" i="15"/>
  <c r="E42" i="15"/>
  <c r="G42" i="15"/>
  <c r="E37" i="15"/>
  <c r="E26" i="15"/>
  <c r="G26" i="15"/>
  <c r="E38" i="15"/>
  <c r="G38" i="15"/>
  <c r="I38" i="15" l="1"/>
  <c r="I26" i="15"/>
  <c r="I37" i="15"/>
  <c r="I42" i="15"/>
  <c r="I41" i="15"/>
  <c r="I43" i="15"/>
  <c r="I36" i="15"/>
  <c r="I35" i="15"/>
  <c r="I31" i="15"/>
  <c r="I28" i="15"/>
  <c r="I24" i="15"/>
  <c r="I22" i="15"/>
  <c r="I19" i="15"/>
  <c r="I21" i="15"/>
  <c r="I40" i="15"/>
  <c r="I39" i="15"/>
  <c r="I34" i="15"/>
  <c r="I30" i="15"/>
  <c r="I44" i="15"/>
  <c r="I29" i="15"/>
  <c r="I25" i="15"/>
  <c r="I23" i="15"/>
  <c r="I20" i="15"/>
  <c r="I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0" authorId="0" shapeId="0" xr:uid="{1C1111AF-ED32-40F9-8655-1A0248A328A7}">
      <text>
        <r>
          <rPr>
            <i/>
            <sz val="12"/>
            <color indexed="81"/>
            <rFont val="Times New Roman"/>
            <family val="1"/>
          </rPr>
          <t>aid +1</t>
        </r>
      </text>
    </comment>
    <comment ref="E11" authorId="0" shapeId="0" xr:uid="{F7571848-E632-4399-8CF5-F9963D5239BB}">
      <text>
        <r>
          <rPr>
            <sz val="12"/>
            <color indexed="81"/>
            <rFont val="Times New Roman"/>
            <family val="1"/>
          </rPr>
          <t>Next level at 10,000 XPs</t>
        </r>
      </text>
    </comment>
    <comment ref="E12" authorId="0" shapeId="0" xr:uid="{9F90969E-A873-48D2-ADE1-84BF5E2AFE6E}">
      <text>
        <r>
          <rPr>
            <sz val="12"/>
            <color indexed="81"/>
            <rFont val="Times New Roman"/>
            <family val="1"/>
          </rPr>
          <t>See PHB 162</t>
        </r>
      </text>
    </comment>
    <comment ref="E14" authorId="0" shapeId="0" xr:uid="{00000000-0006-0000-0000-00000A000000}">
      <text>
        <r>
          <rPr>
            <sz val="12"/>
            <color indexed="81"/>
            <rFont val="Times New Roman"/>
            <family val="1"/>
          </rPr>
          <t xml:space="preserve">   [(3 * 6 Rogue) * 75%]
   [(1 * 4 Illusionist) * 75%]
+ (4 * 1 Con)</t>
        </r>
      </text>
    </comment>
    <comment ref="E15" authorId="0" shapeId="0" xr:uid="{00000000-0006-0000-0000-00000B000000}">
      <text>
        <r>
          <rPr>
            <sz val="12"/>
            <color indexed="81"/>
            <rFont val="Times New Roman"/>
            <family val="1"/>
          </rPr>
          <t>+1 Small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3" authorId="0" shapeId="0" xr:uid="{00000000-0006-0000-0100-000004000000}">
      <text>
        <r>
          <rPr>
            <sz val="12"/>
            <color indexed="81"/>
            <rFont val="Times New Roman"/>
            <family val="1"/>
          </rPr>
          <t>Small +4</t>
        </r>
      </text>
    </comment>
    <comment ref="F28" authorId="0" shapeId="0" xr:uid="{00000000-0006-0000-0100-000005000000}">
      <text>
        <r>
          <rPr>
            <sz val="12"/>
            <color indexed="81"/>
            <rFont val="Times New Roman"/>
            <family val="1"/>
          </rPr>
          <t>Gnome +2</t>
        </r>
      </text>
    </comment>
    <comment ref="F29" authorId="0" shapeId="0" xr:uid="{00000000-0006-0000-0100-000006000000}">
      <text>
        <r>
          <rPr>
            <sz val="12"/>
            <color indexed="81"/>
            <rFont val="Times New Roman"/>
            <family val="1"/>
          </rPr>
          <t>Gnome (Small) +4</t>
        </r>
      </text>
    </comment>
    <comment ref="F39" authorId="0" shapeId="0" xr:uid="{00000000-0006-0000-0100-000008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39EF3187-CFDF-4836-9710-2EEB3E1D4867}">
      <text>
        <r>
          <rPr>
            <sz val="12"/>
            <color indexed="81"/>
            <rFont val="Times New Roman"/>
            <family val="1"/>
          </rPr>
          <t>Miniature cloak</t>
        </r>
      </text>
    </comment>
    <comment ref="D8" authorId="0" shapeId="0" xr:uid="{28ADAE1F-5865-477F-9421-C04DBAC5FFFA}">
      <text>
        <r>
          <rPr>
            <sz val="12"/>
            <color indexed="81"/>
            <rFont val="Times New Roman"/>
            <family val="1"/>
          </rPr>
          <t>Wool or fur</t>
        </r>
      </text>
    </comment>
    <comment ref="D11" authorId="0" shapeId="0" xr:uid="{AE2410AC-1086-4AD5-80B1-35A36D812877}">
      <text>
        <r>
          <rPr>
            <sz val="12"/>
            <color indexed="81"/>
            <rFont val="Times New Roman"/>
            <family val="1"/>
          </rPr>
          <t>Phosphorescent moss</t>
        </r>
      </text>
    </comment>
    <comment ref="D14" authorId="0" shapeId="0" xr:uid="{07C3B68E-76ED-4B37-A7E1-DAE881635D53}">
      <text>
        <r>
          <rPr>
            <sz val="12"/>
            <color indexed="81"/>
            <rFont val="Times New Roman"/>
            <family val="1"/>
          </rPr>
          <t>Wool or wax</t>
        </r>
      </text>
    </comment>
    <comment ref="D20" authorId="0" shapeId="0" xr:uid="{47DAA3D4-1DB3-4B6A-B9C3-0C9E6BBCD0FB}">
      <text>
        <r>
          <rPr>
            <sz val="12"/>
            <color indexed="81"/>
            <rFont val="Times New Roman"/>
            <family val="1"/>
          </rPr>
          <t>Prism, lens, or monocle</t>
        </r>
      </text>
    </comment>
    <comment ref="D21" authorId="0" shapeId="0" xr:uid="{0A0D8C7D-2B74-4BD4-A3FB-88DDAB2DDC73}">
      <text>
        <r>
          <rPr>
            <sz val="12"/>
            <color indexed="81"/>
            <rFont val="Times New Roman"/>
            <family val="1"/>
          </rPr>
          <t>Tiny bell and a piece of fine silver wire</t>
        </r>
      </text>
    </comment>
    <comment ref="D22" authorId="0" shapeId="0" xr:uid="{C0738328-B02A-430E-8040-9F4B23601A5E}">
      <text>
        <r>
          <rPr>
            <sz val="12"/>
            <color indexed="81"/>
            <rFont val="Times New Roman"/>
            <family val="1"/>
          </rPr>
          <t>Cured leather</t>
        </r>
      </text>
    </comment>
    <comment ref="D23" authorId="0" shapeId="0" xr:uid="{BA56E4EF-C195-4856-874B-B96295CA43F9}">
      <text>
        <r>
          <rPr>
            <sz val="12"/>
            <color indexed="81"/>
            <rFont val="Times New Roman"/>
            <family val="1"/>
          </rPr>
          <t>Drop of mercury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4"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5"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6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4"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23"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<sst xmlns="http://schemas.openxmlformats.org/spreadsheetml/2006/main" count="581" uniqueCount="309">
  <si>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</si>
  <si>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</si>
  <si>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</si>
  <si>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</si>
  <si>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</si>
  <si>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</si>
  <si>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</si>
  <si>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</si>
  <si>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</si>
  <si>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</si>
  <si>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</si>
  <si>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</si>
  <si>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</si>
  <si>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</si>
  <si>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</si>
  <si>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</si>
  <si>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</si>
  <si>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</si>
  <si>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</si>
  <si>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</si>
  <si>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</si>
  <si>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</si>
  <si>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</si>
  <si>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</si>
  <si>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</si>
  <si>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</si>
  <si>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</si>
  <si>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</si>
  <si>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</si>
  <si>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</si>
  <si>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</si>
  <si>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</si>
  <si>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</si>
  <si>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</si>
  <si>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</si>
  <si>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</si>
  <si>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</si>
  <si>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</si>
  <si>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</si>
  <si>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</si>
  <si>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</si>
  <si>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</si>
  <si>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</si>
  <si>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</si>
  <si>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</si>
  <si>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</si>
  <si>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</si>
  <si>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</si>
  <si>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</si>
  <si>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</si>
  <si>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</si>
  <si>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</si>
  <si>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</si>
  <si>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</si>
  <si>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</si>
  <si>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</si>
  <si>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</si>
  <si>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</si>
  <si>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</si>
  <si>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</si>
  <si>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</si>
  <si>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</si>
  <si>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</si>
  <si>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</si>
  <si>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</si>
  <si>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</si>
  <si>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</si>
  <si>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</si>
  <si>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Knowledge:  Arcana</t>
  </si>
  <si>
    <t>Sleight of Hand</t>
  </si>
  <si>
    <t>Survival</t>
  </si>
  <si>
    <t>Weapon Proficiencies</t>
  </si>
  <si>
    <t>Atk</t>
  </si>
  <si>
    <t>Feats</t>
  </si>
  <si>
    <t>2</t>
  </si>
  <si>
    <t>Roll</t>
  </si>
  <si>
    <t>Spell</t>
  </si>
  <si>
    <t>-</t>
  </si>
  <si>
    <t>Gnome</t>
  </si>
  <si>
    <t>Level</t>
  </si>
  <si>
    <t>DC</t>
  </si>
  <si>
    <t>Cast?</t>
  </si>
  <si>
    <t>Skill/Save</t>
  </si>
  <si>
    <t>Ghost Sound</t>
  </si>
  <si>
    <t>Racial Abilities</t>
  </si>
  <si>
    <t>+1 vs. kobolds &amp; goblinoids</t>
  </si>
  <si>
    <t>+4 dodge vs. Giant type</t>
  </si>
  <si>
    <t>Bludgeon</t>
  </si>
  <si>
    <t>1d3</t>
  </si>
  <si>
    <t>Gold Pieces</t>
  </si>
  <si>
    <t>CLev</t>
  </si>
  <si>
    <t>Low-light Vision</t>
  </si>
  <si>
    <t>Backpack</t>
  </si>
  <si>
    <t>4</t>
  </si>
  <si>
    <t>Wands, Scrolls and Potions</t>
  </si>
  <si>
    <t>Grapple, Unarmed Strike</t>
  </si>
  <si>
    <t>x2</t>
  </si>
  <si>
    <t>Value</t>
  </si>
  <si>
    <t>Fortitude</t>
  </si>
  <si>
    <t>Reflex</t>
  </si>
  <si>
    <t>Gnome Hammer treated as martial</t>
  </si>
  <si>
    <t>Simple Weapons, Light Armor</t>
  </si>
  <si>
    <t>Perform:  [type]</t>
  </si>
  <si>
    <t>q</t>
  </si>
  <si>
    <t>Ranged Touch Spell</t>
  </si>
  <si>
    <t>Played by JR Roberts</t>
  </si>
  <si>
    <t>Saradette</t>
  </si>
  <si>
    <t>Female</t>
  </si>
  <si>
    <t>3’ 9”</t>
  </si>
  <si>
    <t>44 lbs.</t>
  </si>
  <si>
    <t>Mayaheine</t>
  </si>
  <si>
    <t>Chaotic Good</t>
  </si>
  <si>
    <t>The Dalelands</t>
  </si>
  <si>
    <t>Personality, History, and Notes</t>
  </si>
  <si>
    <t>30’</t>
  </si>
  <si>
    <t>Rogue</t>
  </si>
  <si>
    <t>Rogue 1</t>
  </si>
  <si>
    <t>Rogue Features</t>
  </si>
  <si>
    <t>Trapfinding</t>
  </si>
  <si>
    <t>Goblinoid</t>
  </si>
  <si>
    <t>Gnomish, Common, Elvish</t>
  </si>
  <si>
    <t>1st:  Run</t>
  </si>
  <si>
    <t>Rogue Weapons</t>
  </si>
  <si>
    <t>Shortbow</t>
  </si>
  <si>
    <t>Short Sword</t>
  </si>
  <si>
    <t>1d4</t>
  </si>
  <si>
    <t>Dagger 1</t>
  </si>
  <si>
    <t>Dagger 2</t>
  </si>
  <si>
    <t>19-20/x2</t>
  </si>
  <si>
    <t>Slsh/Prc</t>
  </si>
  <si>
    <t>Arrows</t>
  </si>
  <si>
    <t>Thieves’ Tools</t>
  </si>
  <si>
    <t>Bedroll</t>
  </si>
  <si>
    <t>Possibles Bag</t>
  </si>
  <si>
    <t>Flint and Steel</t>
  </si>
  <si>
    <t>Waterskin</t>
  </si>
  <si>
    <t>Trail Rations</t>
  </si>
  <si>
    <t>Sapphires</t>
  </si>
  <si>
    <t>Silver Pieces</t>
  </si>
  <si>
    <t>Copper Pieces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</si>
  <si>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</si>
  <si>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</si>
  <si>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</si>
  <si>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</si>
  <si>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</si>
  <si>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</si>
  <si>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</si>
  <si>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</si>
  <si>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</si>
  <si>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</si>
  <si>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</si>
  <si>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</si>
  <si>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</si>
  <si>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</si>
  <si>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</si>
  <si>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</si>
  <si>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</si>
  <si>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</si>
  <si>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</si>
  <si>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</si>
  <si>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</si>
  <si>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</si>
  <si>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</si>
  <si>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</si>
  <si>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</si>
  <si>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</si>
  <si>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</si>
  <si>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</si>
  <si>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</si>
  <si>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</si>
  <si>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</si>
  <si>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</si>
  <si>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</si>
  <si>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</si>
  <si>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</si>
  <si>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</si>
  <si>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</si>
  <si>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</si>
  <si>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</si>
  <si>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</si>
  <si>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</si>
  <si>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</si>
  <si>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</si>
  <si>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</si>
  <si>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</si>
  <si>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</si>
  <si>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</si>
  <si>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</si>
  <si>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</si>
  <si>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</si>
  <si>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Attention to spelling &amp; punctuation; Consistent use of past tense, third person</t>
  </si>
  <si>
    <t>Thoroughness and clarity</t>
  </si>
  <si>
    <t>Average</t>
  </si>
  <si>
    <t>Level-appropriate use of skills, feats, limitations, and other features</t>
  </si>
  <si>
    <t>Convincing role-playing and character development</t>
  </si>
  <si>
    <t>Consistency with other characters’ actions and setting description</t>
  </si>
  <si>
    <t>Good</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</si>
  <si>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</si>
  <si>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</si>
  <si>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</si>
  <si>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</si>
  <si>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</si>
  <si>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</si>
  <si>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</si>
  <si>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</si>
  <si>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</si>
  <si>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</si>
  <si>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</si>
  <si>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</si>
  <si>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</si>
  <si>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</si>
  <si>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</si>
  <si>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</si>
  <si>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</si>
  <si>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</si>
  <si>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</si>
  <si>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</si>
  <si>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</si>
  <si>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</si>
  <si>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</si>
  <si>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</si>
  <si>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</si>
  <si>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</si>
  <si>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</si>
  <si>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</si>
  <si>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</si>
  <si>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</si>
  <si>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</si>
  <si>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</si>
  <si>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</si>
  <si>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</si>
  <si>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</si>
  <si>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</si>
  <si>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</si>
  <si>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</si>
  <si>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</si>
  <si>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</si>
  <si>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</si>
  <si>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</si>
  <si>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</si>
  <si>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</si>
  <si>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</si>
  <si>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</si>
  <si>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</si>
  <si>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</si>
  <si>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</si>
  <si>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</si>
  <si>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</si>
  <si>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</si>
  <si>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</si>
  <si>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</si>
  <si>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</si>
  <si>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</si>
  <si>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</si>
  <si>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</si>
  <si>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</si>
  <si>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</si>
  <si>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</si>
  <si>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</si>
  <si>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</si>
  <si>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</si>
  <si>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</si>
  <si>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</si>
  <si>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</si>
  <si>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</si>
  <si>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</si>
  <si>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</si>
  <si>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</si>
  <si>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</si>
  <si>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</si>
  <si>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</si>
  <si>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</si>
  <si>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</si>
  <si>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</si>
  <si>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</si>
  <si>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</si>
  <si>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</si>
  <si>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</si>
  <si>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</si>
  <si>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</si>
  <si>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</si>
  <si>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</si>
  <si>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</si>
  <si>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Effective Caster Level:</t>
  </si>
  <si>
    <t>Spellbook</t>
  </si>
  <si>
    <t>Memorized Spells</t>
  </si>
  <si>
    <t>Bonus</t>
  </si>
  <si>
    <t>Inkpen</t>
  </si>
  <si>
    <t>Ink</t>
  </si>
  <si>
    <t>Mithral Chain Shirt</t>
  </si>
  <si>
    <t>Profession:  Engineer</t>
  </si>
  <si>
    <t>Metalworking Toolkit</t>
  </si>
  <si>
    <t>Engineering Book</t>
  </si>
  <si>
    <r>
      <t xml:space="preserve">Tarapple Febble Tallniss </t>
    </r>
    <r>
      <rPr>
        <i/>
        <sz val="9"/>
        <color rgb="FFFFC000"/>
        <rFont val="Times New Roman"/>
        <family val="1"/>
      </rPr>
      <t>Nensy Gwaella Grangytee of Clan Warblerivet</t>
    </r>
  </si>
  <si>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</si>
  <si>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</si>
  <si>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</si>
  <si>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</si>
  <si>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</si>
  <si>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</si>
  <si>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</si>
  <si>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</si>
  <si>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</si>
  <si>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</si>
  <si>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</si>
  <si>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</si>
  <si>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four</t>
  </si>
  <si>
    <t>Soft Equity Ceiling:</t>
  </si>
  <si>
    <t>Total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</si>
</sst>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
      <i/>
      <sz val="17"/>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FFFF00"/>
        <bgColor indexed="64"/>
      </patternFill>
    </fill>
    <fill>
      <patternFill patternType="solid">
        <fgColor rgb="FFCC00FF"/>
        <bgColor indexed="64"/>
      </patternFill>
    </fill>
  </fills>
  <borders count="15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hair">
        <color indexed="64"/>
      </left>
      <right/>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21">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Border="1" applyAlignment="1">
      <alignment vertical="center"/>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49" fontId="2" fillId="0" borderId="78" xfId="2" applyNumberFormat="1" applyFont="1" applyFill="1" applyBorder="1" applyAlignment="1">
      <alignment horizontal="center" vertical="center"/>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5"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1" fontId="5" fillId="0" borderId="83"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5"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6" fillId="9" borderId="83"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2" fillId="0" borderId="82" xfId="0" quotePrefix="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164" fontId="2" fillId="0" borderId="86" xfId="0" applyNumberFormat="1"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5" fillId="0" borderId="97"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4"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3" fillId="0" borderId="26" xfId="0" applyNumberFormat="1" applyFont="1" applyFill="1" applyBorder="1" applyAlignment="1">
      <alignment horizontal="center" vertical="center"/>
    </xf>
    <xf numFmtId="0" fontId="41" fillId="0" borderId="56" xfId="0" applyFont="1" applyFill="1" applyBorder="1" applyAlignment="1">
      <alignment vertical="center"/>
    </xf>
    <xf numFmtId="0" fontId="6" fillId="0" borderId="57" xfId="0" applyFont="1" applyFill="1" applyBorder="1" applyAlignment="1">
      <alignment horizontal="center" vertical="center"/>
    </xf>
    <xf numFmtId="0" fontId="7" fillId="0" borderId="57" xfId="0"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99"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3" xfId="0" applyFont="1" applyFill="1" applyBorder="1" applyAlignment="1">
      <alignment horizontal="centerContinuous" vertical="center" shrinkToFit="1"/>
    </xf>
    <xf numFmtId="0" fontId="21" fillId="0" borderId="104" xfId="0" applyFont="1" applyFill="1" applyBorder="1" applyAlignment="1">
      <alignment horizontal="centerContinuous" vertical="center"/>
    </xf>
    <xf numFmtId="0" fontId="2" fillId="0" borderId="105" xfId="0" applyFont="1" applyFill="1" applyBorder="1" applyAlignment="1">
      <alignment horizontal="center"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0" xfId="0" applyFont="1" applyBorder="1" applyAlignment="1">
      <alignment vertical="center"/>
    </xf>
    <xf numFmtId="0" fontId="2" fillId="0" borderId="96"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06" xfId="0" applyNumberFormat="1" applyFont="1" applyFill="1" applyBorder="1" applyAlignment="1">
      <alignment horizontal="center" vertical="center"/>
    </xf>
    <xf numFmtId="1" fontId="46" fillId="9"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0" fontId="47" fillId="0" borderId="1" xfId="0" applyFont="1" applyFill="1" applyBorder="1" applyAlignment="1">
      <alignment vertical="center"/>
    </xf>
    <xf numFmtId="0" fontId="6" fillId="0" borderId="25" xfId="0" applyFont="1" applyFill="1" applyBorder="1" applyAlignment="1">
      <alignment horizontal="center" vertical="center"/>
    </xf>
    <xf numFmtId="0" fontId="48" fillId="0" borderId="1" xfId="0" applyFont="1" applyFill="1" applyBorder="1" applyAlignment="1">
      <alignment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0" fillId="0" borderId="31" xfId="0" applyFont="1" applyFill="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Fill="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0" fontId="5" fillId="0" borderId="0" xfId="0" applyFont="1" applyFill="1" applyBorder="1" applyAlignment="1">
      <alignment horizontal="center" vertical="center"/>
    </xf>
    <xf numFmtId="1" fontId="46" fillId="9" borderId="75" xfId="0" applyNumberFormat="1" applyFont="1" applyFill="1" applyBorder="1" applyAlignment="1">
      <alignment horizontal="center" vertical="center"/>
    </xf>
    <xf numFmtId="1" fontId="46" fillId="9" borderId="82" xfId="0" applyNumberFormat="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0" borderId="26" xfId="0" applyNumberFormat="1" applyFont="1" applyFill="1" applyBorder="1" applyAlignment="1">
      <alignment horizontal="center" vertical="center"/>
    </xf>
    <xf numFmtId="9" fontId="2" fillId="0" borderId="82"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6" fillId="0" borderId="59" xfId="0" applyFont="1" applyBorder="1" applyAlignment="1">
      <alignment horizontal="centerContinuous" vertical="center" wrapText="1"/>
    </xf>
    <xf numFmtId="0" fontId="6" fillId="0" borderId="60" xfId="0" applyFont="1" applyBorder="1" applyAlignment="1">
      <alignment horizontal="centerContinuous" vertical="center" wrapText="1"/>
    </xf>
    <xf numFmtId="0" fontId="7" fillId="0" borderId="7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54" fillId="9" borderId="56" xfId="0" applyFont="1" applyFill="1" applyBorder="1" applyAlignment="1">
      <alignment horizontal="centerContinuous" vertical="center" wrapText="1"/>
    </xf>
    <xf numFmtId="0" fontId="54" fillId="9" borderId="61" xfId="0" applyFont="1" applyFill="1" applyBorder="1" applyAlignment="1">
      <alignment horizontal="center" vertical="center" wrapText="1"/>
    </xf>
    <xf numFmtId="0" fontId="55" fillId="0" borderId="58" xfId="0" applyFont="1" applyBorder="1" applyAlignment="1">
      <alignment horizontal="centerContinuous" vertical="center" wrapText="1"/>
    </xf>
    <xf numFmtId="0" fontId="27" fillId="0" borderId="46" xfId="0" applyFont="1" applyFill="1" applyBorder="1" applyAlignment="1">
      <alignment horizontal="centerContinuous" vertical="center" shrinkToFit="1"/>
    </xf>
    <xf numFmtId="0" fontId="54" fillId="9" borderId="115"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2"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8" xfId="0" applyFont="1" applyFill="1" applyBorder="1" applyAlignment="1">
      <alignment horizontal="center" vertical="center" shrinkToFit="1"/>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xf>
    <xf numFmtId="9" fontId="2" fillId="0" borderId="116" xfId="0" applyNumberFormat="1" applyFont="1" applyFill="1" applyBorder="1" applyAlignment="1">
      <alignment horizontal="center" vertical="center"/>
    </xf>
    <xf numFmtId="49" fontId="2" fillId="0" borderId="116" xfId="0" quotePrefix="1" applyNumberFormat="1" applyFont="1" applyFill="1" applyBorder="1" applyAlignment="1">
      <alignment horizontal="center" vertical="center"/>
    </xf>
    <xf numFmtId="164" fontId="2" fillId="0" borderId="110"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5" fillId="0" borderId="111" xfId="0" quotePrefix="1" applyFont="1" applyFill="1" applyBorder="1" applyAlignment="1">
      <alignment horizontal="centerContinuous" vertical="center"/>
    </xf>
    <xf numFmtId="1" fontId="2" fillId="0" borderId="117" xfId="0" applyNumberFormat="1" applyFont="1" applyFill="1" applyBorder="1" applyAlignment="1">
      <alignment horizontal="center" vertical="center"/>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6" fillId="8" borderId="1" xfId="0" applyFont="1" applyFill="1" applyBorder="1" applyAlignment="1">
      <alignment horizontal="right" vertical="center"/>
    </xf>
    <xf numFmtId="0" fontId="7" fillId="8" borderId="0" xfId="0" applyFont="1" applyFill="1" applyBorder="1" applyAlignment="1">
      <alignment horizontal="centerContinuous" vertical="center"/>
    </xf>
    <xf numFmtId="0" fontId="6" fillId="8" borderId="0" xfId="0" applyFont="1" applyFill="1" applyBorder="1" applyAlignment="1">
      <alignment horizontal="right" vertical="center"/>
    </xf>
    <xf numFmtId="0" fontId="7" fillId="8" borderId="0" xfId="0" applyFont="1" applyFill="1" applyBorder="1" applyAlignment="1">
      <alignment horizontal="center" vertical="center"/>
    </xf>
    <xf numFmtId="49" fontId="5" fillId="0" borderId="0" xfId="0" applyNumberFormat="1" applyFont="1" applyBorder="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4"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75" xfId="0" quotePrefix="1" applyFont="1" applyFill="1" applyBorder="1" applyAlignment="1">
      <alignment horizontal="center" vertical="center" wrapText="1"/>
    </xf>
    <xf numFmtId="49" fontId="2" fillId="0" borderId="75" xfId="2" applyNumberFormat="1" applyFont="1" applyFill="1" applyBorder="1" applyAlignment="1">
      <alignment horizontal="center" vertical="center"/>
    </xf>
    <xf numFmtId="0" fontId="2" fillId="0" borderId="75" xfId="0" applyFont="1" applyFill="1" applyBorder="1" applyAlignment="1">
      <alignment horizontal="center" vertical="center" shrinkToFit="1"/>
    </xf>
    <xf numFmtId="1" fontId="2" fillId="0" borderId="76" xfId="0" applyNumberFormat="1" applyFont="1" applyFill="1" applyBorder="1" applyAlignment="1">
      <alignment horizontal="center" vertical="center"/>
    </xf>
    <xf numFmtId="0" fontId="2" fillId="0" borderId="113" xfId="0" quotePrefix="1" applyFont="1" applyFill="1" applyBorder="1" applyAlignment="1">
      <alignment horizontal="center" vertical="center"/>
    </xf>
    <xf numFmtId="0" fontId="2" fillId="0" borderId="100" xfId="0" applyFont="1" applyFill="1" applyBorder="1" applyAlignment="1">
      <alignment horizontal="center" vertical="center"/>
    </xf>
    <xf numFmtId="1" fontId="5" fillId="0" borderId="76" xfId="0" applyNumberFormat="1" applyFont="1" applyFill="1" applyBorder="1" applyAlignment="1">
      <alignment horizontal="center" vertical="center"/>
    </xf>
    <xf numFmtId="1" fontId="46" fillId="9" borderId="76" xfId="0" applyNumberFormat="1" applyFont="1" applyFill="1" applyBorder="1" applyAlignment="1">
      <alignment horizontal="center" vertical="center"/>
    </xf>
    <xf numFmtId="1" fontId="2" fillId="0" borderId="76" xfId="0" applyNumberFormat="1" applyFont="1" applyBorder="1" applyAlignment="1">
      <alignment horizontal="center" vertical="center"/>
    </xf>
    <xf numFmtId="0" fontId="2" fillId="0" borderId="113" xfId="0" quotePrefix="1" applyFont="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10"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2" fontId="2" fillId="0" borderId="53" xfId="0" applyNumberFormat="1" applyFont="1" applyFill="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0" fontId="12" fillId="3" borderId="36"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43" fillId="0" borderId="57" xfId="0" applyFont="1" applyFill="1" applyBorder="1" applyAlignment="1">
      <alignment horizontal="center" vertical="center"/>
    </xf>
    <xf numFmtId="1" fontId="7" fillId="0" borderId="57"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0" fontId="2" fillId="0" borderId="121" xfId="0" applyFont="1" applyBorder="1" applyAlignment="1">
      <alignment horizontal="center" vertical="center" shrinkToFit="1"/>
    </xf>
    <xf numFmtId="164" fontId="5" fillId="0" borderId="122" xfId="0" applyNumberFormat="1" applyFont="1" applyBorder="1" applyAlignment="1">
      <alignment horizontal="center" vertical="center" shrinkToFit="1"/>
    </xf>
    <xf numFmtId="0" fontId="2" fillId="0" borderId="122" xfId="0" applyFont="1" applyBorder="1" applyAlignment="1">
      <alignment horizontal="left" vertical="center"/>
    </xf>
    <xf numFmtId="0" fontId="5" fillId="0" borderId="123"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NumberFormat="1"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NumberFormat="1" applyFont="1" applyFill="1" applyBorder="1" applyAlignment="1">
      <alignment horizontal="center" vertical="center"/>
    </xf>
    <xf numFmtId="0" fontId="13" fillId="6" borderId="45"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0" fontId="44" fillId="11" borderId="26" xfId="0" applyNumberFormat="1" applyFont="1" applyFill="1" applyBorder="1" applyAlignment="1">
      <alignment horizontal="center" vertical="center"/>
    </xf>
    <xf numFmtId="0" fontId="44" fillId="11" borderId="57" xfId="0" applyNumberFormat="1" applyFont="1" applyFill="1" applyBorder="1" applyAlignment="1">
      <alignment horizontal="center" vertical="center"/>
    </xf>
    <xf numFmtId="0" fontId="44" fillId="11" borderId="13" xfId="0" applyNumberFormat="1" applyFont="1" applyFill="1" applyBorder="1" applyAlignment="1">
      <alignment horizontal="center" vertical="center"/>
    </xf>
    <xf numFmtId="0" fontId="44" fillId="11" borderId="44" xfId="0" applyNumberFormat="1" applyFont="1" applyFill="1" applyBorder="1" applyAlignment="1">
      <alignment horizontal="center"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43" fillId="11" borderId="35"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0" fontId="52" fillId="0" borderId="114"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39" fillId="0" borderId="54" xfId="0" quotePrefix="1" applyFont="1" applyFill="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9" fontId="7" fillId="0" borderId="57"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63" fillId="0" borderId="73" xfId="5" applyFont="1" applyBorder="1" applyAlignment="1">
      <alignment horizontal="center" shrinkToFit="1"/>
    </xf>
    <xf numFmtId="0" fontId="7" fillId="0" borderId="13" xfId="5" applyFont="1" applyBorder="1" applyAlignment="1">
      <alignment horizontal="center" vertical="center" shrinkToFit="1"/>
    </xf>
    <xf numFmtId="9" fontId="7" fillId="0" borderId="51" xfId="2" applyFont="1" applyFill="1" applyBorder="1" applyAlignment="1">
      <alignment horizontal="center" vertical="center" shrinkToFit="1"/>
    </xf>
    <xf numFmtId="0" fontId="7" fillId="0" borderId="51" xfId="5" applyFont="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1" xfId="5" applyFont="1" applyFill="1" applyBorder="1" applyAlignment="1">
      <alignment horizontal="center" shrinkToFit="1"/>
    </xf>
    <xf numFmtId="0" fontId="63" fillId="0" borderId="8" xfId="5" applyFont="1" applyFill="1" applyBorder="1" applyAlignment="1">
      <alignment horizontal="center" shrinkToFit="1"/>
    </xf>
    <xf numFmtId="9" fontId="7" fillId="0" borderId="44" xfId="2" applyFont="1" applyFill="1" applyBorder="1" applyAlignment="1">
      <alignment horizontal="center" vertical="center" shrinkToFit="1"/>
    </xf>
    <xf numFmtId="9" fontId="7" fillId="0" borderId="45" xfId="2" applyFont="1" applyFill="1" applyBorder="1" applyAlignment="1">
      <alignment horizontal="center" vertic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applyAlignment="1"/>
    <xf numFmtId="0" fontId="12" fillId="9" borderId="125" xfId="5" applyFont="1" applyFill="1" applyBorder="1" applyAlignment="1">
      <alignment horizontal="centerContinuous" vertical="center"/>
    </xf>
    <xf numFmtId="0" fontId="12" fillId="9" borderId="126" xfId="5" applyFont="1" applyFill="1" applyBorder="1" applyAlignment="1">
      <alignment horizontal="center" vertical="center"/>
    </xf>
    <xf numFmtId="0" fontId="21" fillId="9" borderId="126" xfId="5" applyFont="1" applyFill="1" applyBorder="1" applyAlignment="1">
      <alignment horizontal="center" vertical="center"/>
    </xf>
    <xf numFmtId="0" fontId="12" fillId="9" borderId="127" xfId="5" applyFont="1" applyFill="1" applyBorder="1" applyAlignment="1">
      <alignment horizontal="centerContinuous" vertical="center"/>
    </xf>
    <xf numFmtId="0" fontId="7" fillId="0" borderId="13" xfId="5" applyFont="1" applyBorder="1" applyAlignment="1">
      <alignment horizontal="center"/>
    </xf>
    <xf numFmtId="0" fontId="7" fillId="0" borderId="128" xfId="5" applyFont="1" applyBorder="1" applyAlignment="1">
      <alignment horizontal="center" vertical="center"/>
    </xf>
    <xf numFmtId="0" fontId="4" fillId="0" borderId="0" xfId="5" applyFont="1" applyAlignment="1"/>
    <xf numFmtId="0" fontId="7" fillId="0" borderId="25" xfId="5" applyFont="1" applyBorder="1" applyAlignment="1">
      <alignment horizontal="center"/>
    </xf>
    <xf numFmtId="0" fontId="7" fillId="0" borderId="25" xfId="5" applyFont="1" applyFill="1" applyBorder="1" applyAlignment="1">
      <alignment horizontal="center"/>
    </xf>
    <xf numFmtId="0" fontId="7" fillId="0" borderId="27" xfId="5" applyFont="1" applyFill="1" applyBorder="1" applyAlignment="1">
      <alignment horizontal="center" vertical="center"/>
    </xf>
    <xf numFmtId="0" fontId="7" fillId="0" borderId="44" xfId="5" applyFont="1" applyFill="1" applyBorder="1" applyAlignment="1">
      <alignment horizontal="center"/>
    </xf>
    <xf numFmtId="0" fontId="7" fillId="0" borderId="33" xfId="5" applyFont="1" applyFill="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9" xfId="0" applyFont="1" applyBorder="1" applyAlignment="1">
      <alignment horizontal="centerContinuous" vertical="center"/>
    </xf>
    <xf numFmtId="0" fontId="2" fillId="0" borderId="130" xfId="0" applyFont="1" applyBorder="1" applyAlignment="1">
      <alignment horizontal="centerContinuous" vertical="center"/>
    </xf>
    <xf numFmtId="0" fontId="2" fillId="0" borderId="102" xfId="0" applyFont="1" applyBorder="1" applyAlignment="1">
      <alignment horizontal="centerContinuous"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12" fillId="9" borderId="132" xfId="0" applyFont="1" applyFill="1" applyBorder="1" applyAlignment="1">
      <alignment horizontal="centerContinuous" vertical="center"/>
    </xf>
    <xf numFmtId="0" fontId="12" fillId="9" borderId="133" xfId="0" applyFont="1" applyFill="1" applyBorder="1" applyAlignment="1">
      <alignment horizontal="center" vertical="center"/>
    </xf>
    <xf numFmtId="0" fontId="4" fillId="0" borderId="134" xfId="0" applyFont="1" applyBorder="1" applyAlignment="1">
      <alignment horizontal="righ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66" fillId="8" borderId="136" xfId="0" applyFont="1" applyFill="1" applyBorder="1" applyAlignment="1">
      <alignment horizontal="center" vertical="center"/>
    </xf>
    <xf numFmtId="0" fontId="66" fillId="8" borderId="137" xfId="0" applyFont="1" applyFill="1" applyBorder="1" applyAlignment="1">
      <alignment horizontal="center" vertical="center"/>
    </xf>
    <xf numFmtId="0" fontId="67" fillId="0" borderId="138"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9" xfId="0" applyFont="1" applyBorder="1" applyAlignment="1">
      <alignment horizontal="right" vertical="center"/>
    </xf>
    <xf numFmtId="0" fontId="69" fillId="9" borderId="140" xfId="0" applyFont="1" applyFill="1" applyBorder="1" applyAlignment="1">
      <alignment horizontal="center" vertical="center"/>
    </xf>
    <xf numFmtId="0" fontId="69" fillId="9" borderId="141" xfId="0" applyFont="1" applyFill="1" applyBorder="1" applyAlignment="1">
      <alignment horizontal="center" vertical="center"/>
    </xf>
    <xf numFmtId="0" fontId="70" fillId="8" borderId="141" xfId="0" applyFont="1" applyFill="1" applyBorder="1" applyAlignment="1">
      <alignment horizontal="center" vertical="center"/>
    </xf>
    <xf numFmtId="0" fontId="70" fillId="8" borderId="142" xfId="0" applyFont="1" applyFill="1" applyBorder="1" applyAlignment="1">
      <alignment horizontal="center" vertical="center"/>
    </xf>
    <xf numFmtId="0" fontId="4" fillId="0" borderId="143" xfId="0" applyFont="1" applyBorder="1" applyAlignment="1">
      <alignment horizontal="right" vertical="center"/>
    </xf>
    <xf numFmtId="1" fontId="69" fillId="9" borderId="144" xfId="0" applyNumberFormat="1" applyFont="1" applyFill="1" applyBorder="1" applyAlignment="1">
      <alignment horizontal="center" vertical="center"/>
    </xf>
    <xf numFmtId="1" fontId="69" fillId="9" borderId="145"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1" fontId="69" fillId="8" borderId="146"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7"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6" xfId="0" applyNumberFormat="1" applyFont="1" applyFill="1" applyBorder="1" applyAlignment="1">
      <alignment horizontal="center" vertical="center"/>
    </xf>
    <xf numFmtId="0" fontId="56" fillId="2" borderId="64" xfId="0" applyFont="1" applyFill="1" applyBorder="1" applyAlignment="1">
      <alignment horizontal="left" vertical="center"/>
    </xf>
    <xf numFmtId="0" fontId="7" fillId="12" borderId="62" xfId="0" quotePrefix="1" applyFont="1" applyFill="1" applyBorder="1" applyAlignment="1">
      <alignment horizontal="center" vertical="center"/>
    </xf>
    <xf numFmtId="0" fontId="2" fillId="13" borderId="112" xfId="0" applyFont="1" applyFill="1" applyBorder="1" applyAlignment="1">
      <alignment horizontal="center" vertical="center" shrinkToFit="1"/>
    </xf>
    <xf numFmtId="0" fontId="2" fillId="13" borderId="75" xfId="0" applyFont="1" applyFill="1" applyBorder="1" applyAlignment="1">
      <alignment horizontal="center" vertical="center"/>
    </xf>
    <xf numFmtId="0" fontId="2" fillId="13" borderId="75" xfId="0" quotePrefix="1" applyFont="1" applyFill="1" applyBorder="1" applyAlignment="1">
      <alignment horizontal="center" vertical="center"/>
    </xf>
    <xf numFmtId="9" fontId="2" fillId="13" borderId="75" xfId="0" applyNumberFormat="1" applyFont="1" applyFill="1" applyBorder="1" applyAlignment="1">
      <alignment horizontal="center" vertical="center"/>
    </xf>
    <xf numFmtId="49" fontId="2" fillId="13" borderId="75" xfId="0" quotePrefix="1" applyNumberFormat="1" applyFont="1" applyFill="1" applyBorder="1" applyAlignment="1">
      <alignment horizontal="center" vertical="center"/>
    </xf>
    <xf numFmtId="164" fontId="2" fillId="13" borderId="75" xfId="0" applyNumberFormat="1" applyFont="1" applyFill="1" applyBorder="1" applyAlignment="1">
      <alignment horizontal="center" vertical="center"/>
    </xf>
    <xf numFmtId="164" fontId="2" fillId="13" borderId="76" xfId="0" applyNumberFormat="1" applyFont="1" applyFill="1" applyBorder="1" applyAlignment="1">
      <alignment horizontal="centerContinuous" vertical="center"/>
    </xf>
    <xf numFmtId="164" fontId="2" fillId="13" borderId="118" xfId="0" applyNumberFormat="1" applyFont="1" applyFill="1" applyBorder="1" applyAlignment="1">
      <alignment horizontal="centerContinuous" vertical="center"/>
    </xf>
    <xf numFmtId="0" fontId="5" fillId="13" borderId="119" xfId="0" quotePrefix="1" applyFont="1" applyFill="1" applyBorder="1" applyAlignment="1">
      <alignment horizontal="centerContinuous" vertical="center"/>
    </xf>
    <xf numFmtId="1" fontId="2" fillId="13" borderId="34" xfId="0" applyNumberFormat="1" applyFont="1" applyFill="1" applyBorder="1" applyAlignment="1">
      <alignment horizontal="center" vertical="center"/>
    </xf>
    <xf numFmtId="0" fontId="2" fillId="13" borderId="77" xfId="0" applyFont="1" applyFill="1" applyBorder="1" applyAlignment="1">
      <alignment horizontal="center" vertical="center"/>
    </xf>
    <xf numFmtId="0" fontId="2" fillId="13" borderId="78" xfId="0" applyFont="1" applyFill="1" applyBorder="1" applyAlignment="1">
      <alignment horizontal="center" vertical="center"/>
    </xf>
    <xf numFmtId="0" fontId="2" fillId="13" borderId="78" xfId="0" quotePrefix="1" applyFont="1" applyFill="1" applyBorder="1" applyAlignment="1">
      <alignment horizontal="center" vertical="center" wrapText="1"/>
    </xf>
    <xf numFmtId="49" fontId="2" fillId="13" borderId="78" xfId="2" applyNumberFormat="1" applyFont="1" applyFill="1" applyBorder="1" applyAlignment="1">
      <alignment horizontal="center" vertical="center"/>
    </xf>
    <xf numFmtId="0" fontId="2" fillId="13" borderId="78" xfId="0" applyFont="1" applyFill="1" applyBorder="1" applyAlignment="1">
      <alignment horizontal="center" vertical="center" shrinkToFit="1"/>
    </xf>
    <xf numFmtId="164" fontId="2" fillId="13" borderId="78" xfId="0" applyNumberFormat="1" applyFont="1" applyFill="1" applyBorder="1" applyAlignment="1">
      <alignment horizontal="center" vertical="center"/>
    </xf>
    <xf numFmtId="1" fontId="2" fillId="13" borderId="78" xfId="0" applyNumberFormat="1" applyFont="1" applyFill="1" applyBorder="1" applyAlignment="1">
      <alignment horizontal="center" vertical="center"/>
    </xf>
    <xf numFmtId="1" fontId="2" fillId="13" borderId="79" xfId="0" applyNumberFormat="1" applyFont="1" applyFill="1" applyBorder="1" applyAlignment="1">
      <alignment horizontal="center" vertical="center"/>
    </xf>
    <xf numFmtId="0" fontId="2" fillId="13" borderId="80" xfId="0" quotePrefix="1" applyFont="1" applyFill="1" applyBorder="1" applyAlignment="1">
      <alignment horizontal="center" vertical="center"/>
    </xf>
    <xf numFmtId="1" fontId="2" fillId="13" borderId="53" xfId="0" applyNumberFormat="1" applyFont="1" applyFill="1" applyBorder="1" applyAlignment="1">
      <alignment horizontal="center" vertical="center"/>
    </xf>
    <xf numFmtId="0" fontId="39" fillId="0" borderId="114" xfId="0" applyFont="1" applyBorder="1" applyAlignment="1">
      <alignment horizontal="center" shrinkToFit="1"/>
    </xf>
    <xf numFmtId="0" fontId="7" fillId="0" borderId="68" xfId="0" applyNumberFormat="1" applyFont="1" applyFill="1" applyBorder="1" applyAlignment="1">
      <alignment horizontal="centerContinuous" vertical="center"/>
    </xf>
    <xf numFmtId="0" fontId="2" fillId="0" borderId="70" xfId="0" applyNumberFormat="1" applyFont="1" applyFill="1" applyBorder="1" applyAlignment="1">
      <alignment horizontal="centerContinuous" vertical="center"/>
    </xf>
    <xf numFmtId="0" fontId="2" fillId="0" borderId="55"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3" fillId="0" borderId="0" xfId="0" applyFont="1" applyAlignment="1">
      <alignment vertical="center"/>
    </xf>
    <xf numFmtId="0" fontId="2" fillId="0" borderId="0" xfId="0" applyFont="1" applyAlignment="1">
      <alignment horizontal="left" vertical="center" shrinkToFit="1"/>
    </xf>
    <xf numFmtId="0" fontId="2" fillId="0" borderId="103" xfId="0" applyFont="1" applyBorder="1" applyAlignment="1">
      <alignment horizontal="center" vertical="center" shrinkToFit="1"/>
    </xf>
    <xf numFmtId="1" fontId="2" fillId="0" borderId="122" xfId="0" applyNumberFormat="1" applyFont="1" applyBorder="1" applyAlignment="1">
      <alignment horizontal="center" vertical="center" shrinkToFit="1"/>
    </xf>
    <xf numFmtId="164" fontId="2" fillId="0" borderId="122" xfId="0" applyNumberFormat="1" applyFont="1" applyBorder="1" applyAlignment="1">
      <alignment horizontal="center" vertical="center" shrinkToFit="1"/>
    </xf>
    <xf numFmtId="0" fontId="2" fillId="0" borderId="148" xfId="0" applyFont="1" applyBorder="1" applyAlignment="1">
      <alignment horizontal="left" vertical="center"/>
    </xf>
    <xf numFmtId="0" fontId="2" fillId="0" borderId="123" xfId="0" applyFont="1" applyBorder="1" applyAlignment="1">
      <alignment horizontal="left" vertical="center" shrinkToFit="1"/>
    </xf>
    <xf numFmtId="1" fontId="2" fillId="0" borderId="74" xfId="0" applyNumberFormat="1" applyFont="1" applyBorder="1" applyAlignment="1">
      <alignment horizontal="center" vertical="center" shrinkToFit="1"/>
    </xf>
    <xf numFmtId="0" fontId="2" fillId="0" borderId="149"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50"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51"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00FF"/>
      <color rgb="FFCCFFCC"/>
      <color rgb="FF6600CC"/>
      <color rgb="FF009900"/>
      <color rgb="FF9966FF"/>
      <color rgb="FF00FF99"/>
      <color rgb="FF00FF00"/>
      <color rgb="FF00CC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91440</xdr:colOff>
      <xdr:row>1</xdr:row>
      <xdr:rowOff>83820</xdr:rowOff>
    </xdr:from>
    <xdr:to>
      <xdr:col>6</xdr:col>
      <xdr:colOff>960120</xdr:colOff>
      <xdr:row>17</xdr:row>
      <xdr:rowOff>203558</xdr:rowOff>
    </xdr:to>
    <xdr:pic>
      <xdr:nvPicPr>
        <xdr:cNvPr id="6" name="Picture 5">
          <a:extLst>
            <a:ext uri="{FF2B5EF4-FFF2-40B4-BE49-F238E27FC236}">
              <a16:creationId xmlns:a16="http://schemas.microsoft.com/office/drawing/2014/main" id="{259A1AF2-55D4-439A-A7C6-486CD4AAC3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5780" y="457200"/>
          <a:ext cx="1912620" cy="3579218"/>
        </a:xfrm>
        <a:prstGeom prst="rect">
          <a:avLst/>
        </a:prstGeom>
        <a:ln w="38100" cmpd="dbl">
          <a:solidFill>
            <a:srgbClr val="FFC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60960</xdr:colOff>
      <xdr:row>16</xdr:row>
      <xdr:rowOff>1904</xdr:rowOff>
    </xdr:from>
    <xdr:to>
      <xdr:col>6</xdr:col>
      <xdr:colOff>982980</xdr:colOff>
      <xdr:row>17</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05300" y="3613784"/>
          <a:ext cx="196596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41910</xdr:colOff>
      <xdr:row>18</xdr:row>
      <xdr:rowOff>51434</xdr:rowOff>
    </xdr:from>
    <xdr:to>
      <xdr:col>6</xdr:col>
      <xdr:colOff>1261110</xdr:colOff>
      <xdr:row>40</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41910" y="3762374"/>
          <a:ext cx="6499860" cy="505396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 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twoCellAnchor editAs="oneCell">
    <xdr:from>
      <xdr:col>7</xdr:col>
      <xdr:colOff>52122</xdr:colOff>
      <xdr:row>0</xdr:row>
      <xdr:rowOff>45720</xdr:rowOff>
    </xdr:from>
    <xdr:to>
      <xdr:col>12</xdr:col>
      <xdr:colOff>278016</xdr:colOff>
      <xdr:row>24</xdr:row>
      <xdr:rowOff>175260</xdr:rowOff>
    </xdr:to>
    <xdr:pic>
      <xdr:nvPicPr>
        <xdr:cNvPr id="7" name="Picture 6">
          <a:extLst>
            <a:ext uri="{FF2B5EF4-FFF2-40B4-BE49-F238E27FC236}">
              <a16:creationId xmlns:a16="http://schemas.microsoft.com/office/drawing/2014/main" id="{CA984EAA-9B66-4A0A-99AE-31BC606D7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4342" y="45720"/>
          <a:ext cx="5178894" cy="5554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230505</xdr:colOff>
      <xdr:row>1</xdr:row>
      <xdr:rowOff>123825</xdr:rowOff>
    </xdr:from>
    <xdr:to>
      <xdr:col>4</xdr:col>
      <xdr:colOff>116205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abSelected="1" zoomScaleNormal="100" workbookViewId="0"/>
  </sheetViews>
  <sheetFormatPr defaultColWidth="13" defaultRowHeight="15.6"/>
  <cols>
    <col min="1" max="1" width="16.8984375" style="145" bestFit="1" customWidth="1"/>
    <col min="2" max="2" width="10" style="147" customWidth="1"/>
    <col min="3" max="3" width="5.5" style="147" customWidth="1"/>
    <col min="4" max="4" width="13.69921875" style="145" bestFit="1" customWidth="1"/>
    <col min="5" max="5" width="9.59765625" style="147" bestFit="1" customWidth="1"/>
    <col min="6" max="6" width="13.69921875" style="145" customWidth="1"/>
    <col min="7" max="7" width="13.69921875" style="147" customWidth="1"/>
    <col min="8" max="16384" width="13" style="22"/>
  </cols>
  <sheetData>
    <row r="1" spans="1:7" ht="29.4" thickTop="1" thickBot="1">
      <c r="A1" s="150" t="s">
        <v>106</v>
      </c>
      <c r="B1" s="469" t="s">
        <v>293</v>
      </c>
      <c r="C1" s="151"/>
      <c r="D1" s="152"/>
      <c r="E1" s="153"/>
      <c r="F1" s="152"/>
      <c r="G1" s="154" t="s">
        <v>105</v>
      </c>
    </row>
    <row r="2" spans="1:7" ht="17.399999999999999" thickTop="1">
      <c r="A2" s="155" t="s">
        <v>155</v>
      </c>
      <c r="B2" s="156" t="s">
        <v>78</v>
      </c>
      <c r="C2" s="156"/>
      <c r="D2" s="157" t="s">
        <v>156</v>
      </c>
      <c r="E2" s="158" t="s">
        <v>142</v>
      </c>
      <c r="F2" s="159"/>
      <c r="G2" s="160"/>
    </row>
    <row r="3" spans="1:7" ht="16.8">
      <c r="A3" s="155" t="s">
        <v>157</v>
      </c>
      <c r="B3" s="156" t="s">
        <v>115</v>
      </c>
      <c r="C3" s="156"/>
      <c r="D3" s="157" t="s">
        <v>79</v>
      </c>
      <c r="E3" s="158">
        <v>3</v>
      </c>
      <c r="F3" s="157"/>
      <c r="G3" s="160"/>
    </row>
    <row r="4" spans="1:7" ht="16.8">
      <c r="A4" s="155" t="s">
        <v>157</v>
      </c>
      <c r="B4" s="156" t="s">
        <v>200</v>
      </c>
      <c r="C4" s="156"/>
      <c r="D4" s="157" t="s">
        <v>79</v>
      </c>
      <c r="E4" s="158">
        <v>1</v>
      </c>
      <c r="F4" s="157"/>
      <c r="G4" s="160"/>
    </row>
    <row r="5" spans="1:7" ht="16.8">
      <c r="A5" s="300" t="s">
        <v>157</v>
      </c>
      <c r="B5" s="301" t="s">
        <v>154</v>
      </c>
      <c r="C5" s="301"/>
      <c r="D5" s="302" t="s">
        <v>79</v>
      </c>
      <c r="E5" s="303">
        <v>0</v>
      </c>
      <c r="F5" s="157"/>
      <c r="G5" s="160"/>
    </row>
    <row r="6" spans="1:7" ht="16.8">
      <c r="A6" s="155" t="s">
        <v>158</v>
      </c>
      <c r="B6" s="156" t="s">
        <v>110</v>
      </c>
      <c r="C6" s="156"/>
      <c r="D6" s="157" t="s">
        <v>159</v>
      </c>
      <c r="E6" s="158" t="s">
        <v>108</v>
      </c>
      <c r="F6" s="157"/>
      <c r="G6" s="160"/>
    </row>
    <row r="7" spans="1:7" ht="16.8">
      <c r="A7" s="155" t="s">
        <v>160</v>
      </c>
      <c r="B7" s="156">
        <v>42</v>
      </c>
      <c r="C7" s="156"/>
      <c r="D7" s="157" t="s">
        <v>161</v>
      </c>
      <c r="E7" s="158" t="s">
        <v>109</v>
      </c>
      <c r="F7" s="157"/>
      <c r="G7" s="160"/>
    </row>
    <row r="8" spans="1:7" ht="16.8">
      <c r="A8" s="155" t="s">
        <v>162</v>
      </c>
      <c r="B8" s="156" t="s">
        <v>112</v>
      </c>
      <c r="C8" s="156"/>
      <c r="D8" s="157" t="s">
        <v>163</v>
      </c>
      <c r="E8" s="158" t="s">
        <v>107</v>
      </c>
      <c r="F8" s="157"/>
      <c r="G8" s="160"/>
    </row>
    <row r="9" spans="1:7" ht="17.399999999999999" thickBot="1">
      <c r="A9" s="155" t="s">
        <v>164</v>
      </c>
      <c r="B9" s="156" t="s">
        <v>111</v>
      </c>
      <c r="C9" s="156"/>
      <c r="D9" s="157"/>
      <c r="E9" s="158"/>
      <c r="F9" s="157"/>
      <c r="G9" s="160"/>
    </row>
    <row r="10" spans="1:7" ht="17.399999999999999" thickTop="1">
      <c r="A10" s="161" t="s">
        <v>165</v>
      </c>
      <c r="B10" s="492">
        <f>2+0</f>
        <v>2</v>
      </c>
      <c r="C10" s="493"/>
      <c r="D10" s="162" t="s">
        <v>67</v>
      </c>
      <c r="E10" s="163" t="s">
        <v>189</v>
      </c>
      <c r="F10" s="164"/>
      <c r="G10" s="160"/>
    </row>
    <row r="11" spans="1:7" ht="17.399999999999999" thickBot="1">
      <c r="A11" s="165" t="s">
        <v>166</v>
      </c>
      <c r="B11" s="166" t="str">
        <f>C13</f>
        <v>+3</v>
      </c>
      <c r="C11" s="167"/>
      <c r="D11" s="277" t="s">
        <v>167</v>
      </c>
      <c r="E11" s="370">
        <v>9999</v>
      </c>
      <c r="F11" s="164"/>
      <c r="G11" s="160"/>
    </row>
    <row r="12" spans="1:7" ht="17.399999999999999" thickTop="1">
      <c r="A12" s="168" t="s">
        <v>168</v>
      </c>
      <c r="B12" s="292">
        <f>8+2</f>
        <v>10</v>
      </c>
      <c r="C12" s="169" t="str">
        <f>IF(B12&gt;9.9,CONCATENATE("+",ROUNDDOWN((B12-10)/2,0)),ROUNDUP((B12-10)/2,0))</f>
        <v>+0</v>
      </c>
      <c r="D12" s="170" t="s">
        <v>169</v>
      </c>
      <c r="E12" s="224" t="s">
        <v>143</v>
      </c>
      <c r="F12" s="164"/>
      <c r="G12" s="160"/>
    </row>
    <row r="13" spans="1:7" ht="16.8">
      <c r="A13" s="171" t="s">
        <v>170</v>
      </c>
      <c r="B13" s="223">
        <v>16</v>
      </c>
      <c r="C13" s="172" t="str">
        <f t="shared" ref="C13:C17" si="0">IF(B13&gt;9.9,CONCATENATE("+",ROUNDDOWN((B13-10)/2,0)),ROUNDUP((B13-10)/2,0))</f>
        <v>+3</v>
      </c>
      <c r="D13" s="173" t="s">
        <v>171</v>
      </c>
      <c r="E13" s="174">
        <f>SUM(Martial!G6:G20)+SUM(Equipment!C3:C22)</f>
        <v>35.317499999999995</v>
      </c>
      <c r="F13" s="164"/>
      <c r="G13" s="160"/>
    </row>
    <row r="14" spans="1:7" ht="16.8">
      <c r="A14" s="175" t="s">
        <v>172</v>
      </c>
      <c r="B14" s="223">
        <v>13</v>
      </c>
      <c r="C14" s="177" t="str">
        <f t="shared" si="0"/>
        <v>+1</v>
      </c>
      <c r="D14" s="173" t="s">
        <v>173</v>
      </c>
      <c r="E14" s="178">
        <f>ROUNDUP(((E3*6)*0.75)+((E4*4)*0.75)+((E5*0)*0.75)+((E3+E5)*C14),0)</f>
        <v>20</v>
      </c>
      <c r="F14" s="164"/>
      <c r="G14" s="160"/>
    </row>
    <row r="15" spans="1:7" ht="16.8">
      <c r="A15" s="179" t="s">
        <v>174</v>
      </c>
      <c r="B15" s="223">
        <v>15</v>
      </c>
      <c r="C15" s="172" t="str">
        <f t="shared" si="0"/>
        <v>+2</v>
      </c>
      <c r="D15" s="180" t="s">
        <v>175</v>
      </c>
      <c r="E15" s="290">
        <f>11+C13</f>
        <v>14</v>
      </c>
      <c r="F15" s="238"/>
      <c r="G15" s="160"/>
    </row>
    <row r="16" spans="1:7" ht="16.8">
      <c r="A16" s="181" t="s">
        <v>176</v>
      </c>
      <c r="B16" s="176">
        <v>10</v>
      </c>
      <c r="C16" s="172" t="str">
        <f t="shared" si="0"/>
        <v>+0</v>
      </c>
      <c r="D16" s="180" t="s">
        <v>177</v>
      </c>
      <c r="E16" s="290">
        <f>E17-C13</f>
        <v>15</v>
      </c>
      <c r="F16" s="238"/>
      <c r="G16" s="160"/>
    </row>
    <row r="17" spans="1:7" ht="17.399999999999999" thickBot="1">
      <c r="A17" s="182" t="s">
        <v>178</v>
      </c>
      <c r="B17" s="183">
        <v>10</v>
      </c>
      <c r="C17" s="184" t="str">
        <f t="shared" si="0"/>
        <v>+0</v>
      </c>
      <c r="D17" s="185" t="s">
        <v>179</v>
      </c>
      <c r="E17" s="291">
        <f>E15+SUM(Martial!B14:B16)</f>
        <v>18</v>
      </c>
      <c r="F17" s="238"/>
      <c r="G17" s="160"/>
    </row>
    <row r="18" spans="1:7" s="5" customFormat="1" ht="24" thickTop="1" thickBot="1">
      <c r="A18" s="293" t="s">
        <v>113</v>
      </c>
      <c r="B18" s="294"/>
      <c r="C18" s="294"/>
      <c r="D18" s="295"/>
      <c r="E18" s="295"/>
      <c r="F18" s="295"/>
      <c r="G18" s="296"/>
    </row>
    <row r="19" spans="1:7" s="5" customFormat="1" ht="17.399999999999999" thickTop="1">
      <c r="A19" s="186"/>
      <c r="B19" s="187"/>
      <c r="C19" s="187"/>
      <c r="D19" s="187"/>
      <c r="E19" s="187"/>
      <c r="F19" s="187"/>
      <c r="G19" s="188"/>
    </row>
    <row r="20" spans="1:7" s="5" customFormat="1" ht="16.8">
      <c r="A20" s="189"/>
      <c r="B20" s="297"/>
      <c r="C20" s="297"/>
      <c r="D20" s="297"/>
      <c r="E20" s="297"/>
      <c r="F20" s="297"/>
      <c r="G20" s="190"/>
    </row>
    <row r="21" spans="1:7" s="5" customFormat="1" ht="16.8">
      <c r="A21" s="189"/>
      <c r="B21" s="297"/>
      <c r="C21" s="297"/>
      <c r="D21" s="297"/>
      <c r="E21" s="297"/>
      <c r="F21" s="297"/>
      <c r="G21" s="190"/>
    </row>
    <row r="22" spans="1:7" s="5" customFormat="1" ht="16.8">
      <c r="A22" s="189"/>
      <c r="B22" s="297"/>
      <c r="C22" s="297"/>
      <c r="D22" s="297"/>
      <c r="E22" s="297"/>
      <c r="F22" s="297"/>
      <c r="G22" s="190"/>
    </row>
    <row r="23" spans="1:7" s="5" customFormat="1" ht="16.8">
      <c r="A23" s="189"/>
      <c r="B23" s="297"/>
      <c r="C23" s="297"/>
      <c r="D23" s="297"/>
      <c r="E23" s="297"/>
      <c r="F23" s="297"/>
      <c r="G23" s="190"/>
    </row>
    <row r="24" spans="1:7" ht="16.8">
      <c r="A24" s="189"/>
      <c r="B24" s="297"/>
      <c r="C24" s="297"/>
      <c r="D24" s="297"/>
      <c r="E24" s="297"/>
      <c r="F24" s="297"/>
      <c r="G24" s="190"/>
    </row>
    <row r="25" spans="1:7" ht="16.8">
      <c r="A25" s="189"/>
      <c r="B25" s="297"/>
      <c r="C25" s="297"/>
      <c r="D25" s="297"/>
      <c r="E25" s="297"/>
      <c r="F25" s="297"/>
      <c r="G25" s="190"/>
    </row>
    <row r="26" spans="1:7" ht="16.8">
      <c r="A26" s="189"/>
      <c r="B26" s="297"/>
      <c r="C26" s="297"/>
      <c r="D26" s="297"/>
      <c r="E26" s="297"/>
      <c r="F26" s="297"/>
      <c r="G26" s="190"/>
    </row>
    <row r="27" spans="1:7" ht="16.8">
      <c r="A27" s="189"/>
      <c r="B27" s="297"/>
      <c r="C27" s="297"/>
      <c r="D27" s="297"/>
      <c r="E27" s="297"/>
      <c r="F27" s="297"/>
      <c r="G27" s="190"/>
    </row>
    <row r="28" spans="1:7" ht="16.8">
      <c r="A28" s="189"/>
      <c r="B28" s="297"/>
      <c r="C28" s="297"/>
      <c r="D28" s="297"/>
      <c r="E28" s="297"/>
      <c r="F28" s="297"/>
      <c r="G28" s="190"/>
    </row>
    <row r="29" spans="1:7" ht="16.8">
      <c r="A29" s="189"/>
      <c r="B29" s="297"/>
      <c r="C29" s="297"/>
      <c r="D29" s="297"/>
      <c r="E29" s="297"/>
      <c r="F29" s="297"/>
      <c r="G29" s="190"/>
    </row>
    <row r="30" spans="1:7" ht="16.8">
      <c r="A30" s="189"/>
      <c r="B30" s="297"/>
      <c r="C30" s="297"/>
      <c r="D30" s="297"/>
      <c r="E30" s="297"/>
      <c r="F30" s="297"/>
      <c r="G30" s="190"/>
    </row>
    <row r="31" spans="1:7" ht="16.8">
      <c r="A31" s="189"/>
      <c r="B31" s="297"/>
      <c r="C31" s="297"/>
      <c r="D31" s="297"/>
      <c r="E31" s="297"/>
      <c r="F31" s="297"/>
      <c r="G31" s="190"/>
    </row>
    <row r="32" spans="1:7" ht="16.8">
      <c r="A32" s="189"/>
      <c r="B32" s="297"/>
      <c r="C32" s="297"/>
      <c r="D32" s="297"/>
      <c r="E32" s="297"/>
      <c r="F32" s="297"/>
      <c r="G32" s="190"/>
    </row>
    <row r="33" spans="1:7" ht="16.8">
      <c r="A33" s="189"/>
      <c r="B33" s="297"/>
      <c r="C33" s="297"/>
      <c r="D33" s="297"/>
      <c r="E33" s="297"/>
      <c r="F33" s="297"/>
      <c r="G33" s="190"/>
    </row>
    <row r="34" spans="1:7" ht="16.8">
      <c r="A34" s="189"/>
      <c r="B34" s="297"/>
      <c r="C34" s="297"/>
      <c r="D34" s="297"/>
      <c r="E34" s="297"/>
      <c r="F34" s="297"/>
      <c r="G34" s="190"/>
    </row>
    <row r="35" spans="1:7" ht="16.8">
      <c r="A35" s="189"/>
      <c r="B35" s="297"/>
      <c r="C35" s="297"/>
      <c r="D35" s="297"/>
      <c r="E35" s="297"/>
      <c r="F35" s="297"/>
      <c r="G35" s="190"/>
    </row>
    <row r="36" spans="1:7" ht="16.8">
      <c r="A36" s="189"/>
      <c r="B36" s="297"/>
      <c r="C36" s="297"/>
      <c r="D36" s="297"/>
      <c r="E36" s="297"/>
      <c r="F36" s="297"/>
      <c r="G36" s="190"/>
    </row>
    <row r="37" spans="1:7" ht="16.8">
      <c r="A37" s="189"/>
      <c r="B37" s="297"/>
      <c r="C37" s="297"/>
      <c r="D37" s="297"/>
      <c r="E37" s="297"/>
      <c r="F37" s="297"/>
      <c r="G37" s="190"/>
    </row>
    <row r="38" spans="1:7" ht="16.8">
      <c r="A38" s="189"/>
      <c r="B38" s="297"/>
      <c r="C38" s="297"/>
      <c r="D38" s="297"/>
      <c r="E38" s="297"/>
      <c r="F38" s="297"/>
      <c r="G38" s="190"/>
    </row>
    <row r="39" spans="1:7" ht="16.8">
      <c r="A39" s="189"/>
      <c r="B39" s="297"/>
      <c r="C39" s="297"/>
      <c r="D39" s="297"/>
      <c r="E39" s="297"/>
      <c r="F39" s="297"/>
      <c r="G39" s="190"/>
    </row>
    <row r="40" spans="1:7" ht="16.8">
      <c r="A40" s="189"/>
      <c r="B40" s="297"/>
      <c r="C40" s="297"/>
      <c r="D40" s="297"/>
      <c r="E40" s="297"/>
      <c r="F40" s="297"/>
      <c r="G40" s="190"/>
    </row>
    <row r="41" spans="1:7" ht="17.399999999999999" thickBot="1">
      <c r="A41" s="191"/>
      <c r="B41" s="192"/>
      <c r="C41" s="192"/>
      <c r="D41" s="192"/>
      <c r="E41" s="192"/>
      <c r="F41" s="192"/>
      <c r="G41" s="193"/>
    </row>
    <row r="42" spans="1:7" ht="16.2" thickTop="1">
      <c r="A42" s="298"/>
      <c r="B42" s="299"/>
      <c r="C42" s="299"/>
      <c r="D42" s="298"/>
      <c r="E42" s="299"/>
      <c r="F42" s="298"/>
      <c r="G42" s="299"/>
    </row>
  </sheetData>
  <phoneticPr fontId="0" type="noConversion"/>
  <conditionalFormatting sqref="E13">
    <cfRule type="cellIs" dxfId="12" priority="1" stopIfTrue="1" operator="greaterThan">
      <formula>50</formula>
    </cfRule>
    <cfRule type="cellIs" dxfId="11"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cols>
    <col min="1" max="1" width="29.59765625" style="145" bestFit="1" customWidth="1"/>
    <col min="2" max="2" width="5.8984375" style="145" bestFit="1" customWidth="1"/>
    <col min="3" max="3" width="7.59765625" style="147" hidden="1" customWidth="1"/>
    <col min="4" max="4" width="7.19921875" style="147" hidden="1" customWidth="1"/>
    <col min="5" max="5" width="9.19921875" style="147" bestFit="1" customWidth="1"/>
    <col min="6" max="6" width="7.3984375" style="147" customWidth="1"/>
    <col min="7" max="7" width="6" style="148" bestFit="1" customWidth="1"/>
    <col min="8" max="8" width="5.19921875" style="148" bestFit="1" customWidth="1"/>
    <col min="9" max="9" width="7.5" style="148" customWidth="1"/>
    <col min="10" max="10" width="26.59765625" style="145" customWidth="1"/>
    <col min="11" max="16384" width="13" style="22"/>
  </cols>
  <sheetData>
    <row r="1" spans="1:10" ht="23.4" thickBot="1">
      <c r="A1" s="92" t="s">
        <v>6</v>
      </c>
      <c r="B1" s="93"/>
      <c r="C1" s="93"/>
      <c r="D1" s="93"/>
      <c r="E1" s="93"/>
      <c r="F1" s="93"/>
      <c r="G1" s="94"/>
      <c r="H1" s="94"/>
      <c r="I1" s="94"/>
      <c r="J1" s="93"/>
    </row>
    <row r="2" spans="1:10" s="5" customFormat="1" ht="34.200000000000003" thickBot="1">
      <c r="A2" s="1" t="s">
        <v>82</v>
      </c>
      <c r="B2" s="2" t="s">
        <v>20</v>
      </c>
      <c r="C2" s="2" t="s">
        <v>27</v>
      </c>
      <c r="D2" s="2" t="s">
        <v>19</v>
      </c>
      <c r="E2" s="3" t="s">
        <v>52</v>
      </c>
      <c r="F2" s="3" t="s">
        <v>28</v>
      </c>
      <c r="G2" s="331" t="s">
        <v>54</v>
      </c>
      <c r="H2" s="366" t="s">
        <v>75</v>
      </c>
      <c r="I2" s="331" t="s">
        <v>65</v>
      </c>
      <c r="J2" s="4" t="s">
        <v>63</v>
      </c>
    </row>
    <row r="3" spans="1:10" s="5" customFormat="1" ht="16.8">
      <c r="A3" s="216" t="s">
        <v>98</v>
      </c>
      <c r="B3" s="217">
        <f>1+0</f>
        <v>1</v>
      </c>
      <c r="C3" s="90" t="s">
        <v>22</v>
      </c>
      <c r="D3" s="90" t="str">
        <f>IF(C3="Str",'Personal File'!$C$12,IF(C3="Dex",'Personal File'!$C$13,IF(C3="Con",'Personal File'!$C$14,IF(C3="Int",'Personal File'!$C$15,IF(C3="Wis",'Personal File'!$C$16,IF(C3="Cha",'Personal File'!$C$17))))))</f>
        <v>+1</v>
      </c>
      <c r="E3" s="219" t="str">
        <f t="shared" ref="E3" si="0">CONCATENATE(C3," (",D3,")")</f>
        <v>Con (+1)</v>
      </c>
      <c r="F3" s="90">
        <v>3</v>
      </c>
      <c r="G3" s="332">
        <f t="shared" ref="G3:G4" si="1">B3+D3+F3</f>
        <v>5</v>
      </c>
      <c r="H3" s="350">
        <f t="shared" ref="H3:H43" ca="1" si="2">RANDBETWEEN(1,20)</f>
        <v>17</v>
      </c>
      <c r="I3" s="194">
        <f t="shared" ref="I3:I4" ca="1" si="3">SUM(G3:H3)</f>
        <v>22</v>
      </c>
      <c r="J3" s="239"/>
    </row>
    <row r="4" spans="1:10" s="5" customFormat="1" ht="16.8">
      <c r="A4" s="218" t="s">
        <v>99</v>
      </c>
      <c r="B4" s="217">
        <f>3+0</f>
        <v>3</v>
      </c>
      <c r="C4" s="90" t="s">
        <v>25</v>
      </c>
      <c r="D4" s="90" t="str">
        <f>IF(C4="Str",'Personal File'!$C$12,IF(C4="Dex",'Personal File'!$C$13,IF(C4="Con",'Personal File'!$C$14,IF(C4="Int",'Personal File'!$C$15,IF(C4="Wis",'Personal File'!$C$16,IF(C4="Cha",'Personal File'!$C$17))))))</f>
        <v>+3</v>
      </c>
      <c r="E4" s="95" t="str">
        <f t="shared" ref="E4" si="4">CONCATENATE(C4," (",D4,")")</f>
        <v>Dex (+3)</v>
      </c>
      <c r="F4" s="112">
        <v>3</v>
      </c>
      <c r="G4" s="332">
        <f t="shared" si="1"/>
        <v>9</v>
      </c>
      <c r="H4" s="350">
        <f t="shared" ca="1" si="2"/>
        <v>15</v>
      </c>
      <c r="I4" s="194">
        <f t="shared" ca="1" si="3"/>
        <v>24</v>
      </c>
      <c r="J4" s="144"/>
    </row>
    <row r="5" spans="1:10" s="5" customFormat="1" ht="16.8">
      <c r="A5" s="96" t="s">
        <v>56</v>
      </c>
      <c r="B5" s="97">
        <f>1+2</f>
        <v>3</v>
      </c>
      <c r="C5" s="98" t="s">
        <v>24</v>
      </c>
      <c r="D5" s="98" t="str">
        <f>IF(C5="Str",'Personal File'!$C$12,IF(C5="Dex",'Personal File'!$C$13,IF(C5="Con",'Personal File'!$C$14,IF(C5="Int",'Personal File'!$C$15,IF(C5="Wis",'Personal File'!$C$16,IF(C5="Cha",'Personal File'!$C$17))))))</f>
        <v>+0</v>
      </c>
      <c r="E5" s="333" t="str">
        <f t="shared" ref="E5:E6" si="5">CONCATENATE(C5," (",D5,")")</f>
        <v>Wis (+0)</v>
      </c>
      <c r="F5" s="98">
        <v>3</v>
      </c>
      <c r="G5" s="334">
        <f t="shared" ref="G5:G44" si="6">B5+D5+F5</f>
        <v>6</v>
      </c>
      <c r="H5" s="351">
        <f t="shared" ca="1" si="2"/>
        <v>20</v>
      </c>
      <c r="I5" s="335">
        <f t="shared" ref="I5" ca="1" si="7">SUM(G5:H5)</f>
        <v>26</v>
      </c>
      <c r="J5" s="470" t="s">
        <v>294</v>
      </c>
    </row>
    <row r="6" spans="1:10" s="106" customFormat="1" ht="16.8">
      <c r="A6" s="120" t="s">
        <v>29</v>
      </c>
      <c r="B6" s="91">
        <v>0</v>
      </c>
      <c r="C6" s="121" t="s">
        <v>23</v>
      </c>
      <c r="D6" s="122" t="str">
        <f>IF(C6="Str",'Personal File'!$C$12,IF(C6="Dex",'Personal File'!$C$13,IF(C6="Con",'Personal File'!$C$14,IF(C6="Int",'Personal File'!$C$15,IF(C6="Wis",'Personal File'!$C$16,IF(C6="Cha",'Personal File'!$C$17))))))</f>
        <v>+2</v>
      </c>
      <c r="E6" s="123" t="str">
        <f t="shared" si="5"/>
        <v>Int (+2)</v>
      </c>
      <c r="F6" s="112" t="s">
        <v>53</v>
      </c>
      <c r="G6" s="112">
        <f t="shared" si="6"/>
        <v>2</v>
      </c>
      <c r="H6" s="352">
        <f t="shared" ca="1" si="2"/>
        <v>20</v>
      </c>
      <c r="I6" s="112">
        <f ca="1">SUM(G6:H6)</f>
        <v>22</v>
      </c>
      <c r="J6" s="144"/>
    </row>
    <row r="7" spans="1:10" s="107" customFormat="1" ht="16.8">
      <c r="A7" s="234" t="s">
        <v>30</v>
      </c>
      <c r="B7" s="100">
        <v>4</v>
      </c>
      <c r="C7" s="235" t="s">
        <v>25</v>
      </c>
      <c r="D7" s="236" t="str">
        <f>IF(C7="Str",'Personal File'!$C$12,IF(C7="Dex",'Personal File'!$C$13,IF(C7="Con",'Personal File'!$C$14,IF(C7="Int",'Personal File'!$C$15,IF(C7="Wis",'Personal File'!$C$16,IF(C7="Cha",'Personal File'!$C$17))))))</f>
        <v>+3</v>
      </c>
      <c r="E7" s="237" t="str">
        <f t="shared" ref="E7:E44" si="8">CONCATENATE(C7," (",D7,")")</f>
        <v>Dex (+3)</v>
      </c>
      <c r="F7" s="104" t="s">
        <v>53</v>
      </c>
      <c r="G7" s="104">
        <f t="shared" si="6"/>
        <v>7</v>
      </c>
      <c r="H7" s="350">
        <f t="shared" ca="1" si="2"/>
        <v>14</v>
      </c>
      <c r="I7" s="104">
        <f t="shared" ref="I7" ca="1" si="9">SUM(G7:H7)</f>
        <v>21</v>
      </c>
      <c r="J7" s="143"/>
    </row>
    <row r="8" spans="1:10" s="114" customFormat="1" ht="16.8">
      <c r="A8" s="108" t="s">
        <v>31</v>
      </c>
      <c r="B8" s="91">
        <v>0</v>
      </c>
      <c r="C8" s="109" t="s">
        <v>21</v>
      </c>
      <c r="D8" s="110" t="str">
        <f>IF(C8="Str",'Personal File'!$C$12,IF(C8="Dex",'Personal File'!$C$13,IF(C8="Con",'Personal File'!$C$14,IF(C8="Int",'Personal File'!$C$15,IF(C8="Wis",'Personal File'!$C$16,IF(C8="Cha",'Personal File'!$C$17))))))</f>
        <v>+0</v>
      </c>
      <c r="E8" s="111" t="str">
        <f t="shared" si="8"/>
        <v>Cha (+0)</v>
      </c>
      <c r="F8" s="112" t="s">
        <v>53</v>
      </c>
      <c r="G8" s="112">
        <f t="shared" si="6"/>
        <v>0</v>
      </c>
      <c r="H8" s="350">
        <f t="shared" ca="1" si="2"/>
        <v>15</v>
      </c>
      <c r="I8" s="112">
        <f t="shared" ref="I8:I44" ca="1" si="10">SUM(G8:H8)</f>
        <v>15</v>
      </c>
      <c r="J8" s="144"/>
    </row>
    <row r="9" spans="1:10" s="115" customFormat="1" ht="16.8">
      <c r="A9" s="319" t="s">
        <v>32</v>
      </c>
      <c r="B9" s="100">
        <v>6</v>
      </c>
      <c r="C9" s="320" t="s">
        <v>26</v>
      </c>
      <c r="D9" s="321" t="str">
        <f>IF(C9="Str",'Personal File'!$C$12,IF(C9="Dex",'Personal File'!$C$13,IF(C9="Con",'Personal File'!$C$14,IF(C9="Int",'Personal File'!$C$15,IF(C9="Wis",'Personal File'!$C$16,IF(C9="Cha",'Personal File'!$C$17))))))</f>
        <v>+0</v>
      </c>
      <c r="E9" s="322" t="str">
        <f t="shared" si="8"/>
        <v>Str (+0)</v>
      </c>
      <c r="F9" s="104" t="s">
        <v>53</v>
      </c>
      <c r="G9" s="104">
        <f t="shared" si="6"/>
        <v>6</v>
      </c>
      <c r="H9" s="350">
        <f t="shared" ca="1" si="2"/>
        <v>20</v>
      </c>
      <c r="I9" s="104">
        <f t="shared" ca="1" si="10"/>
        <v>26</v>
      </c>
      <c r="J9" s="143"/>
    </row>
    <row r="10" spans="1:10" s="115" customFormat="1" ht="16.8">
      <c r="A10" s="325" t="s">
        <v>7</v>
      </c>
      <c r="B10" s="91">
        <v>0</v>
      </c>
      <c r="C10" s="326" t="s">
        <v>22</v>
      </c>
      <c r="D10" s="327" t="str">
        <f>IF(C10="Str",'Personal File'!$C$12,IF(C10="Dex",'Personal File'!$C$13,IF(C10="Con",'Personal File'!$C$14,IF(C10="Int",'Personal File'!$C$15,IF(C10="Wis",'Personal File'!$C$16,IF(C10="Cha",'Personal File'!$C$17))))))</f>
        <v>+1</v>
      </c>
      <c r="E10" s="219" t="str">
        <f t="shared" si="8"/>
        <v>Con (+1)</v>
      </c>
      <c r="F10" s="112" t="s">
        <v>53</v>
      </c>
      <c r="G10" s="112">
        <f t="shared" si="6"/>
        <v>1</v>
      </c>
      <c r="H10" s="350">
        <f t="shared" ca="1" si="2"/>
        <v>8</v>
      </c>
      <c r="I10" s="112">
        <f t="shared" ca="1" si="10"/>
        <v>9</v>
      </c>
      <c r="J10" s="144"/>
    </row>
    <row r="11" spans="1:10" s="106" customFormat="1" ht="16.8">
      <c r="A11" s="99" t="s">
        <v>296</v>
      </c>
      <c r="B11" s="100">
        <v>3</v>
      </c>
      <c r="C11" s="101" t="s">
        <v>23</v>
      </c>
      <c r="D11" s="102" t="str">
        <f>IF(C11="Str",'Personal File'!$C$12,IF(C11="Dex",'Personal File'!$C$13,IF(C11="Con",'Personal File'!$C$14,IF(C11="Int",'Personal File'!$C$15,IF(C11="Wis",'Personal File'!$C$16,IF(C11="Cha",'Personal File'!$C$17))))))</f>
        <v>+2</v>
      </c>
      <c r="E11" s="103" t="str">
        <f t="shared" si="8"/>
        <v>Int (+2)</v>
      </c>
      <c r="F11" s="104" t="s">
        <v>53</v>
      </c>
      <c r="G11" s="104">
        <f t="shared" si="6"/>
        <v>5</v>
      </c>
      <c r="H11" s="350">
        <f t="shared" ca="1" si="2"/>
        <v>15</v>
      </c>
      <c r="I11" s="323">
        <f t="shared" ca="1" si="10"/>
        <v>20</v>
      </c>
      <c r="J11" s="324"/>
    </row>
    <row r="12" spans="1:10" s="106" customFormat="1" ht="16.8">
      <c r="A12" s="99" t="s">
        <v>297</v>
      </c>
      <c r="B12" s="100">
        <v>4</v>
      </c>
      <c r="C12" s="101" t="s">
        <v>23</v>
      </c>
      <c r="D12" s="102" t="str">
        <f>IF(C12="Str",'Personal File'!$C$12,IF(C12="Dex",'Personal File'!$C$13,IF(C12="Con",'Personal File'!$C$14,IF(C12="Int",'Personal File'!$C$15,IF(C12="Wis",'Personal File'!$C$16,IF(C12="Cha",'Personal File'!$C$17))))))</f>
        <v>+2</v>
      </c>
      <c r="E12" s="103" t="str">
        <f t="shared" ref="E12:E13" si="11">CONCATENATE(C12," (",D12,")")</f>
        <v>Int (+2)</v>
      </c>
      <c r="F12" s="104" t="s">
        <v>53</v>
      </c>
      <c r="G12" s="104">
        <f t="shared" ref="G12:G13" si="12">B12+D12+F12</f>
        <v>6</v>
      </c>
      <c r="H12" s="350">
        <f t="shared" ca="1" si="2"/>
        <v>10</v>
      </c>
      <c r="I12" s="323">
        <f t="shared" ref="I12:I13" ca="1" si="13">SUM(G12:H12)</f>
        <v>16</v>
      </c>
      <c r="J12" s="324"/>
    </row>
    <row r="13" spans="1:10" s="106" customFormat="1" ht="16.8">
      <c r="A13" s="99" t="s">
        <v>141</v>
      </c>
      <c r="B13" s="100">
        <v>7</v>
      </c>
      <c r="C13" s="101" t="s">
        <v>23</v>
      </c>
      <c r="D13" s="102" t="str">
        <f>IF(C13="Str",'Personal File'!$C$12,IF(C13="Dex",'Personal File'!$C$13,IF(C13="Con",'Personal File'!$C$14,IF(C13="Int",'Personal File'!$C$15,IF(C13="Wis",'Personal File'!$C$16,IF(C13="Cha",'Personal File'!$C$17))))))</f>
        <v>+2</v>
      </c>
      <c r="E13" s="103" t="str">
        <f t="shared" si="11"/>
        <v>Int (+2)</v>
      </c>
      <c r="F13" s="104" t="s">
        <v>53</v>
      </c>
      <c r="G13" s="104">
        <f t="shared" si="12"/>
        <v>9</v>
      </c>
      <c r="H13" s="350">
        <f t="shared" ca="1" si="2"/>
        <v>3</v>
      </c>
      <c r="I13" s="323">
        <f t="shared" ca="1" si="13"/>
        <v>12</v>
      </c>
      <c r="J13" s="324"/>
    </row>
    <row r="14" spans="1:10" s="116" customFormat="1" ht="16.8">
      <c r="A14" s="139" t="s">
        <v>33</v>
      </c>
      <c r="B14" s="125">
        <v>0</v>
      </c>
      <c r="C14" s="140" t="s">
        <v>23</v>
      </c>
      <c r="D14" s="141" t="str">
        <f>IF(C14="Str",'Personal File'!$C$12,IF(C14="Dex",'Personal File'!$C$13,IF(C14="Con",'Personal File'!$C$14,IF(C14="Int",'Personal File'!$C$15,IF(C14="Wis",'Personal File'!$C$16,IF(C14="Cha",'Personal File'!$C$17))))))</f>
        <v>+2</v>
      </c>
      <c r="E14" s="142" t="str">
        <f t="shared" si="8"/>
        <v>Int (+2)</v>
      </c>
      <c r="F14" s="129" t="s">
        <v>53</v>
      </c>
      <c r="G14" s="129">
        <f t="shared" si="6"/>
        <v>2</v>
      </c>
      <c r="H14" s="350">
        <f t="shared" ca="1" si="2"/>
        <v>10</v>
      </c>
      <c r="I14" s="129">
        <f t="shared" ca="1" si="10"/>
        <v>12</v>
      </c>
      <c r="J14" s="240"/>
    </row>
    <row r="15" spans="1:10" s="107" customFormat="1" ht="16.8">
      <c r="A15" s="108" t="s">
        <v>34</v>
      </c>
      <c r="B15" s="91">
        <v>0</v>
      </c>
      <c r="C15" s="109" t="s">
        <v>21</v>
      </c>
      <c r="D15" s="110" t="str">
        <f>IF(C15="Str",'Personal File'!$C$12,IF(C15="Dex",'Personal File'!$C$13,IF(C15="Con",'Personal File'!$C$14,IF(C15="Int",'Personal File'!$C$15,IF(C15="Wis",'Personal File'!$C$16,IF(C15="Cha",'Personal File'!$C$17))))))</f>
        <v>+0</v>
      </c>
      <c r="E15" s="111" t="str">
        <f t="shared" si="8"/>
        <v>Cha (+0)</v>
      </c>
      <c r="F15" s="112" t="s">
        <v>53</v>
      </c>
      <c r="G15" s="112">
        <f t="shared" si="6"/>
        <v>0</v>
      </c>
      <c r="H15" s="350">
        <f t="shared" ca="1" si="2"/>
        <v>15</v>
      </c>
      <c r="I15" s="112">
        <f t="shared" ca="1" si="10"/>
        <v>15</v>
      </c>
      <c r="J15" s="144"/>
    </row>
    <row r="16" spans="1:10" s="107" customFormat="1" ht="16.8">
      <c r="A16" s="99" t="s">
        <v>35</v>
      </c>
      <c r="B16" s="100">
        <v>4</v>
      </c>
      <c r="C16" s="101" t="s">
        <v>23</v>
      </c>
      <c r="D16" s="102" t="str">
        <f>IF(C16="Str",'Personal File'!$C$12,IF(C16="Dex",'Personal File'!$C$13,IF(C16="Con",'Personal File'!$C$14,IF(C16="Int",'Personal File'!$C$15,IF(C16="Wis",'Personal File'!$C$16,IF(C16="Cha",'Personal File'!$C$17))))))</f>
        <v>+2</v>
      </c>
      <c r="E16" s="103" t="str">
        <f t="shared" si="8"/>
        <v>Int (+2)</v>
      </c>
      <c r="F16" s="104" t="s">
        <v>53</v>
      </c>
      <c r="G16" s="104">
        <f t="shared" si="6"/>
        <v>6</v>
      </c>
      <c r="H16" s="350">
        <f t="shared" ca="1" si="2"/>
        <v>1</v>
      </c>
      <c r="I16" s="104">
        <f t="shared" ca="1" si="10"/>
        <v>7</v>
      </c>
      <c r="J16" s="143"/>
    </row>
    <row r="17" spans="1:10" s="107" customFormat="1" ht="16.8">
      <c r="A17" s="108" t="s">
        <v>36</v>
      </c>
      <c r="B17" s="91">
        <v>0</v>
      </c>
      <c r="C17" s="109" t="s">
        <v>21</v>
      </c>
      <c r="D17" s="110" t="str">
        <f>IF(C17="Str",'Personal File'!$C$12,IF(C17="Dex",'Personal File'!$C$13,IF(C17="Con",'Personal File'!$C$14,IF(C17="Int",'Personal File'!$C$15,IF(C17="Wis",'Personal File'!$C$16,IF(C17="Cha",'Personal File'!$C$17))))))</f>
        <v>+0</v>
      </c>
      <c r="E17" s="111" t="str">
        <f t="shared" si="8"/>
        <v>Cha (+0)</v>
      </c>
      <c r="F17" s="112" t="s">
        <v>53</v>
      </c>
      <c r="G17" s="112">
        <f t="shared" si="6"/>
        <v>0</v>
      </c>
      <c r="H17" s="350">
        <f t="shared" ca="1" si="2"/>
        <v>6</v>
      </c>
      <c r="I17" s="112">
        <f t="shared" ca="1" si="10"/>
        <v>6</v>
      </c>
      <c r="J17" s="144"/>
    </row>
    <row r="18" spans="1:10" s="107" customFormat="1" ht="16.8">
      <c r="A18" s="117" t="s">
        <v>37</v>
      </c>
      <c r="B18" s="91">
        <v>0</v>
      </c>
      <c r="C18" s="118" t="s">
        <v>25</v>
      </c>
      <c r="D18" s="119" t="str">
        <f>IF(C18="Str",'Personal File'!$C$12,IF(C18="Dex",'Personal File'!$C$13,IF(C18="Con",'Personal File'!$C$14,IF(C18="Int",'Personal File'!$C$15,IF(C18="Wis",'Personal File'!$C$16,IF(C18="Cha",'Personal File'!$C$17))))))</f>
        <v>+3</v>
      </c>
      <c r="E18" s="95" t="str">
        <f t="shared" si="8"/>
        <v>Dex (+3)</v>
      </c>
      <c r="F18" s="112" t="s">
        <v>53</v>
      </c>
      <c r="G18" s="112">
        <f t="shared" si="6"/>
        <v>3</v>
      </c>
      <c r="H18" s="350">
        <f t="shared" ca="1" si="2"/>
        <v>12</v>
      </c>
      <c r="I18" s="112">
        <f t="shared" ca="1" si="10"/>
        <v>15</v>
      </c>
      <c r="J18" s="144"/>
    </row>
    <row r="19" spans="1:10" s="107" customFormat="1" ht="16.8">
      <c r="A19" s="120" t="s">
        <v>38</v>
      </c>
      <c r="B19" s="91">
        <v>0</v>
      </c>
      <c r="C19" s="121" t="s">
        <v>23</v>
      </c>
      <c r="D19" s="122" t="str">
        <f>IF(C19="Str",'Personal File'!$C$12,IF(C19="Dex",'Personal File'!$C$13,IF(C19="Con",'Personal File'!$C$14,IF(C19="Int",'Personal File'!$C$15,IF(C19="Wis",'Personal File'!$C$16,IF(C19="Cha",'Personal File'!$C$17))))))</f>
        <v>+2</v>
      </c>
      <c r="E19" s="123" t="str">
        <f t="shared" si="8"/>
        <v>Int (+2)</v>
      </c>
      <c r="F19" s="112" t="s">
        <v>53</v>
      </c>
      <c r="G19" s="112">
        <f t="shared" si="6"/>
        <v>2</v>
      </c>
      <c r="H19" s="350">
        <f t="shared" ca="1" si="2"/>
        <v>5</v>
      </c>
      <c r="I19" s="112">
        <f t="shared" ca="1" si="10"/>
        <v>7</v>
      </c>
      <c r="J19" s="144"/>
    </row>
    <row r="20" spans="1:10" s="107" customFormat="1" ht="16.8">
      <c r="A20" s="108" t="s">
        <v>39</v>
      </c>
      <c r="B20" s="91">
        <v>0</v>
      </c>
      <c r="C20" s="109" t="s">
        <v>21</v>
      </c>
      <c r="D20" s="110" t="str">
        <f>IF(C20="Str",'Personal File'!$C$12,IF(C20="Dex",'Personal File'!$C$13,IF(C20="Con",'Personal File'!$C$14,IF(C20="Int",'Personal File'!$C$15,IF(C20="Wis",'Personal File'!$C$16,IF(C20="Cha",'Personal File'!$C$17))))))</f>
        <v>+0</v>
      </c>
      <c r="E20" s="111" t="str">
        <f t="shared" si="8"/>
        <v>Cha (+0)</v>
      </c>
      <c r="F20" s="112" t="s">
        <v>53</v>
      </c>
      <c r="G20" s="112">
        <f t="shared" si="6"/>
        <v>0</v>
      </c>
      <c r="H20" s="350">
        <f t="shared" ca="1" si="2"/>
        <v>6</v>
      </c>
      <c r="I20" s="112">
        <f t="shared" ca="1" si="10"/>
        <v>6</v>
      </c>
      <c r="J20" s="144"/>
    </row>
    <row r="21" spans="1:10" s="107" customFormat="1" ht="16.8">
      <c r="A21" s="124" t="s">
        <v>9</v>
      </c>
      <c r="B21" s="125">
        <v>0</v>
      </c>
      <c r="C21" s="126" t="s">
        <v>21</v>
      </c>
      <c r="D21" s="127" t="str">
        <f>IF(C21="Str",'Personal File'!$C$12,IF(C21="Dex",'Personal File'!$C$13,IF(C21="Con",'Personal File'!$C$14,IF(C21="Int",'Personal File'!$C$15,IF(C21="Wis",'Personal File'!$C$16,IF(C21="Cha",'Personal File'!$C$17))))))</f>
        <v>+0</v>
      </c>
      <c r="E21" s="128" t="str">
        <f t="shared" si="8"/>
        <v>Cha (+0)</v>
      </c>
      <c r="F21" s="129" t="s">
        <v>53</v>
      </c>
      <c r="G21" s="129">
        <f t="shared" si="6"/>
        <v>0</v>
      </c>
      <c r="H21" s="350">
        <f t="shared" ca="1" si="2"/>
        <v>11</v>
      </c>
      <c r="I21" s="129">
        <f t="shared" ca="1" si="10"/>
        <v>11</v>
      </c>
      <c r="J21" s="240"/>
    </row>
    <row r="22" spans="1:10" s="107" customFormat="1" ht="16.8">
      <c r="A22" s="131" t="s">
        <v>40</v>
      </c>
      <c r="B22" s="91">
        <v>0</v>
      </c>
      <c r="C22" s="132" t="s">
        <v>24</v>
      </c>
      <c r="D22" s="133" t="str">
        <f>IF(C22="Str",'Personal File'!$C$12,IF(C22="Dex",'Personal File'!$C$13,IF(C22="Con",'Personal File'!$C$14,IF(C22="Int",'Personal File'!$C$15,IF(C22="Wis",'Personal File'!$C$16,IF(C22="Cha",'Personal File'!$C$17))))))</f>
        <v>+0</v>
      </c>
      <c r="E22" s="134" t="str">
        <f t="shared" si="8"/>
        <v>Wis (+0)</v>
      </c>
      <c r="F22" s="112" t="s">
        <v>53</v>
      </c>
      <c r="G22" s="112">
        <f t="shared" si="6"/>
        <v>0</v>
      </c>
      <c r="H22" s="350">
        <f t="shared" ca="1" si="2"/>
        <v>4</v>
      </c>
      <c r="I22" s="112">
        <f t="shared" ca="1" si="10"/>
        <v>4</v>
      </c>
      <c r="J22" s="144"/>
    </row>
    <row r="23" spans="1:10" s="107" customFormat="1" ht="16.8">
      <c r="A23" s="234" t="s">
        <v>41</v>
      </c>
      <c r="B23" s="100">
        <v>4</v>
      </c>
      <c r="C23" s="235" t="s">
        <v>25</v>
      </c>
      <c r="D23" s="236" t="str">
        <f>IF(C23="Str",'Personal File'!$C$12,IF(C23="Dex",'Personal File'!$C$13,IF(C23="Con",'Personal File'!$C$14,IF(C23="Int",'Personal File'!$C$15,IF(C23="Wis",'Personal File'!$C$16,IF(C23="Cha",'Personal File'!$C$17))))))</f>
        <v>+3</v>
      </c>
      <c r="E23" s="237" t="str">
        <f t="shared" si="8"/>
        <v>Dex (+3)</v>
      </c>
      <c r="F23" s="104" t="s">
        <v>93</v>
      </c>
      <c r="G23" s="104">
        <f t="shared" si="6"/>
        <v>11</v>
      </c>
      <c r="H23" s="350">
        <f t="shared" ca="1" si="2"/>
        <v>11</v>
      </c>
      <c r="I23" s="104">
        <f t="shared" ca="1" si="10"/>
        <v>22</v>
      </c>
      <c r="J23" s="143"/>
    </row>
    <row r="24" spans="1:10" s="107" customFormat="1" ht="16.8">
      <c r="A24" s="108" t="s">
        <v>42</v>
      </c>
      <c r="B24" s="91">
        <v>0</v>
      </c>
      <c r="C24" s="109" t="s">
        <v>21</v>
      </c>
      <c r="D24" s="110" t="str">
        <f>IF(C24="Str",'Personal File'!$C$12,IF(C24="Dex",'Personal File'!$C$13,IF(C24="Con",'Personal File'!$C$14,IF(C24="Int",'Personal File'!$C$15,IF(C24="Wis",'Personal File'!$C$16,IF(C24="Cha",'Personal File'!$C$17))))))</f>
        <v>+0</v>
      </c>
      <c r="E24" s="111" t="str">
        <f t="shared" si="8"/>
        <v>Cha (+0)</v>
      </c>
      <c r="F24" s="112" t="s">
        <v>53</v>
      </c>
      <c r="G24" s="112">
        <f t="shared" si="6"/>
        <v>0</v>
      </c>
      <c r="H24" s="350">
        <f t="shared" ca="1" si="2"/>
        <v>18</v>
      </c>
      <c r="I24" s="112">
        <f t="shared" ca="1" si="10"/>
        <v>18</v>
      </c>
      <c r="J24" s="144"/>
    </row>
    <row r="25" spans="1:10" s="107" customFormat="1" ht="16.8">
      <c r="A25" s="135" t="s">
        <v>43</v>
      </c>
      <c r="B25" s="91">
        <v>0</v>
      </c>
      <c r="C25" s="136" t="s">
        <v>26</v>
      </c>
      <c r="D25" s="137" t="str">
        <f>IF(C25="Str",'Personal File'!$C$12,IF(C25="Dex",'Personal File'!$C$13,IF(C25="Con",'Personal File'!$C$14,IF(C25="Int",'Personal File'!$C$15,IF(C25="Wis",'Personal File'!$C$16,IF(C25="Cha",'Personal File'!$C$17))))))</f>
        <v>+0</v>
      </c>
      <c r="E25" s="138" t="str">
        <f t="shared" si="8"/>
        <v>Str (+0)</v>
      </c>
      <c r="F25" s="112" t="s">
        <v>53</v>
      </c>
      <c r="G25" s="112">
        <f t="shared" si="6"/>
        <v>0</v>
      </c>
      <c r="H25" s="350">
        <f t="shared" ca="1" si="2"/>
        <v>1</v>
      </c>
      <c r="I25" s="112">
        <f t="shared" ca="1" si="10"/>
        <v>1</v>
      </c>
      <c r="J25" s="144"/>
    </row>
    <row r="26" spans="1:10" s="107" customFormat="1" ht="16.8">
      <c r="A26" s="139" t="s">
        <v>68</v>
      </c>
      <c r="B26" s="125">
        <v>0</v>
      </c>
      <c r="C26" s="140" t="s">
        <v>23</v>
      </c>
      <c r="D26" s="141" t="str">
        <f>IF(C26="Str",'Personal File'!$C$12,IF(C26="Dex",'Personal File'!$C$13,IF(C26="Con",'Personal File'!$C$14,IF(C26="Int",'Personal File'!$C$15,IF(C26="Wis",'Personal File'!$C$16,IF(C26="Cha",'Personal File'!$C$17))))))</f>
        <v>+2</v>
      </c>
      <c r="E26" s="142" t="str">
        <f t="shared" si="8"/>
        <v>Int (+2)</v>
      </c>
      <c r="F26" s="129" t="s">
        <v>53</v>
      </c>
      <c r="G26" s="129">
        <f t="shared" si="6"/>
        <v>2</v>
      </c>
      <c r="H26" s="350">
        <f t="shared" ca="1" si="2"/>
        <v>5</v>
      </c>
      <c r="I26" s="129">
        <f t="shared" ca="1" si="10"/>
        <v>7</v>
      </c>
      <c r="J26" s="240"/>
    </row>
    <row r="27" spans="1:10" s="107" customFormat="1" ht="16.8">
      <c r="A27" s="99" t="s">
        <v>202</v>
      </c>
      <c r="B27" s="100">
        <v>4</v>
      </c>
      <c r="C27" s="101" t="s">
        <v>23</v>
      </c>
      <c r="D27" s="102" t="str">
        <f>IF(C27="Str",'Personal File'!$C$12,IF(C27="Dex",'Personal File'!$C$13,IF(C27="Con",'Personal File'!$C$14,IF(C27="Int",'Personal File'!$C$15,IF(C27="Wis",'Personal File'!$C$16,IF(C27="Cha",'Personal File'!$C$17))))))</f>
        <v>+2</v>
      </c>
      <c r="E27" s="103" t="str">
        <f t="shared" ref="E27" si="14">CONCATENATE(C27," (",D27,")")</f>
        <v>Int (+2)</v>
      </c>
      <c r="F27" s="104" t="s">
        <v>53</v>
      </c>
      <c r="G27" s="104">
        <f t="shared" ref="G27" si="15">B27+D27+F27</f>
        <v>6</v>
      </c>
      <c r="H27" s="350">
        <f t="shared" ca="1" si="2"/>
        <v>14</v>
      </c>
      <c r="I27" s="104">
        <f t="shared" ref="I27" ca="1" si="16">SUM(G27:H27)</f>
        <v>20</v>
      </c>
      <c r="J27" s="143"/>
    </row>
    <row r="28" spans="1:10" s="107" customFormat="1" ht="16.8">
      <c r="A28" s="131" t="s">
        <v>44</v>
      </c>
      <c r="B28" s="91">
        <v>0</v>
      </c>
      <c r="C28" s="132" t="s">
        <v>24</v>
      </c>
      <c r="D28" s="133" t="str">
        <f>IF(C28="Str",'Personal File'!$C$12,IF(C28="Dex",'Personal File'!$C$13,IF(C28="Con",'Personal File'!$C$14,IF(C28="Int",'Personal File'!$C$15,IF(C28="Wis",'Personal File'!$C$16,IF(C28="Cha",'Personal File'!$C$17))))))</f>
        <v>+0</v>
      </c>
      <c r="E28" s="134" t="str">
        <f t="shared" si="8"/>
        <v>Wis (+0)</v>
      </c>
      <c r="F28" s="112" t="s">
        <v>74</v>
      </c>
      <c r="G28" s="112">
        <f t="shared" si="6"/>
        <v>2</v>
      </c>
      <c r="H28" s="350">
        <f t="shared" ca="1" si="2"/>
        <v>10</v>
      </c>
      <c r="I28" s="112">
        <f t="shared" ca="1" si="10"/>
        <v>12</v>
      </c>
      <c r="J28" s="144"/>
    </row>
    <row r="29" spans="1:10" s="107" customFormat="1" ht="16.8">
      <c r="A29" s="234" t="s">
        <v>10</v>
      </c>
      <c r="B29" s="100">
        <v>4</v>
      </c>
      <c r="C29" s="235" t="s">
        <v>25</v>
      </c>
      <c r="D29" s="236" t="str">
        <f>IF(C29="Str",'Personal File'!$C$12,IF(C29="Dex",'Personal File'!$C$13,IF(C29="Con",'Personal File'!$C$14,IF(C29="Int",'Personal File'!$C$15,IF(C29="Wis",'Personal File'!$C$16,IF(C29="Cha",'Personal File'!$C$17))))))</f>
        <v>+3</v>
      </c>
      <c r="E29" s="237" t="str">
        <f t="shared" si="8"/>
        <v>Dex (+3)</v>
      </c>
      <c r="F29" s="104" t="s">
        <v>93</v>
      </c>
      <c r="G29" s="104">
        <f t="shared" si="6"/>
        <v>11</v>
      </c>
      <c r="H29" s="350">
        <f t="shared" ca="1" si="2"/>
        <v>11</v>
      </c>
      <c r="I29" s="104">
        <f t="shared" ca="1" si="10"/>
        <v>22</v>
      </c>
      <c r="J29" s="143"/>
    </row>
    <row r="30" spans="1:10" s="107" customFormat="1" ht="16.8">
      <c r="A30" s="234" t="s">
        <v>45</v>
      </c>
      <c r="B30" s="100">
        <v>4</v>
      </c>
      <c r="C30" s="235" t="s">
        <v>25</v>
      </c>
      <c r="D30" s="236" t="str">
        <f>IF(C30="Str",'Personal File'!$C$12,IF(C30="Dex",'Personal File'!$C$13,IF(C30="Con",'Personal File'!$C$14,IF(C30="Int",'Personal File'!$C$15,IF(C30="Wis",'Personal File'!$C$16,IF(C30="Cha",'Personal File'!$C$17))))))</f>
        <v>+3</v>
      </c>
      <c r="E30" s="237" t="str">
        <f t="shared" si="8"/>
        <v>Dex (+3)</v>
      </c>
      <c r="F30" s="104" t="s">
        <v>53</v>
      </c>
      <c r="G30" s="104">
        <f t="shared" si="6"/>
        <v>7</v>
      </c>
      <c r="H30" s="350">
        <f t="shared" ca="1" si="2"/>
        <v>19</v>
      </c>
      <c r="I30" s="104">
        <f t="shared" ca="1" si="10"/>
        <v>26</v>
      </c>
      <c r="J30" s="143"/>
    </row>
    <row r="31" spans="1:10" ht="16.8">
      <c r="A31" s="108" t="s">
        <v>102</v>
      </c>
      <c r="B31" s="91">
        <v>0</v>
      </c>
      <c r="C31" s="109" t="s">
        <v>21</v>
      </c>
      <c r="D31" s="110" t="str">
        <f>IF(C31="Str",'Personal File'!$C$12,IF(C31="Dex",'Personal File'!$C$13,IF(C31="Con",'Personal File'!$C$14,IF(C31="Int",'Personal File'!$C$15,IF(C31="Wis",'Personal File'!$C$16,IF(C31="Cha",'Personal File'!$C$17))))))</f>
        <v>+0</v>
      </c>
      <c r="E31" s="111" t="str">
        <f t="shared" si="8"/>
        <v>Cha (+0)</v>
      </c>
      <c r="F31" s="112" t="s">
        <v>53</v>
      </c>
      <c r="G31" s="112">
        <f t="shared" si="6"/>
        <v>0</v>
      </c>
      <c r="H31" s="350">
        <f t="shared" ca="1" si="2"/>
        <v>4</v>
      </c>
      <c r="I31" s="112">
        <f t="shared" ca="1" si="10"/>
        <v>4</v>
      </c>
      <c r="J31" s="144"/>
    </row>
    <row r="32" spans="1:10" ht="16.8">
      <c r="A32" s="244" t="s">
        <v>290</v>
      </c>
      <c r="B32" s="100">
        <v>4</v>
      </c>
      <c r="C32" s="253" t="s">
        <v>24</v>
      </c>
      <c r="D32" s="254" t="str">
        <f>IF(C32="Str",'Personal File'!$C$12,IF(C32="Dex",'Personal File'!$C$13,IF(C32="Con",'Personal File'!$C$14,IF(C32="Int",'Personal File'!$C$15,IF(C32="Wis",'Personal File'!$C$16,IF(C32="Cha",'Personal File'!$C$17))))))</f>
        <v>+0</v>
      </c>
      <c r="E32" s="255" t="str">
        <f t="shared" ref="E32" si="17">CONCATENATE(C32," (",D32,")")</f>
        <v>Wis (+0)</v>
      </c>
      <c r="F32" s="104" t="s">
        <v>53</v>
      </c>
      <c r="G32" s="256">
        <f t="shared" si="6"/>
        <v>4</v>
      </c>
      <c r="H32" s="350">
        <f t="shared" ca="1" si="2"/>
        <v>8</v>
      </c>
      <c r="I32" s="256">
        <f t="shared" ca="1" si="10"/>
        <v>12</v>
      </c>
      <c r="J32" s="143"/>
    </row>
    <row r="33" spans="1:10" ht="16.8">
      <c r="A33" s="117" t="s">
        <v>11</v>
      </c>
      <c r="B33" s="91">
        <v>0</v>
      </c>
      <c r="C33" s="118" t="s">
        <v>25</v>
      </c>
      <c r="D33" s="119" t="str">
        <f>IF(C33="Str",'Personal File'!$C$12,IF(C33="Dex",'Personal File'!$C$13,IF(C33="Con",'Personal File'!$C$14,IF(C33="Int",'Personal File'!$C$15,IF(C33="Wis",'Personal File'!$C$16,IF(C33="Cha",'Personal File'!$C$17))))))</f>
        <v>+3</v>
      </c>
      <c r="E33" s="95" t="str">
        <f t="shared" si="8"/>
        <v>Dex (+3)</v>
      </c>
      <c r="F33" s="112" t="s">
        <v>53</v>
      </c>
      <c r="G33" s="112">
        <f t="shared" si="6"/>
        <v>3</v>
      </c>
      <c r="H33" s="350">
        <f t="shared" ca="1" si="2"/>
        <v>7</v>
      </c>
      <c r="I33" s="112">
        <f t="shared" ca="1" si="10"/>
        <v>10</v>
      </c>
      <c r="J33" s="113"/>
    </row>
    <row r="34" spans="1:10" ht="16.8">
      <c r="A34" s="99" t="s">
        <v>12</v>
      </c>
      <c r="B34" s="100">
        <v>2</v>
      </c>
      <c r="C34" s="101" t="s">
        <v>23</v>
      </c>
      <c r="D34" s="102" t="str">
        <f>IF(C34="Str",'Personal File'!$C$12,IF(C34="Dex",'Personal File'!$C$13,IF(C34="Con",'Personal File'!$C$14,IF(C34="Int",'Personal File'!$C$15,IF(C34="Wis",'Personal File'!$C$16,IF(C34="Cha",'Personal File'!$C$17))))))</f>
        <v>+2</v>
      </c>
      <c r="E34" s="103" t="str">
        <f t="shared" si="8"/>
        <v>Int (+2)</v>
      </c>
      <c r="F34" s="104" t="s">
        <v>53</v>
      </c>
      <c r="G34" s="104">
        <f t="shared" si="6"/>
        <v>4</v>
      </c>
      <c r="H34" s="350">
        <f t="shared" ca="1" si="2"/>
        <v>17</v>
      </c>
      <c r="I34" s="104">
        <f t="shared" ca="1" si="10"/>
        <v>21</v>
      </c>
      <c r="J34" s="105"/>
    </row>
    <row r="35" spans="1:10" ht="16.8">
      <c r="A35" s="131" t="s">
        <v>46</v>
      </c>
      <c r="B35" s="91">
        <v>0</v>
      </c>
      <c r="C35" s="132" t="s">
        <v>24</v>
      </c>
      <c r="D35" s="133" t="str">
        <f>IF(C35="Str",'Personal File'!$C$12,IF(C35="Dex",'Personal File'!$C$13,IF(C35="Con",'Personal File'!$C$14,IF(C35="Int",'Personal File'!$C$15,IF(C35="Wis",'Personal File'!$C$16,IF(C35="Cha",'Personal File'!$C$17))))))</f>
        <v>+0</v>
      </c>
      <c r="E35" s="134" t="str">
        <f t="shared" si="8"/>
        <v>Wis (+0)</v>
      </c>
      <c r="F35" s="112" t="s">
        <v>53</v>
      </c>
      <c r="G35" s="112">
        <f t="shared" si="6"/>
        <v>0</v>
      </c>
      <c r="H35" s="350">
        <f t="shared" ca="1" si="2"/>
        <v>13</v>
      </c>
      <c r="I35" s="112">
        <f t="shared" ca="1" si="10"/>
        <v>13</v>
      </c>
      <c r="J35" s="113"/>
    </row>
    <row r="36" spans="1:10" ht="16.8">
      <c r="A36" s="230" t="s">
        <v>69</v>
      </c>
      <c r="B36" s="125">
        <v>0</v>
      </c>
      <c r="C36" s="231" t="s">
        <v>25</v>
      </c>
      <c r="D36" s="232" t="str">
        <f>IF(C36="Str",'Personal File'!$C$12,IF(C36="Dex",'Personal File'!$C$13,IF(C36="Con",'Personal File'!$C$14,IF(C36="Int",'Personal File'!$C$15,IF(C36="Wis",'Personal File'!$C$16,IF(C36="Cha",'Personal File'!$C$17))))))</f>
        <v>+3</v>
      </c>
      <c r="E36" s="233" t="str">
        <f t="shared" si="8"/>
        <v>Dex (+3)</v>
      </c>
      <c r="F36" s="129" t="s">
        <v>53</v>
      </c>
      <c r="G36" s="129">
        <f t="shared" si="6"/>
        <v>3</v>
      </c>
      <c r="H36" s="350">
        <f t="shared" ca="1" si="2"/>
        <v>7</v>
      </c>
      <c r="I36" s="129">
        <f t="shared" ca="1" si="10"/>
        <v>10</v>
      </c>
      <c r="J36" s="130"/>
    </row>
    <row r="37" spans="1:10" ht="16.8">
      <c r="A37" s="139" t="s">
        <v>140</v>
      </c>
      <c r="B37" s="125">
        <v>0</v>
      </c>
      <c r="C37" s="140" t="s">
        <v>23</v>
      </c>
      <c r="D37" s="141" t="str">
        <f>IF(C37="Str",'Personal File'!$C$12,IF(C37="Dex",'Personal File'!$C$13,IF(C37="Con",'Personal File'!$C$14,IF(C37="Int",'Personal File'!$C$15,IF(C37="Wis",'Personal File'!$C$16,IF(C37="Cha",'Personal File'!$C$17))))))</f>
        <v>+2</v>
      </c>
      <c r="E37" s="142" t="str">
        <f t="shared" si="8"/>
        <v>Int (+2)</v>
      </c>
      <c r="F37" s="129" t="s">
        <v>53</v>
      </c>
      <c r="G37" s="129" t="s">
        <v>53</v>
      </c>
      <c r="H37" s="350">
        <f t="shared" ca="1" si="2"/>
        <v>20</v>
      </c>
      <c r="I37" s="129">
        <f t="shared" ca="1" si="10"/>
        <v>20</v>
      </c>
      <c r="J37" s="240"/>
    </row>
    <row r="38" spans="1:10" ht="16.8">
      <c r="A38" s="99" t="s">
        <v>47</v>
      </c>
      <c r="B38" s="100">
        <v>0</v>
      </c>
      <c r="C38" s="101" t="s">
        <v>23</v>
      </c>
      <c r="D38" s="102" t="str">
        <f>IF(C38="Str",'Personal File'!$C$12,IF(C38="Dex",'Personal File'!$C$13,IF(C38="Con",'Personal File'!$C$14,IF(C38="Int",'Personal File'!$C$15,IF(C38="Wis",'Personal File'!$C$16,IF(C38="Cha",'Personal File'!$C$17))))))</f>
        <v>+2</v>
      </c>
      <c r="E38" s="103" t="str">
        <f t="shared" si="8"/>
        <v>Int (+2)</v>
      </c>
      <c r="F38" s="104" t="s">
        <v>53</v>
      </c>
      <c r="G38" s="104">
        <f t="shared" si="6"/>
        <v>2</v>
      </c>
      <c r="H38" s="350">
        <f t="shared" ca="1" si="2"/>
        <v>20</v>
      </c>
      <c r="I38" s="104">
        <f t="shared" ca="1" si="10"/>
        <v>22</v>
      </c>
      <c r="J38" s="143"/>
    </row>
    <row r="39" spans="1:10" ht="16.8">
      <c r="A39" s="368" t="s">
        <v>48</v>
      </c>
      <c r="B39" s="100">
        <v>2</v>
      </c>
      <c r="C39" s="253" t="s">
        <v>24</v>
      </c>
      <c r="D39" s="254" t="str">
        <f>IF(C39="Str",'Personal File'!$C$12,IF(C39="Dex",'Personal File'!$C$13,IF(C39="Con",'Personal File'!$C$14,IF(C39="Int",'Personal File'!$C$15,IF(C39="Wis",'Personal File'!$C$16,IF(C39="Cha",'Personal File'!$C$17))))))</f>
        <v>+0</v>
      </c>
      <c r="E39" s="255" t="str">
        <f t="shared" si="8"/>
        <v>Wis (+0)</v>
      </c>
      <c r="F39" s="104" t="s">
        <v>74</v>
      </c>
      <c r="G39" s="104">
        <f t="shared" si="6"/>
        <v>4</v>
      </c>
      <c r="H39" s="350">
        <f t="shared" ca="1" si="2"/>
        <v>9</v>
      </c>
      <c r="I39" s="104">
        <f t="shared" ca="1" si="10"/>
        <v>13</v>
      </c>
      <c r="J39" s="105"/>
    </row>
    <row r="40" spans="1:10" ht="16.8">
      <c r="A40" s="368" t="s">
        <v>70</v>
      </c>
      <c r="B40" s="100">
        <v>2</v>
      </c>
      <c r="C40" s="253" t="s">
        <v>24</v>
      </c>
      <c r="D40" s="254" t="str">
        <f>IF(C40="Str",'Personal File'!$C$12,IF(C40="Dex",'Personal File'!$C$13,IF(C40="Con",'Personal File'!$C$14,IF(C40="Int",'Personal File'!$C$15,IF(C40="Wis",'Personal File'!$C$16,IF(C40="Cha",'Personal File'!$C$17))))))</f>
        <v>+0</v>
      </c>
      <c r="E40" s="255" t="str">
        <f t="shared" si="8"/>
        <v>Wis (+0)</v>
      </c>
      <c r="F40" s="104" t="s">
        <v>53</v>
      </c>
      <c r="G40" s="104">
        <f t="shared" si="6"/>
        <v>2</v>
      </c>
      <c r="H40" s="350">
        <f t="shared" ca="1" si="2"/>
        <v>15</v>
      </c>
      <c r="I40" s="104">
        <f t="shared" ca="1" si="10"/>
        <v>17</v>
      </c>
      <c r="J40" s="143" t="s">
        <v>198</v>
      </c>
    </row>
    <row r="41" spans="1:10" ht="16.8">
      <c r="A41" s="135" t="s">
        <v>13</v>
      </c>
      <c r="B41" s="91">
        <v>0</v>
      </c>
      <c r="C41" s="136" t="s">
        <v>26</v>
      </c>
      <c r="D41" s="137" t="str">
        <f>IF(C41="Str",'Personal File'!$C$12,IF(C41="Dex",'Personal File'!$C$13,IF(C41="Con",'Personal File'!$C$14,IF(C41="Int",'Personal File'!$C$15,IF(C41="Wis",'Personal File'!$C$16,IF(C41="Cha",'Personal File'!$C$17))))))</f>
        <v>+0</v>
      </c>
      <c r="E41" s="138" t="str">
        <f t="shared" si="8"/>
        <v>Str (+0)</v>
      </c>
      <c r="F41" s="112" t="s">
        <v>53</v>
      </c>
      <c r="G41" s="112">
        <f t="shared" si="6"/>
        <v>0</v>
      </c>
      <c r="H41" s="350">
        <f t="shared" ca="1" si="2"/>
        <v>1</v>
      </c>
      <c r="I41" s="112">
        <f t="shared" ca="1" si="10"/>
        <v>1</v>
      </c>
      <c r="J41" s="113"/>
    </row>
    <row r="42" spans="1:10" ht="16.8">
      <c r="A42" s="230" t="s">
        <v>49</v>
      </c>
      <c r="B42" s="125">
        <v>0</v>
      </c>
      <c r="C42" s="231" t="s">
        <v>25</v>
      </c>
      <c r="D42" s="232" t="str">
        <f>IF(C42="Str",'Personal File'!$C$12,IF(C42="Dex",'Personal File'!$C$13,IF(C42="Con",'Personal File'!$C$14,IF(C42="Int",'Personal File'!$C$15,IF(C42="Wis",'Personal File'!$C$16,IF(C42="Cha",'Personal File'!$C$17))))))</f>
        <v>+3</v>
      </c>
      <c r="E42" s="233" t="str">
        <f t="shared" si="8"/>
        <v>Dex (+3)</v>
      </c>
      <c r="F42" s="129" t="s">
        <v>53</v>
      </c>
      <c r="G42" s="129">
        <f t="shared" si="6"/>
        <v>3</v>
      </c>
      <c r="H42" s="350">
        <f t="shared" ca="1" si="2"/>
        <v>7</v>
      </c>
      <c r="I42" s="129">
        <f t="shared" ca="1" si="10"/>
        <v>10</v>
      </c>
      <c r="J42" s="130"/>
    </row>
    <row r="43" spans="1:10" ht="16.8">
      <c r="A43" s="244" t="s">
        <v>50</v>
      </c>
      <c r="B43" s="100">
        <v>4</v>
      </c>
      <c r="C43" s="245" t="s">
        <v>21</v>
      </c>
      <c r="D43" s="246" t="str">
        <f>IF(C43="Str",'Personal File'!$C$12,IF(C43="Dex",'Personal File'!$C$13,IF(C43="Con",'Personal File'!$C$14,IF(C43="Int",'Personal File'!$C$15,IF(C43="Wis",'Personal File'!$C$16,IF(C43="Cha",'Personal File'!$C$17))))))</f>
        <v>+0</v>
      </c>
      <c r="E43" s="247" t="str">
        <f t="shared" si="8"/>
        <v>Cha (+0)</v>
      </c>
      <c r="F43" s="104" t="s">
        <v>53</v>
      </c>
      <c r="G43" s="104">
        <f t="shared" si="6"/>
        <v>4</v>
      </c>
      <c r="H43" s="350">
        <f t="shared" ca="1" si="2"/>
        <v>12</v>
      </c>
      <c r="I43" s="104">
        <f t="shared" ca="1" si="10"/>
        <v>16</v>
      </c>
      <c r="J43" s="105"/>
    </row>
    <row r="44" spans="1:10" ht="17.399999999999999" thickBot="1">
      <c r="A44" s="343" t="s">
        <v>51</v>
      </c>
      <c r="B44" s="344">
        <v>4</v>
      </c>
      <c r="C44" s="345" t="s">
        <v>25</v>
      </c>
      <c r="D44" s="346" t="str">
        <f>IF(C44="Str",'Personal File'!$C$12,IF(C44="Dex",'Personal File'!$C$13,IF(C44="Con",'Personal File'!$C$14,IF(C44="Int",'Personal File'!$C$15,IF(C44="Wis",'Personal File'!$C$16,IF(C44="Cha",'Personal File'!$C$17))))))</f>
        <v>+3</v>
      </c>
      <c r="E44" s="347" t="str">
        <f t="shared" si="8"/>
        <v>Dex (+3)</v>
      </c>
      <c r="F44" s="348" t="s">
        <v>53</v>
      </c>
      <c r="G44" s="348">
        <f t="shared" si="6"/>
        <v>7</v>
      </c>
      <c r="H44" s="353">
        <f t="shared" ref="H44" ca="1" si="18">RANDBETWEEN(1,20)</f>
        <v>17</v>
      </c>
      <c r="I44" s="348">
        <f t="shared" ca="1" si="10"/>
        <v>24</v>
      </c>
      <c r="J44" s="349"/>
    </row>
    <row r="45" spans="1:10" ht="16.2" thickTop="1">
      <c r="B45" s="146">
        <f>SUM(B6:B44)+B40</f>
        <v>64</v>
      </c>
      <c r="E45" s="371">
        <f>SUM(E46:E50)</f>
        <v>64</v>
      </c>
    </row>
    <row r="46" spans="1:10">
      <c r="B46" s="146"/>
      <c r="E46" s="304">
        <f>4*(8+'Personal File'!$C$15)</f>
        <v>40</v>
      </c>
      <c r="F46" s="149" t="s">
        <v>116</v>
      </c>
    </row>
    <row r="47" spans="1:10">
      <c r="E47" s="367">
        <f>8+'Personal File'!$C$15</f>
        <v>10</v>
      </c>
      <c r="F47" s="149" t="s">
        <v>197</v>
      </c>
    </row>
    <row r="48" spans="1:10">
      <c r="E48" s="367">
        <f>2+'Personal File'!$C$15</f>
        <v>4</v>
      </c>
      <c r="F48" s="149" t="s">
        <v>201</v>
      </c>
    </row>
    <row r="49" spans="5:6">
      <c r="E49" s="367">
        <f>8+'Personal File'!$C$15</f>
        <v>10</v>
      </c>
      <c r="F49" s="149" t="s">
        <v>295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1.296875" style="418" bestFit="1" customWidth="1"/>
    <col min="2" max="2" width="6.19921875" style="418" bestFit="1" customWidth="1"/>
    <col min="3" max="3" width="13.59765625" style="419" bestFit="1" customWidth="1"/>
    <col min="4" max="4" width="11.296875" style="419" bestFit="1" customWidth="1"/>
    <col min="5" max="5" width="10.5" style="419" bestFit="1" customWidth="1"/>
    <col min="6" max="7" width="13.19921875" style="419" bestFit="1" customWidth="1"/>
    <col min="8" max="8" width="21.3984375" style="418" bestFit="1" customWidth="1"/>
    <col min="9" max="9" width="5.5" style="405" bestFit="1" customWidth="1"/>
    <col min="10" max="10" width="3.296875" style="405" bestFit="1" customWidth="1"/>
    <col min="11" max="16384" width="18.19921875" style="405"/>
  </cols>
  <sheetData>
    <row r="1" spans="1:10" ht="23.4" thickBot="1">
      <c r="A1" s="403" t="s">
        <v>284</v>
      </c>
      <c r="B1" s="404"/>
      <c r="C1" s="404"/>
      <c r="D1" s="404"/>
      <c r="E1" s="404"/>
      <c r="F1" s="404"/>
      <c r="G1" s="404"/>
      <c r="H1" s="404"/>
    </row>
    <row r="2" spans="1:10" s="362" customFormat="1" ht="16.8">
      <c r="A2" s="406" t="s">
        <v>76</v>
      </c>
      <c r="B2" s="407" t="s">
        <v>79</v>
      </c>
      <c r="C2" s="407" t="s">
        <v>206</v>
      </c>
      <c r="D2" s="408" t="s">
        <v>207</v>
      </c>
      <c r="E2" s="408" t="s">
        <v>208</v>
      </c>
      <c r="F2" s="407" t="s">
        <v>209</v>
      </c>
      <c r="G2" s="407" t="s">
        <v>210</v>
      </c>
      <c r="H2" s="407" t="s">
        <v>211</v>
      </c>
      <c r="I2" s="409" t="s">
        <v>212</v>
      </c>
      <c r="J2" s="373"/>
    </row>
    <row r="3" spans="1:10" s="412" customFormat="1" ht="16.8">
      <c r="A3" s="392" t="s">
        <v>239</v>
      </c>
      <c r="B3" s="410">
        <v>0</v>
      </c>
      <c r="C3" s="393" t="s">
        <v>236</v>
      </c>
      <c r="D3" s="394" t="s">
        <v>231</v>
      </c>
      <c r="E3" s="395" t="s">
        <v>216</v>
      </c>
      <c r="F3" s="396" t="s">
        <v>226</v>
      </c>
      <c r="G3" s="396" t="s">
        <v>253</v>
      </c>
      <c r="H3" s="396" t="s">
        <v>219</v>
      </c>
      <c r="I3" s="411">
        <v>272</v>
      </c>
    </row>
    <row r="4" spans="1:10" ht="16.8">
      <c r="A4" s="374" t="s">
        <v>213</v>
      </c>
      <c r="B4" s="413">
        <v>0</v>
      </c>
      <c r="C4" s="378" t="s">
        <v>214</v>
      </c>
      <c r="D4" s="375" t="s">
        <v>215</v>
      </c>
      <c r="E4" s="379" t="s">
        <v>216</v>
      </c>
      <c r="F4" s="379" t="s">
        <v>217</v>
      </c>
      <c r="G4" s="379" t="s">
        <v>218</v>
      </c>
      <c r="H4" s="377" t="s">
        <v>219</v>
      </c>
      <c r="I4" s="397">
        <v>196</v>
      </c>
    </row>
    <row r="5" spans="1:10" ht="16.8">
      <c r="A5" s="374" t="s">
        <v>240</v>
      </c>
      <c r="B5" s="413">
        <v>0</v>
      </c>
      <c r="C5" s="378" t="s">
        <v>214</v>
      </c>
      <c r="D5" s="380" t="s">
        <v>215</v>
      </c>
      <c r="E5" s="379" t="s">
        <v>216</v>
      </c>
      <c r="F5" s="379" t="s">
        <v>217</v>
      </c>
      <c r="G5" s="379" t="s">
        <v>227</v>
      </c>
      <c r="H5" s="377" t="s">
        <v>237</v>
      </c>
      <c r="I5" s="397">
        <v>42</v>
      </c>
    </row>
    <row r="6" spans="1:10" ht="16.8">
      <c r="A6" s="374" t="s">
        <v>241</v>
      </c>
      <c r="B6" s="413">
        <v>0</v>
      </c>
      <c r="C6" s="381" t="s">
        <v>214</v>
      </c>
      <c r="D6" s="375" t="s">
        <v>215</v>
      </c>
      <c r="E6" s="376" t="s">
        <v>216</v>
      </c>
      <c r="F6" s="377" t="s">
        <v>217</v>
      </c>
      <c r="G6" s="377" t="s">
        <v>218</v>
      </c>
      <c r="H6" s="377" t="s">
        <v>219</v>
      </c>
      <c r="I6" s="397">
        <v>269</v>
      </c>
    </row>
    <row r="7" spans="1:10" ht="16.8">
      <c r="A7" s="374" t="s">
        <v>242</v>
      </c>
      <c r="B7" s="413">
        <v>0</v>
      </c>
      <c r="C7" s="378" t="s">
        <v>224</v>
      </c>
      <c r="D7" s="380" t="s">
        <v>215</v>
      </c>
      <c r="E7" s="379" t="s">
        <v>216</v>
      </c>
      <c r="F7" s="379" t="s">
        <v>217</v>
      </c>
      <c r="G7" s="379" t="s">
        <v>218</v>
      </c>
      <c r="H7" s="377" t="s">
        <v>219</v>
      </c>
      <c r="I7" s="397">
        <v>219</v>
      </c>
    </row>
    <row r="8" spans="1:10" ht="16.8">
      <c r="A8" s="374" t="s">
        <v>220</v>
      </c>
      <c r="B8" s="413">
        <v>0</v>
      </c>
      <c r="C8" s="381" t="s">
        <v>221</v>
      </c>
      <c r="D8" s="375" t="s">
        <v>222</v>
      </c>
      <c r="E8" s="376" t="s">
        <v>216</v>
      </c>
      <c r="F8" s="377" t="s">
        <v>217</v>
      </c>
      <c r="G8" s="377" t="s">
        <v>223</v>
      </c>
      <c r="H8" s="377" t="s">
        <v>219</v>
      </c>
      <c r="I8" s="384">
        <v>217</v>
      </c>
    </row>
    <row r="9" spans="1:10" ht="16.8">
      <c r="A9" s="374" t="s">
        <v>243</v>
      </c>
      <c r="B9" s="413">
        <v>0</v>
      </c>
      <c r="C9" s="381" t="s">
        <v>230</v>
      </c>
      <c r="D9" s="375" t="s">
        <v>215</v>
      </c>
      <c r="E9" s="376" t="s">
        <v>216</v>
      </c>
      <c r="F9" s="377" t="s">
        <v>217</v>
      </c>
      <c r="G9" s="377" t="s">
        <v>218</v>
      </c>
      <c r="H9" s="377" t="s">
        <v>237</v>
      </c>
      <c r="I9" s="384">
        <v>78</v>
      </c>
    </row>
    <row r="10" spans="1:10" ht="16.8">
      <c r="A10" s="374" t="s">
        <v>244</v>
      </c>
      <c r="B10" s="413">
        <v>0</v>
      </c>
      <c r="C10" s="381" t="s">
        <v>230</v>
      </c>
      <c r="D10" s="375" t="s">
        <v>228</v>
      </c>
      <c r="E10" s="376" t="s">
        <v>216</v>
      </c>
      <c r="F10" s="377" t="s">
        <v>217</v>
      </c>
      <c r="G10" s="377" t="s">
        <v>218</v>
      </c>
      <c r="H10" s="377" t="s">
        <v>219</v>
      </c>
      <c r="I10" s="397">
        <v>232</v>
      </c>
    </row>
    <row r="11" spans="1:10" ht="16.8">
      <c r="A11" s="374" t="s">
        <v>245</v>
      </c>
      <c r="B11" s="413">
        <v>0</v>
      </c>
      <c r="C11" s="381" t="s">
        <v>230</v>
      </c>
      <c r="D11" s="375" t="s">
        <v>254</v>
      </c>
      <c r="E11" s="376" t="s">
        <v>216</v>
      </c>
      <c r="F11" s="377" t="s">
        <v>226</v>
      </c>
      <c r="G11" s="377" t="s">
        <v>234</v>
      </c>
      <c r="H11" s="377" t="s">
        <v>219</v>
      </c>
      <c r="I11" s="397">
        <v>248</v>
      </c>
    </row>
    <row r="12" spans="1:10" ht="16.8">
      <c r="A12" s="374" t="s">
        <v>246</v>
      </c>
      <c r="B12" s="413">
        <v>0</v>
      </c>
      <c r="C12" s="381" t="s">
        <v>230</v>
      </c>
      <c r="D12" s="375" t="s">
        <v>215</v>
      </c>
      <c r="E12" s="376" t="s">
        <v>216</v>
      </c>
      <c r="F12" s="377" t="s">
        <v>217</v>
      </c>
      <c r="G12" s="377" t="s">
        <v>218</v>
      </c>
      <c r="H12" s="377" t="s">
        <v>237</v>
      </c>
      <c r="I12" s="384">
        <v>195</v>
      </c>
    </row>
    <row r="13" spans="1:10" ht="16.8">
      <c r="A13" s="374" t="s">
        <v>146</v>
      </c>
      <c r="B13" s="413">
        <v>0</v>
      </c>
      <c r="C13" s="378" t="s">
        <v>235</v>
      </c>
      <c r="D13" s="375" t="s">
        <v>215</v>
      </c>
      <c r="E13" s="379" t="s">
        <v>216</v>
      </c>
      <c r="F13" s="379" t="s">
        <v>232</v>
      </c>
      <c r="G13" s="379" t="s">
        <v>253</v>
      </c>
      <c r="H13" s="377" t="s">
        <v>219</v>
      </c>
      <c r="I13" s="397">
        <v>216</v>
      </c>
    </row>
    <row r="14" spans="1:10" ht="16.8">
      <c r="A14" s="374" t="s">
        <v>83</v>
      </c>
      <c r="B14" s="413">
        <v>0</v>
      </c>
      <c r="C14" s="381" t="s">
        <v>235</v>
      </c>
      <c r="D14" s="375" t="s">
        <v>222</v>
      </c>
      <c r="E14" s="376" t="s">
        <v>216</v>
      </c>
      <c r="F14" s="377" t="s">
        <v>217</v>
      </c>
      <c r="G14" s="377" t="s">
        <v>227</v>
      </c>
      <c r="H14" s="377" t="s">
        <v>219</v>
      </c>
      <c r="I14" s="397">
        <v>235</v>
      </c>
    </row>
    <row r="15" spans="1:10" ht="16.8">
      <c r="A15" s="374" t="s">
        <v>247</v>
      </c>
      <c r="B15" s="413">
        <v>0</v>
      </c>
      <c r="C15" s="378" t="s">
        <v>235</v>
      </c>
      <c r="D15" s="380" t="s">
        <v>255</v>
      </c>
      <c r="E15" s="379" t="s">
        <v>216</v>
      </c>
      <c r="F15" s="379" t="s">
        <v>217</v>
      </c>
      <c r="G15" s="379" t="s">
        <v>233</v>
      </c>
      <c r="H15" s="377" t="s">
        <v>237</v>
      </c>
      <c r="I15" s="397">
        <v>190</v>
      </c>
    </row>
    <row r="16" spans="1:10" ht="16.8">
      <c r="A16" s="374" t="s">
        <v>248</v>
      </c>
      <c r="B16" s="413">
        <v>0</v>
      </c>
      <c r="C16" s="381" t="s">
        <v>235</v>
      </c>
      <c r="D16" s="375" t="s">
        <v>215</v>
      </c>
      <c r="E16" s="376" t="s">
        <v>216</v>
      </c>
      <c r="F16" s="377" t="s">
        <v>217</v>
      </c>
      <c r="G16" s="377" t="s">
        <v>227</v>
      </c>
      <c r="H16" s="377" t="s">
        <v>256</v>
      </c>
      <c r="I16" s="397">
        <v>108</v>
      </c>
      <c r="J16" s="373"/>
    </row>
    <row r="17" spans="1:9" ht="16.8">
      <c r="A17" s="374" t="s">
        <v>250</v>
      </c>
      <c r="B17" s="413">
        <v>0</v>
      </c>
      <c r="C17" s="378" t="s">
        <v>260</v>
      </c>
      <c r="D17" s="380" t="s">
        <v>215</v>
      </c>
      <c r="E17" s="379" t="s">
        <v>216</v>
      </c>
      <c r="F17" s="379" t="s">
        <v>261</v>
      </c>
      <c r="G17" s="379" t="s">
        <v>262</v>
      </c>
      <c r="H17" s="377" t="s">
        <v>219</v>
      </c>
      <c r="I17" s="397">
        <v>201</v>
      </c>
    </row>
    <row r="18" spans="1:9" ht="16.8">
      <c r="A18" s="374" t="s">
        <v>251</v>
      </c>
      <c r="B18" s="413">
        <v>0</v>
      </c>
      <c r="C18" s="385" t="s">
        <v>260</v>
      </c>
      <c r="D18" s="388" t="s">
        <v>215</v>
      </c>
      <c r="E18" s="386" t="s">
        <v>216</v>
      </c>
      <c r="F18" s="386" t="s">
        <v>151</v>
      </c>
      <c r="G18" s="386" t="s">
        <v>233</v>
      </c>
      <c r="H18" s="377" t="s">
        <v>219</v>
      </c>
      <c r="I18" s="397">
        <v>219</v>
      </c>
    </row>
    <row r="19" spans="1:9" ht="16.8">
      <c r="A19" s="374" t="s">
        <v>147</v>
      </c>
      <c r="B19" s="413">
        <v>0</v>
      </c>
      <c r="C19" s="385" t="s">
        <v>260</v>
      </c>
      <c r="D19" s="388" t="s">
        <v>215</v>
      </c>
      <c r="E19" s="386" t="s">
        <v>216</v>
      </c>
      <c r="F19" s="386" t="s">
        <v>258</v>
      </c>
      <c r="G19" s="386" t="s">
        <v>229</v>
      </c>
      <c r="H19" s="377" t="s">
        <v>219</v>
      </c>
      <c r="I19" s="397">
        <v>264</v>
      </c>
    </row>
    <row r="20" spans="1:9" ht="16.8">
      <c r="A20" s="382" t="s">
        <v>252</v>
      </c>
      <c r="B20" s="420">
        <v>0</v>
      </c>
      <c r="C20" s="389" t="s">
        <v>260</v>
      </c>
      <c r="D20" s="390" t="s">
        <v>238</v>
      </c>
      <c r="E20" s="391" t="s">
        <v>216</v>
      </c>
      <c r="F20" s="391" t="s">
        <v>225</v>
      </c>
      <c r="G20" s="391" t="s">
        <v>234</v>
      </c>
      <c r="H20" s="383" t="s">
        <v>219</v>
      </c>
      <c r="I20" s="387">
        <v>269</v>
      </c>
    </row>
    <row r="21" spans="1:9" ht="16.8">
      <c r="A21" s="398" t="s">
        <v>263</v>
      </c>
      <c r="B21" s="414">
        <v>1</v>
      </c>
      <c r="C21" s="385" t="s">
        <v>236</v>
      </c>
      <c r="D21" s="388" t="s">
        <v>231</v>
      </c>
      <c r="E21" s="386" t="s">
        <v>216</v>
      </c>
      <c r="F21" s="386" t="s">
        <v>217</v>
      </c>
      <c r="G21" s="386" t="s">
        <v>267</v>
      </c>
      <c r="H21" s="377" t="s">
        <v>219</v>
      </c>
      <c r="I21" s="415">
        <v>197</v>
      </c>
    </row>
    <row r="22" spans="1:9" ht="16.8">
      <c r="A22" s="398" t="s">
        <v>264</v>
      </c>
      <c r="B22" s="414">
        <v>1</v>
      </c>
      <c r="C22" s="385" t="s">
        <v>214</v>
      </c>
      <c r="D22" s="388" t="s">
        <v>238</v>
      </c>
      <c r="E22" s="386" t="s">
        <v>216</v>
      </c>
      <c r="F22" s="386" t="s">
        <v>226</v>
      </c>
      <c r="G22" s="386" t="s">
        <v>259</v>
      </c>
      <c r="H22" s="377" t="s">
        <v>219</v>
      </c>
      <c r="I22" s="415">
        <v>249</v>
      </c>
    </row>
    <row r="23" spans="1:9" ht="16.8">
      <c r="A23" s="398" t="s">
        <v>265</v>
      </c>
      <c r="B23" s="414">
        <v>1</v>
      </c>
      <c r="C23" s="385" t="s">
        <v>230</v>
      </c>
      <c r="D23" s="388" t="s">
        <v>222</v>
      </c>
      <c r="E23" s="386" t="s">
        <v>216</v>
      </c>
      <c r="F23" s="386" t="s">
        <v>217</v>
      </c>
      <c r="G23" s="386" t="s">
        <v>259</v>
      </c>
      <c r="H23" s="377" t="s">
        <v>219</v>
      </c>
      <c r="I23" s="415">
        <v>294</v>
      </c>
    </row>
    <row r="24" spans="1:9" ht="17.399999999999999" thickBot="1">
      <c r="A24" s="399" t="s">
        <v>266</v>
      </c>
      <c r="B24" s="416">
        <v>1</v>
      </c>
      <c r="C24" s="400" t="s">
        <v>236</v>
      </c>
      <c r="D24" s="401" t="s">
        <v>215</v>
      </c>
      <c r="E24" s="402" t="s">
        <v>216</v>
      </c>
      <c r="F24" s="402" t="s">
        <v>226</v>
      </c>
      <c r="G24" s="402" t="s">
        <v>257</v>
      </c>
      <c r="H24" s="402" t="s">
        <v>219</v>
      </c>
      <c r="I24" s="417">
        <v>226</v>
      </c>
    </row>
    <row r="25" spans="1:9"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15"/>
  <sheetViews>
    <sheetView showGridLines="0" workbookViewId="0"/>
  </sheetViews>
  <sheetFormatPr defaultColWidth="6.19921875" defaultRowHeight="16.8"/>
  <cols>
    <col min="1" max="1" width="20.69921875" style="81" bestFit="1" customWidth="1"/>
    <col min="2" max="2" width="6.19921875" style="81"/>
    <col min="3" max="3" width="8.8984375" style="81" bestFit="1" customWidth="1"/>
    <col min="4" max="4" width="4.09765625" style="81" bestFit="1" customWidth="1"/>
    <col min="5" max="5" width="6.296875" style="81" bestFit="1" customWidth="1"/>
    <col min="6" max="6" width="3.796875" style="81" customWidth="1"/>
    <col min="7" max="7" width="16.3984375" style="81" bestFit="1" customWidth="1"/>
    <col min="8" max="8" width="3.8984375" style="81" bestFit="1" customWidth="1"/>
    <col min="9" max="10" width="4.59765625" style="81" customWidth="1"/>
    <col min="11" max="11" width="4.09765625" style="81" bestFit="1" customWidth="1"/>
    <col min="12" max="19" width="3.8984375" style="81" bestFit="1" customWidth="1"/>
    <col min="20" max="16384" width="6.19921875" style="81"/>
  </cols>
  <sheetData>
    <row r="1" spans="1:17" ht="22.2" thickTop="1" thickBot="1">
      <c r="A1" s="449" t="s">
        <v>285</v>
      </c>
      <c r="B1" s="450"/>
      <c r="C1" s="450"/>
      <c r="D1" s="450"/>
      <c r="E1" s="451"/>
      <c r="F1" s="364"/>
      <c r="G1" s="364"/>
      <c r="H1" s="422" t="s">
        <v>268</v>
      </c>
      <c r="I1" s="423"/>
      <c r="J1" s="423"/>
      <c r="K1" s="423"/>
      <c r="L1" s="423"/>
      <c r="M1" s="423"/>
      <c r="N1" s="423"/>
      <c r="O1" s="423"/>
      <c r="P1" s="423"/>
      <c r="Q1" s="424"/>
    </row>
    <row r="2" spans="1:17" ht="18" thickTop="1" thickBot="1">
      <c r="A2" s="452" t="s">
        <v>76</v>
      </c>
      <c r="B2" s="453" t="s">
        <v>79</v>
      </c>
      <c r="C2" s="454" t="s">
        <v>286</v>
      </c>
      <c r="D2" s="454" t="s">
        <v>80</v>
      </c>
      <c r="E2" s="455" t="s">
        <v>81</v>
      </c>
      <c r="F2" s="364"/>
      <c r="G2" s="364"/>
      <c r="H2" s="425" t="s">
        <v>269</v>
      </c>
      <c r="I2" s="426" t="s">
        <v>270</v>
      </c>
      <c r="J2" s="426" t="s">
        <v>271</v>
      </c>
      <c r="K2" s="426" t="s">
        <v>272</v>
      </c>
      <c r="L2" s="427" t="s">
        <v>273</v>
      </c>
      <c r="M2" s="426" t="s">
        <v>274</v>
      </c>
      <c r="N2" s="426" t="s">
        <v>275</v>
      </c>
      <c r="O2" s="426" t="s">
        <v>276</v>
      </c>
      <c r="P2" s="427" t="s">
        <v>277</v>
      </c>
      <c r="Q2" s="428" t="s">
        <v>278</v>
      </c>
    </row>
    <row r="3" spans="1:17" ht="17.399999999999999" thickTop="1">
      <c r="A3" s="456" t="s">
        <v>251</v>
      </c>
      <c r="B3" s="457">
        <v>0</v>
      </c>
      <c r="C3" s="457">
        <v>0</v>
      </c>
      <c r="D3" s="458">
        <f>10+B3+C3+'Personal File'!$C$15</f>
        <v>12</v>
      </c>
      <c r="E3" s="459" t="s">
        <v>103</v>
      </c>
      <c r="F3" s="364"/>
      <c r="G3" s="429" t="s">
        <v>279</v>
      </c>
      <c r="H3" s="430">
        <v>3</v>
      </c>
      <c r="I3" s="431">
        <v>1</v>
      </c>
      <c r="J3" s="432">
        <v>0</v>
      </c>
      <c r="K3" s="432">
        <v>0</v>
      </c>
      <c r="L3" s="432">
        <v>0</v>
      </c>
      <c r="M3" s="432">
        <v>0</v>
      </c>
      <c r="N3" s="432">
        <v>0</v>
      </c>
      <c r="O3" s="432">
        <v>0</v>
      </c>
      <c r="P3" s="432">
        <v>0</v>
      </c>
      <c r="Q3" s="433">
        <v>0</v>
      </c>
    </row>
    <row r="4" spans="1:17">
      <c r="A4" s="456" t="s">
        <v>220</v>
      </c>
      <c r="B4" s="457">
        <v>0</v>
      </c>
      <c r="C4" s="457">
        <v>0</v>
      </c>
      <c r="D4" s="458">
        <f>10+B4+C4+'Personal File'!$C$15</f>
        <v>12</v>
      </c>
      <c r="E4" s="459" t="s">
        <v>103</v>
      </c>
      <c r="F4" s="364"/>
      <c r="G4" s="434" t="s">
        <v>280</v>
      </c>
      <c r="H4" s="435">
        <v>0</v>
      </c>
      <c r="I4" s="436">
        <v>1</v>
      </c>
      <c r="J4" s="437">
        <v>1</v>
      </c>
      <c r="K4" s="437">
        <v>0</v>
      </c>
      <c r="L4" s="437">
        <v>0</v>
      </c>
      <c r="M4" s="437">
        <v>0</v>
      </c>
      <c r="N4" s="437">
        <v>0</v>
      </c>
      <c r="O4" s="437">
        <v>0</v>
      </c>
      <c r="P4" s="437">
        <v>0</v>
      </c>
      <c r="Q4" s="438">
        <v>0</v>
      </c>
    </row>
    <row r="5" spans="1:17" ht="17.399999999999999" thickBot="1">
      <c r="A5" s="460" t="s">
        <v>249</v>
      </c>
      <c r="B5" s="461">
        <v>0</v>
      </c>
      <c r="C5" s="461">
        <v>0</v>
      </c>
      <c r="D5" s="462">
        <f>10+B5+C5+'Personal File'!$C$15</f>
        <v>12</v>
      </c>
      <c r="E5" s="463" t="s">
        <v>103</v>
      </c>
      <c r="F5" s="364"/>
      <c r="G5" s="439" t="s">
        <v>281</v>
      </c>
      <c r="H5" s="440">
        <f t="shared" ref="H5:I5" si="0">SUM(H3:H4)</f>
        <v>3</v>
      </c>
      <c r="I5" s="441">
        <f t="shared" si="0"/>
        <v>2</v>
      </c>
      <c r="J5" s="442">
        <v>0</v>
      </c>
      <c r="K5" s="442">
        <v>0</v>
      </c>
      <c r="L5" s="442">
        <v>0</v>
      </c>
      <c r="M5" s="442">
        <v>0</v>
      </c>
      <c r="N5" s="442">
        <v>0</v>
      </c>
      <c r="O5" s="442">
        <v>0</v>
      </c>
      <c r="P5" s="442">
        <v>0</v>
      </c>
      <c r="Q5" s="443">
        <v>0</v>
      </c>
    </row>
    <row r="6" spans="1:17" ht="17.399999999999999" thickBot="1">
      <c r="A6" s="456" t="s">
        <v>264</v>
      </c>
      <c r="B6" s="457">
        <v>1</v>
      </c>
      <c r="C6" s="457">
        <v>0</v>
      </c>
      <c r="D6" s="458">
        <f>10+B6+C6+'Personal File'!$C$15</f>
        <v>13</v>
      </c>
      <c r="E6" s="459" t="s">
        <v>103</v>
      </c>
      <c r="F6" s="364"/>
      <c r="G6" s="444" t="s">
        <v>282</v>
      </c>
      <c r="H6" s="445">
        <f>10+LEFT(H2,1)+'Personal File'!$C$15</f>
        <v>12</v>
      </c>
      <c r="I6" s="446">
        <f>10+LEFT(I2,1)+'Personal File'!$C$15</f>
        <v>13</v>
      </c>
      <c r="J6" s="447">
        <f>10+LEFT(J2,1)+'Personal File'!$C$15</f>
        <v>14</v>
      </c>
      <c r="K6" s="447">
        <f>10+LEFT(K2,1)+'Personal File'!$C$15</f>
        <v>15</v>
      </c>
      <c r="L6" s="447">
        <f>10+LEFT(L2,1)+'Personal File'!$C$15</f>
        <v>16</v>
      </c>
      <c r="M6" s="447">
        <f>10+LEFT(M2,1)+'Personal File'!$C$15</f>
        <v>17</v>
      </c>
      <c r="N6" s="447">
        <f>10+LEFT(N2,1)+'Personal File'!$C$15</f>
        <v>18</v>
      </c>
      <c r="O6" s="447">
        <f>10+LEFT(O2,1)+'Personal File'!$C$15</f>
        <v>19</v>
      </c>
      <c r="P6" s="447">
        <f>10+LEFT(P2,1)+'Personal File'!$C$15</f>
        <v>20</v>
      </c>
      <c r="Q6" s="448">
        <f>10+LEFT(Q2,1)+'Personal File'!$C$15</f>
        <v>21</v>
      </c>
    </row>
    <row r="7" spans="1:17" ht="18" thickTop="1" thickBot="1">
      <c r="A7" s="464" t="s">
        <v>263</v>
      </c>
      <c r="B7" s="465">
        <v>1</v>
      </c>
      <c r="C7" s="465">
        <v>0</v>
      </c>
      <c r="D7" s="466">
        <f>10+B7+C7+'Personal File'!$C$15</f>
        <v>13</v>
      </c>
      <c r="E7" s="467" t="s">
        <v>103</v>
      </c>
      <c r="F7" s="364"/>
      <c r="G7" s="298"/>
      <c r="H7" s="298"/>
      <c r="I7" s="298" t="s">
        <v>283</v>
      </c>
      <c r="J7" s="357">
        <f>'Personal File'!E4</f>
        <v>1</v>
      </c>
      <c r="K7" s="298"/>
      <c r="L7" s="298"/>
      <c r="M7" s="298"/>
      <c r="N7" s="298"/>
      <c r="O7" s="298"/>
      <c r="P7" s="298"/>
      <c r="Q7" s="298"/>
    </row>
    <row r="8" spans="1:17" ht="18" thickTop="1" thickBot="1"/>
    <row r="9" spans="1:17" ht="22.2" thickTop="1" thickBot="1">
      <c r="A9" s="267" t="s">
        <v>153</v>
      </c>
      <c r="B9" s="259"/>
      <c r="C9" s="259"/>
      <c r="D9" s="259"/>
      <c r="E9" s="260"/>
    </row>
    <row r="10" spans="1:17" ht="17.399999999999999" thickTop="1">
      <c r="A10" s="265" t="s">
        <v>76</v>
      </c>
      <c r="B10" s="269" t="s">
        <v>79</v>
      </c>
      <c r="C10" s="266" t="s">
        <v>144</v>
      </c>
      <c r="D10" s="266" t="s">
        <v>80</v>
      </c>
      <c r="E10" s="276" t="s">
        <v>81</v>
      </c>
    </row>
    <row r="11" spans="1:17">
      <c r="A11" s="261" t="s">
        <v>83</v>
      </c>
      <c r="B11" s="270">
        <v>0</v>
      </c>
      <c r="C11" s="262" t="s">
        <v>145</v>
      </c>
      <c r="D11" s="262">
        <f>10+B11+C11+'Personal File'!$C$15</f>
        <v>13</v>
      </c>
      <c r="E11" s="273" t="s">
        <v>103</v>
      </c>
    </row>
    <row r="12" spans="1:17">
      <c r="A12" s="263" t="s">
        <v>146</v>
      </c>
      <c r="B12" s="271">
        <v>0</v>
      </c>
      <c r="C12" s="194" t="s">
        <v>145</v>
      </c>
      <c r="D12" s="194">
        <f>10+B12+C12+'Personal File'!$C$15</f>
        <v>13</v>
      </c>
      <c r="E12" s="274" t="s">
        <v>103</v>
      </c>
    </row>
    <row r="13" spans="1:17">
      <c r="A13" s="263" t="s">
        <v>147</v>
      </c>
      <c r="B13" s="271">
        <v>0</v>
      </c>
      <c r="C13" s="194" t="s">
        <v>53</v>
      </c>
      <c r="D13" s="194">
        <f>10+B13+C13+'Personal File'!$C$15</f>
        <v>12</v>
      </c>
      <c r="E13" s="274" t="s">
        <v>103</v>
      </c>
    </row>
    <row r="14" spans="1:17" ht="17.399999999999999" thickBot="1">
      <c r="A14" s="264" t="s">
        <v>148</v>
      </c>
      <c r="B14" s="272">
        <v>1</v>
      </c>
      <c r="C14" s="258" t="s">
        <v>53</v>
      </c>
      <c r="D14" s="258">
        <f>10+B14+C14+'Personal File'!$C$15</f>
        <v>13</v>
      </c>
      <c r="E14" s="275" t="s">
        <v>103</v>
      </c>
    </row>
    <row r="15" spans="1:17" ht="17.399999999999999" thickTop="1"/>
  </sheetData>
  <conditionalFormatting sqref="E5:E7">
    <cfRule type="cellIs" dxfId="10" priority="224" operator="equal">
      <formula>"þ"</formula>
    </cfRule>
  </conditionalFormatting>
  <conditionalFormatting sqref="E3:E4">
    <cfRule type="cellIs" dxfId="9" priority="247" operator="equal">
      <formula>"þ"</formula>
    </cfRule>
  </conditionalFormatting>
  <conditionalFormatting sqref="E11:E14">
    <cfRule type="cellIs" dxfId="8" priority="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5"/>
  <sheetViews>
    <sheetView showGridLines="0" workbookViewId="0"/>
  </sheetViews>
  <sheetFormatPr defaultColWidth="10.59765625" defaultRowHeight="16.8"/>
  <cols>
    <col min="1" max="1" width="31.5" style="82" bestFit="1" customWidth="1"/>
    <col min="2" max="2" width="2.59765625" style="80" customWidth="1"/>
    <col min="3" max="3" width="26.3984375" style="81" bestFit="1" customWidth="1"/>
    <col min="4" max="16384" width="10.59765625" style="81"/>
  </cols>
  <sheetData>
    <row r="1" spans="1:3" ht="24" thickTop="1" thickBot="1">
      <c r="A1" s="226" t="s">
        <v>73</v>
      </c>
      <c r="C1" s="342" t="s">
        <v>117</v>
      </c>
    </row>
    <row r="2" spans="1:3">
      <c r="A2" s="225" t="s">
        <v>121</v>
      </c>
      <c r="C2" s="305" t="s">
        <v>298</v>
      </c>
    </row>
    <row r="3" spans="1:3" ht="17.399999999999999" thickBot="1">
      <c r="A3" s="268" t="s">
        <v>203</v>
      </c>
      <c r="C3" s="491" t="str">
        <f>CONCATENATE("Trap Sense +",1)</f>
        <v>Trap Sense +1</v>
      </c>
    </row>
    <row r="4" spans="1:3" ht="18" thickTop="1" thickBot="1">
      <c r="C4" s="369" t="s">
        <v>199</v>
      </c>
    </row>
    <row r="5" spans="1:3" ht="24" thickTop="1" thickBot="1">
      <c r="A5" s="227" t="s">
        <v>71</v>
      </c>
      <c r="C5" s="306" t="s">
        <v>118</v>
      </c>
    </row>
    <row r="6" spans="1:3" ht="17.399999999999999" thickBot="1">
      <c r="A6" s="83" t="s">
        <v>101</v>
      </c>
    </row>
    <row r="7" spans="1:3" ht="24" thickTop="1" thickBot="1">
      <c r="A7" s="307" t="s">
        <v>122</v>
      </c>
      <c r="C7" s="421" t="s">
        <v>204</v>
      </c>
    </row>
    <row r="8" spans="1:3" ht="17.399999999999999" thickBot="1">
      <c r="A8" s="87" t="s">
        <v>100</v>
      </c>
      <c r="C8" s="225" t="s">
        <v>299</v>
      </c>
    </row>
    <row r="9" spans="1:3" ht="18" thickTop="1" thickBot="1">
      <c r="C9" s="372" t="s">
        <v>205</v>
      </c>
    </row>
    <row r="10" spans="1:3" ht="24" thickTop="1" thickBot="1">
      <c r="A10" s="229" t="s">
        <v>59</v>
      </c>
    </row>
    <row r="11" spans="1:3" ht="24" thickTop="1" thickBot="1">
      <c r="A11" s="84" t="s">
        <v>120</v>
      </c>
      <c r="C11" s="228" t="s">
        <v>84</v>
      </c>
    </row>
    <row r="12" spans="1:3" ht="17.399999999999999" thickBot="1">
      <c r="A12" s="86" t="s">
        <v>119</v>
      </c>
      <c r="C12" s="85" t="s">
        <v>91</v>
      </c>
    </row>
    <row r="13" spans="1:3" ht="17.399999999999999" thickTop="1">
      <c r="C13" s="88" t="s">
        <v>85</v>
      </c>
    </row>
    <row r="14" spans="1:3" ht="17.399999999999999" thickBot="1">
      <c r="C14" s="89" t="s">
        <v>86</v>
      </c>
    </row>
    <row r="15"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showGridLines="0" workbookViewId="0"/>
  </sheetViews>
  <sheetFormatPr defaultColWidth="13" defaultRowHeight="15.6"/>
  <cols>
    <col min="1" max="1" width="20.8984375" style="27" bestFit="1" customWidth="1"/>
    <col min="2" max="2" width="8.5" style="27" bestFit="1" customWidth="1"/>
    <col min="3" max="3" width="4.296875" style="27" bestFit="1" customWidth="1"/>
    <col min="4" max="4" width="6.296875" style="27" bestFit="1" customWidth="1"/>
    <col min="5" max="5" width="8.09765625" style="27" bestFit="1" customWidth="1"/>
    <col min="6" max="6" width="8.3984375" style="27" bestFit="1" customWidth="1"/>
    <col min="7" max="7" width="4.69921875" style="27" bestFit="1" customWidth="1"/>
    <col min="8" max="8" width="5.69921875" style="27" bestFit="1" customWidth="1"/>
    <col min="9" max="9" width="5.59765625" style="27" bestFit="1" customWidth="1"/>
    <col min="10" max="10" width="6.296875" style="27" bestFit="1" customWidth="1"/>
    <col min="11" max="11" width="23.796875" style="27" bestFit="1" customWidth="1"/>
    <col min="12" max="12" width="3.3984375" style="22" customWidth="1"/>
    <col min="13" max="13" width="5.796875" style="209" bestFit="1" customWidth="1"/>
    <col min="14" max="14" width="7.69921875" style="27" bestFit="1" customWidth="1"/>
    <col min="15" max="16384" width="13" style="22"/>
  </cols>
  <sheetData>
    <row r="1" spans="1:14" ht="23.4" thickBot="1">
      <c r="A1" s="20" t="s">
        <v>14</v>
      </c>
      <c r="B1" s="20"/>
      <c r="C1" s="20"/>
      <c r="D1" s="20"/>
      <c r="E1" s="20"/>
      <c r="F1" s="20"/>
      <c r="G1" s="20"/>
      <c r="H1" s="20"/>
      <c r="I1" s="20"/>
      <c r="J1" s="20"/>
      <c r="K1" s="20"/>
    </row>
    <row r="2" spans="1:14" ht="16.8" thickTop="1" thickBot="1">
      <c r="A2" s="45" t="s">
        <v>0</v>
      </c>
      <c r="B2" s="46" t="s">
        <v>1</v>
      </c>
      <c r="C2" s="46" t="s">
        <v>16</v>
      </c>
      <c r="D2" s="46" t="s">
        <v>17</v>
      </c>
      <c r="E2" s="47" t="s">
        <v>55</v>
      </c>
      <c r="F2" s="46" t="s">
        <v>15</v>
      </c>
      <c r="G2" s="46" t="s">
        <v>18</v>
      </c>
      <c r="H2" s="48" t="s">
        <v>72</v>
      </c>
      <c r="I2" s="49" t="s">
        <v>75</v>
      </c>
      <c r="J2" s="48" t="s">
        <v>65</v>
      </c>
      <c r="K2" s="50" t="s">
        <v>63</v>
      </c>
      <c r="M2" s="210" t="s">
        <v>97</v>
      </c>
    </row>
    <row r="3" spans="1:14">
      <c r="A3" s="215" t="s">
        <v>124</v>
      </c>
      <c r="B3" s="6" t="s">
        <v>125</v>
      </c>
      <c r="C3" s="7" t="str">
        <f>'Personal File'!$C$12</f>
        <v>+0</v>
      </c>
      <c r="D3" s="8" t="s">
        <v>53</v>
      </c>
      <c r="E3" s="310" t="s">
        <v>128</v>
      </c>
      <c r="F3" s="9" t="s">
        <v>149</v>
      </c>
      <c r="G3" s="10">
        <v>1</v>
      </c>
      <c r="H3" s="206">
        <f>'Personal File'!$B$10+'Personal File'!$C$12+D3</f>
        <v>2</v>
      </c>
      <c r="I3" s="207">
        <f t="shared" ref="I3:I5" ca="1" si="0">RANDBETWEEN(1,20)</f>
        <v>3</v>
      </c>
      <c r="J3" s="208">
        <f t="shared" ref="J3" ca="1" si="1">I3+H3</f>
        <v>5</v>
      </c>
      <c r="K3" s="17"/>
      <c r="M3" s="211">
        <v>10</v>
      </c>
    </row>
    <row r="4" spans="1:14">
      <c r="A4" s="308" t="s">
        <v>126</v>
      </c>
      <c r="B4" s="287" t="s">
        <v>88</v>
      </c>
      <c r="C4" s="309" t="str">
        <f>'Personal File'!$C$12</f>
        <v>+0</v>
      </c>
      <c r="D4" s="310">
        <v>0</v>
      </c>
      <c r="E4" s="310" t="s">
        <v>128</v>
      </c>
      <c r="F4" s="311" t="s">
        <v>129</v>
      </c>
      <c r="G4" s="288">
        <v>0.5</v>
      </c>
      <c r="H4" s="315">
        <f>'Personal File'!$B$10+'Personal File'!$C$12+D4</f>
        <v>2</v>
      </c>
      <c r="I4" s="316">
        <f t="shared" ca="1" si="0"/>
        <v>15</v>
      </c>
      <c r="J4" s="317">
        <f t="shared" ref="J4:J5" ca="1" si="2">I4+H4</f>
        <v>17</v>
      </c>
      <c r="K4" s="318"/>
      <c r="M4" s="289">
        <v>2</v>
      </c>
    </row>
    <row r="5" spans="1:14">
      <c r="A5" s="308" t="s">
        <v>127</v>
      </c>
      <c r="B5" s="287" t="s">
        <v>88</v>
      </c>
      <c r="C5" s="309" t="str">
        <f>'Personal File'!$C$12</f>
        <v>+0</v>
      </c>
      <c r="D5" s="310">
        <v>0</v>
      </c>
      <c r="E5" s="310" t="s">
        <v>128</v>
      </c>
      <c r="F5" s="311" t="s">
        <v>129</v>
      </c>
      <c r="G5" s="288">
        <v>0.5</v>
      </c>
      <c r="H5" s="315">
        <f>'Personal File'!$B$10+'Personal File'!$C$12+D5</f>
        <v>2</v>
      </c>
      <c r="I5" s="316">
        <f t="shared" ca="1" si="0"/>
        <v>15</v>
      </c>
      <c r="J5" s="317">
        <f t="shared" ca="1" si="2"/>
        <v>17</v>
      </c>
      <c r="K5" s="318"/>
      <c r="M5" s="289">
        <v>2</v>
      </c>
    </row>
    <row r="6" spans="1:14" ht="16.2" thickBot="1">
      <c r="A6" s="11" t="s">
        <v>95</v>
      </c>
      <c r="B6" s="12" t="s">
        <v>88</v>
      </c>
      <c r="C6" s="13" t="str">
        <f>'Personal File'!$C$12</f>
        <v>+0</v>
      </c>
      <c r="D6" s="14" t="s">
        <v>53</v>
      </c>
      <c r="E6" s="14" t="s">
        <v>96</v>
      </c>
      <c r="F6" s="15" t="s">
        <v>87</v>
      </c>
      <c r="G6" s="16">
        <v>0</v>
      </c>
      <c r="H6" s="18">
        <f>'Personal File'!$B$10+'Personal File'!$C$12+D6</f>
        <v>2</v>
      </c>
      <c r="I6" s="51">
        <f t="shared" ref="I6" ca="1" si="3">RANDBETWEEN(1,20)</f>
        <v>4</v>
      </c>
      <c r="J6" s="52">
        <f t="shared" ref="J6" ca="1" si="4">I6+H6</f>
        <v>6</v>
      </c>
      <c r="K6" s="19" t="s">
        <v>85</v>
      </c>
      <c r="M6" s="221" t="s">
        <v>77</v>
      </c>
    </row>
    <row r="7" spans="1:14" ht="6" customHeight="1" thickTop="1" thickBot="1">
      <c r="I7" s="53"/>
      <c r="J7" s="53"/>
      <c r="M7" s="214"/>
    </row>
    <row r="8" spans="1:14" ht="16.8" thickTop="1" thickBot="1">
      <c r="A8" s="45" t="s">
        <v>3</v>
      </c>
      <c r="B8" s="46" t="s">
        <v>4</v>
      </c>
      <c r="C8" s="46" t="s">
        <v>16</v>
      </c>
      <c r="D8" s="46" t="s">
        <v>17</v>
      </c>
      <c r="E8" s="47" t="s">
        <v>55</v>
      </c>
      <c r="F8" s="46" t="s">
        <v>5</v>
      </c>
      <c r="G8" s="46" t="s">
        <v>18</v>
      </c>
      <c r="H8" s="48" t="s">
        <v>72</v>
      </c>
      <c r="I8" s="49" t="s">
        <v>75</v>
      </c>
      <c r="J8" s="48" t="s">
        <v>65</v>
      </c>
      <c r="K8" s="50" t="s">
        <v>63</v>
      </c>
      <c r="M8" s="210" t="s">
        <v>97</v>
      </c>
    </row>
    <row r="9" spans="1:14">
      <c r="A9" s="481" t="s">
        <v>104</v>
      </c>
      <c r="B9" s="482" t="s">
        <v>77</v>
      </c>
      <c r="C9" s="483" t="s">
        <v>77</v>
      </c>
      <c r="D9" s="484" t="s">
        <v>53</v>
      </c>
      <c r="E9" s="484" t="s">
        <v>77</v>
      </c>
      <c r="F9" s="485" t="s">
        <v>77</v>
      </c>
      <c r="G9" s="486" t="s">
        <v>77</v>
      </c>
      <c r="H9" s="487">
        <f>'Personal File'!$B$10+'Personal File'!$C$13+D9</f>
        <v>5</v>
      </c>
      <c r="I9" s="242">
        <f t="shared" ref="I9:I10" ca="1" si="5">RANDBETWEEN(1,20)</f>
        <v>18</v>
      </c>
      <c r="J9" s="488">
        <f t="shared" ref="J9" ca="1" si="6">I9+H9</f>
        <v>23</v>
      </c>
      <c r="K9" s="489" t="s">
        <v>85</v>
      </c>
      <c r="L9" s="220"/>
      <c r="M9" s="490" t="s">
        <v>77</v>
      </c>
    </row>
    <row r="10" spans="1:14" s="222" customFormat="1">
      <c r="A10" s="308" t="s">
        <v>123</v>
      </c>
      <c r="B10" s="287" t="s">
        <v>125</v>
      </c>
      <c r="C10" s="309">
        <v>0</v>
      </c>
      <c r="D10" s="310" t="s">
        <v>53</v>
      </c>
      <c r="E10" s="310" t="s">
        <v>150</v>
      </c>
      <c r="F10" s="311" t="s">
        <v>151</v>
      </c>
      <c r="G10" s="288">
        <v>1</v>
      </c>
      <c r="H10" s="312">
        <v>2</v>
      </c>
      <c r="I10" s="242">
        <f t="shared" ca="1" si="5"/>
        <v>17</v>
      </c>
      <c r="J10" s="312">
        <f t="shared" ref="J10:J11" ca="1" si="7">I10+H10</f>
        <v>19</v>
      </c>
      <c r="K10" s="313"/>
      <c r="L10" s="220"/>
      <c r="M10" s="289">
        <v>30</v>
      </c>
      <c r="N10" s="241"/>
    </row>
    <row r="11" spans="1:14" ht="16.2" thickBot="1">
      <c r="A11" s="11"/>
      <c r="B11" s="12"/>
      <c r="C11" s="75"/>
      <c r="D11" s="75"/>
      <c r="E11" s="12"/>
      <c r="F11" s="75"/>
      <c r="G11" s="16"/>
      <c r="H11" s="52"/>
      <c r="I11" s="243">
        <f t="shared" ref="I11" ca="1" si="8">RANDBETWEEN(1,20)</f>
        <v>19</v>
      </c>
      <c r="J11" s="52">
        <f t="shared" ca="1" si="7"/>
        <v>19</v>
      </c>
      <c r="K11" s="314"/>
      <c r="L11" s="220"/>
      <c r="M11" s="213" t="s">
        <v>77</v>
      </c>
    </row>
    <row r="12" spans="1:14" ht="6" customHeight="1" thickTop="1" thickBot="1">
      <c r="D12" s="54"/>
      <c r="E12" s="54"/>
      <c r="G12" s="44"/>
      <c r="H12" s="44"/>
      <c r="I12" s="53"/>
      <c r="J12" s="44"/>
      <c r="M12" s="214"/>
    </row>
    <row r="13" spans="1:14" ht="16.8" thickTop="1" thickBot="1">
      <c r="A13" s="45" t="s">
        <v>57</v>
      </c>
      <c r="B13" s="46" t="s">
        <v>8</v>
      </c>
      <c r="C13" s="46" t="s">
        <v>25</v>
      </c>
      <c r="D13" s="46" t="s">
        <v>65</v>
      </c>
      <c r="E13" s="46" t="s">
        <v>66</v>
      </c>
      <c r="F13" s="46" t="s">
        <v>67</v>
      </c>
      <c r="G13" s="46" t="s">
        <v>18</v>
      </c>
      <c r="H13" s="55" t="s">
        <v>63</v>
      </c>
      <c r="I13" s="56"/>
      <c r="J13" s="56"/>
      <c r="K13" s="57"/>
      <c r="M13" s="210" t="s">
        <v>97</v>
      </c>
    </row>
    <row r="14" spans="1:14">
      <c r="A14" s="278" t="s">
        <v>289</v>
      </c>
      <c r="B14" s="279">
        <v>4</v>
      </c>
      <c r="C14" s="280">
        <f>4+2</f>
        <v>6</v>
      </c>
      <c r="D14" s="279">
        <f>-2+2</f>
        <v>0</v>
      </c>
      <c r="E14" s="281">
        <f>0.2-0.1</f>
        <v>0.1</v>
      </c>
      <c r="F14" s="282" t="s">
        <v>114</v>
      </c>
      <c r="G14" s="468">
        <v>6.25</v>
      </c>
      <c r="H14" s="283"/>
      <c r="I14" s="284"/>
      <c r="J14" s="284"/>
      <c r="K14" s="285"/>
      <c r="M14" s="286">
        <v>1100</v>
      </c>
      <c r="N14" s="220"/>
    </row>
    <row r="15" spans="1:14">
      <c r="A15" s="471" t="s">
        <v>264</v>
      </c>
      <c r="B15" s="472" t="s">
        <v>306</v>
      </c>
      <c r="C15" s="473" t="s">
        <v>77</v>
      </c>
      <c r="D15" s="472" t="s">
        <v>77</v>
      </c>
      <c r="E15" s="474" t="s">
        <v>77</v>
      </c>
      <c r="F15" s="475" t="s">
        <v>77</v>
      </c>
      <c r="G15" s="476" t="s">
        <v>77</v>
      </c>
      <c r="H15" s="477"/>
      <c r="I15" s="478"/>
      <c r="J15" s="478"/>
      <c r="K15" s="479"/>
      <c r="M15" s="480" t="s">
        <v>77</v>
      </c>
      <c r="N15" s="220"/>
    </row>
    <row r="16" spans="1:14" ht="16.2" thickBot="1">
      <c r="A16" s="11"/>
      <c r="B16" s="12"/>
      <c r="C16" s="58"/>
      <c r="D16" s="12"/>
      <c r="E16" s="257"/>
      <c r="F16" s="12"/>
      <c r="G16" s="16"/>
      <c r="H16" s="59"/>
      <c r="I16" s="60"/>
      <c r="J16" s="60"/>
      <c r="K16" s="61"/>
      <c r="M16" s="213"/>
    </row>
    <row r="17" spans="1:14" ht="6.75" customHeight="1" thickTop="1" thickBot="1">
      <c r="M17" s="214"/>
    </row>
    <row r="18" spans="1:14" ht="16.8" thickTop="1" thickBot="1">
      <c r="A18" s="62"/>
      <c r="B18" s="44"/>
      <c r="D18" s="63" t="s">
        <v>58</v>
      </c>
      <c r="E18" s="64"/>
      <c r="F18" s="55" t="s">
        <v>2</v>
      </c>
      <c r="G18" s="46" t="s">
        <v>18</v>
      </c>
      <c r="H18" s="48" t="s">
        <v>72</v>
      </c>
      <c r="I18" s="55" t="s">
        <v>63</v>
      </c>
      <c r="J18" s="56"/>
      <c r="K18" s="57"/>
      <c r="M18" s="210" t="s">
        <v>97</v>
      </c>
    </row>
    <row r="19" spans="1:14">
      <c r="A19" s="62"/>
      <c r="B19" s="248"/>
      <c r="D19" s="65" t="s">
        <v>130</v>
      </c>
      <c r="E19" s="66"/>
      <c r="F19" s="67">
        <v>20</v>
      </c>
      <c r="G19" s="10">
        <f>F19*3/(2*20)</f>
        <v>1.5</v>
      </c>
      <c r="H19" s="68" t="s">
        <v>53</v>
      </c>
      <c r="I19" s="69"/>
      <c r="J19" s="70"/>
      <c r="K19" s="71"/>
      <c r="M19" s="328">
        <f>F19/20</f>
        <v>1</v>
      </c>
    </row>
    <row r="20" spans="1:14" ht="16.2" thickBot="1">
      <c r="A20" s="62"/>
      <c r="B20" s="248"/>
      <c r="D20" s="72"/>
      <c r="E20" s="73"/>
      <c r="F20" s="74"/>
      <c r="G20" s="16"/>
      <c r="H20" s="75"/>
      <c r="I20" s="76"/>
      <c r="J20" s="77"/>
      <c r="K20" s="61"/>
      <c r="M20" s="213"/>
    </row>
    <row r="21" spans="1:14" ht="16.8" thickTop="1" thickBot="1">
      <c r="B21" s="22"/>
    </row>
    <row r="22" spans="1:14" ht="16.8" thickTop="1" thickBot="1">
      <c r="B22" s="22"/>
      <c r="D22" s="63" t="s">
        <v>94</v>
      </c>
      <c r="E22" s="56"/>
      <c r="F22" s="56"/>
      <c r="G22" s="78" t="s">
        <v>2</v>
      </c>
      <c r="H22" s="78" t="s">
        <v>79</v>
      </c>
      <c r="I22" s="78" t="s">
        <v>90</v>
      </c>
      <c r="J22" s="79" t="s">
        <v>63</v>
      </c>
      <c r="K22" s="57"/>
      <c r="M22" s="210" t="s">
        <v>97</v>
      </c>
    </row>
    <row r="23" spans="1:14">
      <c r="B23" s="22"/>
      <c r="D23" s="196"/>
      <c r="E23" s="197"/>
      <c r="F23" s="197"/>
      <c r="G23" s="198"/>
      <c r="H23" s="198"/>
      <c r="I23" s="198"/>
      <c r="J23" s="199"/>
      <c r="K23" s="200"/>
      <c r="L23" s="201"/>
      <c r="M23" s="212"/>
      <c r="N23" s="22"/>
    </row>
    <row r="24" spans="1:14" ht="16.2" thickBot="1">
      <c r="A24" s="22"/>
      <c r="B24" s="22"/>
      <c r="D24" s="202"/>
      <c r="E24" s="203"/>
      <c r="F24" s="203"/>
      <c r="G24" s="12"/>
      <c r="H24" s="12"/>
      <c r="I24" s="12"/>
      <c r="J24" s="204"/>
      <c r="K24" s="205"/>
      <c r="M24" s="213"/>
      <c r="N24" s="53"/>
    </row>
    <row r="25" spans="1:14" ht="16.2" thickTop="1">
      <c r="A25" s="22"/>
      <c r="B25" s="22"/>
    </row>
    <row r="26" spans="1:14">
      <c r="A26" s="22"/>
      <c r="B26" s="22"/>
    </row>
    <row r="27" spans="1:14">
      <c r="A27" s="22"/>
      <c r="B27" s="22"/>
    </row>
    <row r="28" spans="1:14">
      <c r="A28" s="22"/>
      <c r="B28" s="22"/>
    </row>
    <row r="29" spans="1:14">
      <c r="A29" s="22"/>
      <c r="B29" s="22"/>
    </row>
    <row r="30" spans="1:14">
      <c r="A30" s="22"/>
      <c r="B30" s="22"/>
    </row>
  </sheetData>
  <sortState xmlns:xlrd2="http://schemas.microsoft.com/office/spreadsheetml/2017/richdata2" ref="D20:K34">
    <sortCondition ref="I20:I34"/>
    <sortCondition ref="D20:D34"/>
  </sortState>
  <phoneticPr fontId="0" type="noConversion"/>
  <conditionalFormatting sqref="I6">
    <cfRule type="cellIs" dxfId="7" priority="13" operator="equal">
      <formula>20</formula>
    </cfRule>
    <cfRule type="cellIs" dxfId="6" priority="14" operator="equal">
      <formula>1</formula>
    </cfRule>
  </conditionalFormatting>
  <conditionalFormatting sqref="I11">
    <cfRule type="cellIs" dxfId="5" priority="9" operator="equal">
      <formula>20</formula>
    </cfRule>
    <cfRule type="cellIs" dxfId="4" priority="10" operator="equal">
      <formula>1</formula>
    </cfRule>
  </conditionalFormatting>
  <conditionalFormatting sqref="I3:I5">
    <cfRule type="cellIs" dxfId="3" priority="3" operator="equal">
      <formula>20</formula>
    </cfRule>
    <cfRule type="cellIs" dxfId="2" priority="4" operator="equal">
      <formula>1</formula>
    </cfRule>
  </conditionalFormatting>
  <conditionalFormatting sqref="I9: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1"/>
  <sheetViews>
    <sheetView showGridLines="0" workbookViewId="0"/>
  </sheetViews>
  <sheetFormatPr defaultColWidth="8.59765625" defaultRowHeight="15.6"/>
  <cols>
    <col min="1" max="1" width="17.3984375" style="27" bestFit="1" customWidth="1"/>
    <col min="2" max="2" width="4.69921875" style="27" bestFit="1" customWidth="1"/>
    <col min="3" max="3" width="4.3984375" style="44" bestFit="1" customWidth="1"/>
    <col min="4" max="5" width="22.3984375" style="22" customWidth="1"/>
    <col min="6" max="6" width="2.3984375" style="22" customWidth="1"/>
    <col min="7" max="7" width="7.296875" style="22" bestFit="1" customWidth="1"/>
    <col min="8" max="16384" width="8.59765625" style="22"/>
  </cols>
  <sheetData>
    <row r="1" spans="1:7" ht="23.4" thickBot="1">
      <c r="A1" s="20" t="s">
        <v>60</v>
      </c>
      <c r="B1" s="20"/>
      <c r="C1" s="21"/>
      <c r="D1" s="20"/>
      <c r="E1" s="20"/>
    </row>
    <row r="2" spans="1:7" s="27" customFormat="1" ht="16.8" thickTop="1" thickBot="1">
      <c r="A2" s="23" t="s">
        <v>61</v>
      </c>
      <c r="B2" s="23" t="s">
        <v>2</v>
      </c>
      <c r="C2" s="24" t="s">
        <v>18</v>
      </c>
      <c r="D2" s="25" t="s">
        <v>62</v>
      </c>
      <c r="E2" s="26" t="s">
        <v>63</v>
      </c>
      <c r="G2" s="249" t="s">
        <v>97</v>
      </c>
    </row>
    <row r="3" spans="1:7">
      <c r="A3" s="494" t="s">
        <v>300</v>
      </c>
      <c r="B3" s="31">
        <v>1</v>
      </c>
      <c r="C3" s="495" t="s">
        <v>305</v>
      </c>
      <c r="D3" s="517" t="s">
        <v>304</v>
      </c>
      <c r="E3" s="32"/>
      <c r="G3" s="497">
        <v>500</v>
      </c>
    </row>
    <row r="4" spans="1:7">
      <c r="A4" s="494" t="s">
        <v>301</v>
      </c>
      <c r="B4" s="31">
        <v>1</v>
      </c>
      <c r="C4" s="495">
        <v>1</v>
      </c>
      <c r="D4" s="496"/>
      <c r="E4" s="32"/>
      <c r="G4" s="497">
        <v>750</v>
      </c>
    </row>
    <row r="5" spans="1:7" ht="16.2" thickBot="1">
      <c r="A5" s="34" t="s">
        <v>92</v>
      </c>
      <c r="B5" s="35">
        <v>1</v>
      </c>
      <c r="C5" s="36">
        <v>1</v>
      </c>
      <c r="D5" s="37"/>
      <c r="E5" s="38"/>
      <c r="G5" s="251">
        <v>2</v>
      </c>
    </row>
    <row r="6" spans="1:7" ht="24" thickTop="1" thickBot="1">
      <c r="A6" s="20" t="s">
        <v>64</v>
      </c>
      <c r="B6" s="20"/>
      <c r="C6" s="39"/>
      <c r="D6" s="20"/>
      <c r="E6" s="40"/>
      <c r="G6" s="39"/>
    </row>
    <row r="7" spans="1:7" ht="16.8" thickTop="1" thickBot="1">
      <c r="A7" s="23" t="s">
        <v>61</v>
      </c>
      <c r="B7" s="23" t="s">
        <v>2</v>
      </c>
      <c r="C7" s="24" t="s">
        <v>18</v>
      </c>
      <c r="D7" s="25" t="s">
        <v>62</v>
      </c>
      <c r="E7" s="26" t="s">
        <v>63</v>
      </c>
      <c r="G7" s="249" t="s">
        <v>97</v>
      </c>
    </row>
    <row r="8" spans="1:7">
      <c r="A8" s="41" t="s">
        <v>133</v>
      </c>
      <c r="B8" s="28">
        <v>1</v>
      </c>
      <c r="C8" s="42">
        <v>0.5</v>
      </c>
      <c r="D8" s="43"/>
      <c r="E8" s="29"/>
      <c r="G8" s="252">
        <v>1</v>
      </c>
    </row>
    <row r="9" spans="1:7">
      <c r="A9" s="336" t="s">
        <v>152</v>
      </c>
      <c r="B9" s="337">
        <v>1</v>
      </c>
      <c r="C9" s="338">
        <v>3</v>
      </c>
      <c r="D9" s="339"/>
      <c r="E9" s="340"/>
      <c r="G9" s="341">
        <v>11</v>
      </c>
    </row>
    <row r="10" spans="1:7">
      <c r="A10" s="336" t="s">
        <v>291</v>
      </c>
      <c r="B10" s="337">
        <v>1</v>
      </c>
      <c r="C10" s="338">
        <v>15</v>
      </c>
      <c r="D10" s="339"/>
      <c r="E10" s="340"/>
      <c r="G10" s="341">
        <v>75</v>
      </c>
    </row>
    <row r="11" spans="1:7">
      <c r="A11" s="336" t="s">
        <v>292</v>
      </c>
      <c r="B11" s="337">
        <v>1</v>
      </c>
      <c r="C11" s="338">
        <v>1</v>
      </c>
      <c r="D11" s="339"/>
      <c r="E11" s="340"/>
      <c r="G11" s="341">
        <v>15</v>
      </c>
    </row>
    <row r="12" spans="1:7">
      <c r="A12" s="30" t="s">
        <v>134</v>
      </c>
      <c r="B12" s="31">
        <v>1</v>
      </c>
      <c r="C12" s="33">
        <v>0</v>
      </c>
      <c r="D12" s="195"/>
      <c r="E12" s="32"/>
      <c r="G12" s="250">
        <v>1</v>
      </c>
    </row>
    <row r="13" spans="1:7">
      <c r="A13" s="30" t="s">
        <v>136</v>
      </c>
      <c r="B13" s="31">
        <v>5</v>
      </c>
      <c r="C13" s="33">
        <f>B13*(5*0.05)</f>
        <v>1.25</v>
      </c>
      <c r="D13" s="195"/>
      <c r="E13" s="32"/>
      <c r="G13" s="250">
        <f>B13</f>
        <v>5</v>
      </c>
    </row>
    <row r="14" spans="1:7">
      <c r="A14" s="30" t="s">
        <v>135</v>
      </c>
      <c r="B14" s="31">
        <v>1</v>
      </c>
      <c r="C14" s="33">
        <f>B14</f>
        <v>1</v>
      </c>
      <c r="D14" s="195"/>
      <c r="E14" s="32"/>
      <c r="G14" s="250">
        <f>B14*4</f>
        <v>4</v>
      </c>
    </row>
    <row r="15" spans="1:7">
      <c r="A15" s="30" t="s">
        <v>287</v>
      </c>
      <c r="B15" s="31">
        <v>1</v>
      </c>
      <c r="C15" s="33">
        <v>0</v>
      </c>
      <c r="D15" s="195"/>
      <c r="E15" s="32"/>
      <c r="G15" s="330">
        <v>0.05</v>
      </c>
    </row>
    <row r="16" spans="1:7">
      <c r="A16" s="30" t="s">
        <v>288</v>
      </c>
      <c r="B16" s="31">
        <v>1</v>
      </c>
      <c r="C16" s="33">
        <v>0</v>
      </c>
      <c r="D16" s="195"/>
      <c r="E16" s="32"/>
      <c r="G16" s="250">
        <v>8</v>
      </c>
    </row>
    <row r="17" spans="1:7">
      <c r="A17" s="30" t="s">
        <v>137</v>
      </c>
      <c r="B17" s="31">
        <v>5</v>
      </c>
      <c r="C17" s="33">
        <v>0</v>
      </c>
      <c r="D17" s="195"/>
      <c r="E17" s="32"/>
      <c r="G17" s="250">
        <f>100*B17</f>
        <v>500</v>
      </c>
    </row>
    <row r="18" spans="1:7">
      <c r="A18" s="30" t="s">
        <v>89</v>
      </c>
      <c r="B18" s="31">
        <v>45</v>
      </c>
      <c r="C18" s="329">
        <f>B18*0.01</f>
        <v>0.45</v>
      </c>
      <c r="D18" s="195"/>
      <c r="E18" s="32"/>
      <c r="G18" s="250">
        <f>B18</f>
        <v>45</v>
      </c>
    </row>
    <row r="19" spans="1:7">
      <c r="A19" s="30" t="s">
        <v>138</v>
      </c>
      <c r="B19" s="31">
        <v>9</v>
      </c>
      <c r="C19" s="329">
        <f>B19*0.0075</f>
        <v>6.7500000000000004E-2</v>
      </c>
      <c r="D19" s="195"/>
      <c r="E19" s="32"/>
      <c r="G19" s="330">
        <f>B19/20</f>
        <v>0.45</v>
      </c>
    </row>
    <row r="20" spans="1:7">
      <c r="A20" s="30" t="s">
        <v>139</v>
      </c>
      <c r="B20" s="31">
        <v>10</v>
      </c>
      <c r="C20" s="329">
        <f>B20*0.005</f>
        <v>0.05</v>
      </c>
      <c r="D20" s="195"/>
      <c r="E20" s="32"/>
      <c r="G20" s="330">
        <f>B20/100</f>
        <v>0.1</v>
      </c>
    </row>
    <row r="21" spans="1:7">
      <c r="A21" s="30" t="s">
        <v>132</v>
      </c>
      <c r="B21" s="31">
        <v>1</v>
      </c>
      <c r="C21" s="329">
        <v>1.25</v>
      </c>
      <c r="D21" s="195"/>
      <c r="E21" s="32"/>
      <c r="G21" s="330">
        <v>0.05</v>
      </c>
    </row>
    <row r="22" spans="1:7" ht="16.2" thickBot="1">
      <c r="A22" s="34" t="s">
        <v>131</v>
      </c>
      <c r="B22" s="35">
        <v>1</v>
      </c>
      <c r="C22" s="36">
        <v>1</v>
      </c>
      <c r="D22" s="37"/>
      <c r="E22" s="38"/>
      <c r="G22" s="251">
        <v>30</v>
      </c>
    </row>
    <row r="23" spans="1:7" ht="22.8" thickTop="1" thickBot="1">
      <c r="A23" s="498"/>
      <c r="B23" s="498"/>
      <c r="C23" s="498"/>
      <c r="D23" s="499" t="s">
        <v>302</v>
      </c>
      <c r="E23" s="500"/>
      <c r="F23" s="357"/>
      <c r="G23" s="357">
        <v>2000</v>
      </c>
    </row>
    <row r="24" spans="1:7" ht="16.8" thickTop="1" thickBot="1">
      <c r="A24" s="23" t="s">
        <v>61</v>
      </c>
      <c r="B24" s="23" t="s">
        <v>2</v>
      </c>
      <c r="C24" s="24" t="s">
        <v>18</v>
      </c>
      <c r="D24" s="25" t="s">
        <v>62</v>
      </c>
      <c r="E24" s="26" t="s">
        <v>63</v>
      </c>
      <c r="F24" s="357"/>
      <c r="G24" s="249" t="s">
        <v>97</v>
      </c>
    </row>
    <row r="25" spans="1:7">
      <c r="A25" s="501"/>
      <c r="B25" s="502"/>
      <c r="C25" s="503"/>
      <c r="D25" s="504"/>
      <c r="E25" s="505"/>
      <c r="F25" s="357"/>
      <c r="G25" s="506"/>
    </row>
    <row r="26" spans="1:7">
      <c r="A26" s="507"/>
      <c r="B26" s="508"/>
      <c r="C26" s="495"/>
      <c r="D26" s="509"/>
      <c r="E26" s="510"/>
      <c r="F26"/>
      <c r="G26" s="497"/>
    </row>
    <row r="27" spans="1:7">
      <c r="A27" s="507"/>
      <c r="B27" s="508"/>
      <c r="C27" s="495"/>
      <c r="D27" s="509"/>
      <c r="E27" s="510"/>
      <c r="F27"/>
      <c r="G27" s="497"/>
    </row>
    <row r="28" spans="1:7">
      <c r="A28" s="507"/>
      <c r="B28" s="508"/>
      <c r="C28" s="495"/>
      <c r="D28" s="509"/>
      <c r="E28" s="510"/>
      <c r="F28"/>
      <c r="G28" s="497"/>
    </row>
    <row r="29" spans="1:7">
      <c r="A29" s="507"/>
      <c r="B29" s="508"/>
      <c r="C29" s="495"/>
      <c r="D29" s="509"/>
      <c r="E29" s="510"/>
      <c r="F29"/>
      <c r="G29" s="497"/>
    </row>
    <row r="30" spans="1:7">
      <c r="A30" s="507"/>
      <c r="B30" s="508"/>
      <c r="C30" s="495"/>
      <c r="D30" s="509"/>
      <c r="E30" s="510"/>
      <c r="F30"/>
      <c r="G30" s="497"/>
    </row>
    <row r="31" spans="1:7">
      <c r="A31" s="507"/>
      <c r="B31" s="508"/>
      <c r="C31" s="495"/>
      <c r="D31" s="509"/>
      <c r="E31" s="510"/>
      <c r="F31"/>
      <c r="G31" s="497"/>
    </row>
    <row r="32" spans="1:7">
      <c r="A32" s="507"/>
      <c r="B32" s="508"/>
      <c r="C32" s="495"/>
      <c r="D32" s="509"/>
      <c r="E32" s="510"/>
      <c r="F32"/>
      <c r="G32" s="497"/>
    </row>
    <row r="33" spans="1:7">
      <c r="A33" s="507"/>
      <c r="B33" s="508"/>
      <c r="C33" s="495"/>
      <c r="D33" s="509"/>
      <c r="E33" s="510"/>
      <c r="F33"/>
      <c r="G33" s="497"/>
    </row>
    <row r="34" spans="1:7">
      <c r="A34" s="507"/>
      <c r="B34" s="508"/>
      <c r="C34" s="495"/>
      <c r="D34" s="509"/>
      <c r="E34" s="510"/>
      <c r="F34"/>
      <c r="G34" s="497"/>
    </row>
    <row r="35" spans="1:7">
      <c r="A35" s="507"/>
      <c r="B35" s="508"/>
      <c r="C35" s="495"/>
      <c r="D35" s="509"/>
      <c r="E35" s="510"/>
      <c r="F35"/>
      <c r="G35" s="497"/>
    </row>
    <row r="36" spans="1:7">
      <c r="A36" s="507"/>
      <c r="B36" s="508"/>
      <c r="C36" s="495"/>
      <c r="D36" s="509"/>
      <c r="E36" s="510"/>
      <c r="F36"/>
      <c r="G36" s="497"/>
    </row>
    <row r="37" spans="1:7">
      <c r="A37" s="507"/>
      <c r="B37" s="508"/>
      <c r="C37" s="495"/>
      <c r="D37" s="509"/>
      <c r="E37" s="510"/>
      <c r="F37"/>
      <c r="G37" s="497"/>
    </row>
    <row r="38" spans="1:7" ht="16.2" thickBot="1">
      <c r="A38" s="511"/>
      <c r="B38" s="512"/>
      <c r="C38" s="513"/>
      <c r="D38" s="514"/>
      <c r="E38" s="515"/>
      <c r="F38" s="357"/>
      <c r="G38" s="516"/>
    </row>
    <row r="39" spans="1:7" ht="16.8" thickTop="1" thickBot="1">
      <c r="A39" s="519" t="s">
        <v>303</v>
      </c>
      <c r="B39" s="520">
        <f>C39/250</f>
        <v>0</v>
      </c>
      <c r="C39" s="24">
        <f>SUM(C25:C38)</f>
        <v>0</v>
      </c>
    </row>
    <row r="40" spans="1:7">
      <c r="E40" s="145" t="s">
        <v>308</v>
      </c>
      <c r="F40" s="201"/>
      <c r="G40" s="518">
        <f>SUM(G3:G38,Martial!M3:M24)</f>
        <v>5092.6499999999996</v>
      </c>
    </row>
    <row r="41" spans="1:7">
      <c r="E41" s="298" t="s">
        <v>307</v>
      </c>
      <c r="F41" s="357"/>
      <c r="G41" s="518">
        <v>5400</v>
      </c>
    </row>
  </sheetData>
  <sortState xmlns:xlrd2="http://schemas.microsoft.com/office/spreadsheetml/2017/richdata2" ref="A53:D65">
    <sortCondition ref="A53:A65"/>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cols>
    <col min="1" max="1" width="62.796875" style="159" bestFit="1" customWidth="1"/>
    <col min="2" max="2" width="9.5" style="365" customWidth="1"/>
    <col min="3" max="3" width="6.3984375" style="159" customWidth="1"/>
    <col min="4" max="16384" width="9" style="159"/>
  </cols>
  <sheetData>
    <row r="1" spans="1:3">
      <c r="A1" s="298" t="s">
        <v>180</v>
      </c>
      <c r="B1" s="354" t="str">
        <f>'Personal File'!A1</f>
        <v>Saradette</v>
      </c>
      <c r="C1" s="355" t="s">
        <v>181</v>
      </c>
    </row>
    <row r="2" spans="1:3">
      <c r="A2" s="356" t="s">
        <v>190</v>
      </c>
      <c r="B2" s="357" t="s">
        <v>182</v>
      </c>
      <c r="C2" s="358">
        <v>0.2</v>
      </c>
    </row>
    <row r="3" spans="1:3">
      <c r="A3" s="356" t="s">
        <v>191</v>
      </c>
      <c r="B3" s="357" t="s">
        <v>192</v>
      </c>
      <c r="C3" s="358">
        <v>0.12</v>
      </c>
    </row>
    <row r="4" spans="1:3">
      <c r="A4" s="356" t="s">
        <v>193</v>
      </c>
      <c r="B4" s="357" t="s">
        <v>182</v>
      </c>
      <c r="C4" s="358">
        <v>0.2</v>
      </c>
    </row>
    <row r="5" spans="1:3">
      <c r="A5" s="356" t="s">
        <v>194</v>
      </c>
      <c r="B5" s="357" t="s">
        <v>196</v>
      </c>
      <c r="C5" s="358">
        <v>0.16</v>
      </c>
    </row>
    <row r="6" spans="1:3">
      <c r="A6" s="356" t="s">
        <v>195</v>
      </c>
      <c r="B6" s="357" t="s">
        <v>182</v>
      </c>
      <c r="C6" s="358">
        <v>0.2</v>
      </c>
    </row>
    <row r="7" spans="1:3">
      <c r="A7" s="298" t="s">
        <v>54</v>
      </c>
      <c r="B7" s="354"/>
      <c r="C7" s="355">
        <f>SUM(C2:C6)</f>
        <v>0.88000000000000012</v>
      </c>
    </row>
    <row r="8" spans="1:3">
      <c r="A8" s="298"/>
      <c r="B8" s="354"/>
      <c r="C8" s="355"/>
    </row>
    <row r="9" spans="1:3">
      <c r="A9" s="298" t="s">
        <v>183</v>
      </c>
      <c r="B9" s="359">
        <v>0</v>
      </c>
      <c r="C9" s="360"/>
    </row>
    <row r="10" spans="1:3">
      <c r="A10" s="298" t="s">
        <v>184</v>
      </c>
      <c r="B10" s="359">
        <v>0</v>
      </c>
      <c r="C10" s="360"/>
    </row>
    <row r="11" spans="1:3">
      <c r="A11" s="298" t="s">
        <v>185</v>
      </c>
      <c r="B11" s="359">
        <f>IF(B9=0,B10*C7,(B10*C7*(1-(B9/4))))</f>
        <v>0</v>
      </c>
      <c r="C11" s="360"/>
    </row>
    <row r="12" spans="1:3">
      <c r="A12" s="298" t="s">
        <v>186</v>
      </c>
      <c r="B12" s="361">
        <v>0</v>
      </c>
      <c r="C12" s="362"/>
    </row>
    <row r="13" spans="1:3">
      <c r="A13" s="298" t="s">
        <v>54</v>
      </c>
      <c r="B13" s="363">
        <f>SUM(B11:B12)</f>
        <v>0</v>
      </c>
      <c r="C13" s="360"/>
    </row>
    <row r="14" spans="1:3">
      <c r="A14" s="298" t="s">
        <v>187</v>
      </c>
      <c r="B14" s="359">
        <v>0</v>
      </c>
      <c r="C14" s="360"/>
    </row>
    <row r="15" spans="1:3">
      <c r="A15" s="298" t="s">
        <v>188</v>
      </c>
      <c r="B15" s="363">
        <f>SUM(B13:B14)</f>
        <v>0</v>
      </c>
      <c r="C15" s="360"/>
    </row>
    <row r="17" spans="1:1">
      <c r="A17" s="364"/>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Spellbook</vt:lpstr>
      <vt:lpstr>Spells</vt:lpstr>
      <vt:lpstr>Feats</vt:lpstr>
      <vt:lpstr>Martial</vt:lpstr>
      <vt:lpstr>Equipment</vt:lpstr>
      <vt:lpstr>XP Awards</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2020-03-08T19:49:49Z</dcterms:modified>
</cp:coreProperties>
</file>