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A\Jue\FoL\PCs\"/>
    </mc:Choice>
  </mc:AlternateContent>
  <xr:revisionPtr revIDLastSave="0" documentId="13_ncr:1_{49BF07A0-DF64-469B-984E-BBD9FEF2821A}"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2" r:id="rId3"/>
    <sheet name="Spells" sheetId="23" r:id="rId4"/>
    <sheet name="Feats" sheetId="20" r:id="rId5"/>
    <sheet name="Martial" sheetId="6" r:id="rId6"/>
    <sheet name="Equipment" sheetId="19" r:id="rId7"/>
    <sheet name="XP Awards" sheetId="21"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File'!$A$1:$H$24</definedName>
    <definedName name="_xlnm.Print_Area" localSheetId="1">Skills!$A$1:$K$32</definedName>
    <definedName name="_xlnm.Print_Area" localSheetId="2">Spellbook!$A$1:$I$8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9" i="15" l="1"/>
  <c r="D29" i="15"/>
  <c r="E29" i="15" s="1"/>
  <c r="H13" i="15"/>
  <c r="D13" i="15"/>
  <c r="E13" i="15" s="1"/>
  <c r="B47" i="15"/>
  <c r="B3" i="15"/>
  <c r="B4" i="15"/>
  <c r="B5" i="15"/>
  <c r="G29" i="15" l="1"/>
  <c r="I29" i="15" s="1"/>
  <c r="G13" i="15"/>
  <c r="I13" i="15" s="1"/>
  <c r="E11" i="4"/>
  <c r="I10" i="6" l="1"/>
  <c r="H10" i="6"/>
  <c r="J10" i="6" l="1"/>
  <c r="E52" i="15"/>
  <c r="B10" i="4" l="1"/>
  <c r="C40" i="19" l="1"/>
  <c r="B40" i="19" s="1"/>
  <c r="C3" i="20" l="1"/>
  <c r="H14" i="15" l="1"/>
  <c r="H12" i="15"/>
  <c r="I9" i="6" l="1"/>
  <c r="H27" i="15" l="1"/>
  <c r="E14" i="4" l="1"/>
  <c r="D15" i="6" l="1"/>
  <c r="E15" i="6"/>
  <c r="C15" i="6"/>
  <c r="H5" i="23" l="1"/>
  <c r="I5" i="23"/>
  <c r="J7" i="23"/>
  <c r="H28" i="15" l="1"/>
  <c r="H36" i="15" l="1"/>
  <c r="H42" i="15"/>
  <c r="H41" i="15"/>
  <c r="C7" i="21" l="1"/>
  <c r="B11" i="21" s="1"/>
  <c r="B13" i="21" s="1"/>
  <c r="B15" i="21" s="1"/>
  <c r="B1" i="21" l="1"/>
  <c r="C3" i="6" l="1"/>
  <c r="C4" i="6"/>
  <c r="C5" i="6"/>
  <c r="C6" i="6"/>
  <c r="G21" i="19" l="1"/>
  <c r="G20" i="19"/>
  <c r="G19" i="19" l="1"/>
  <c r="G20" i="6"/>
  <c r="C20" i="19" l="1"/>
  <c r="C21" i="19"/>
  <c r="C19" i="19"/>
  <c r="E13" i="4" s="1"/>
  <c r="G14" i="19"/>
  <c r="C14" i="19"/>
  <c r="C13" i="19"/>
  <c r="G13" i="19"/>
  <c r="M20" i="6"/>
  <c r="E15" i="4" l="1"/>
  <c r="H32" i="15" l="1"/>
  <c r="H35" i="15"/>
  <c r="H45" i="15"/>
  <c r="H44" i="15"/>
  <c r="H43" i="15"/>
  <c r="H40" i="15"/>
  <c r="H39" i="15"/>
  <c r="H38" i="15"/>
  <c r="H37" i="15"/>
  <c r="H34" i="15"/>
  <c r="H33" i="15"/>
  <c r="H31" i="15"/>
  <c r="H30" i="15"/>
  <c r="H26" i="15"/>
  <c r="H25" i="15"/>
  <c r="H24" i="15"/>
  <c r="H23" i="15"/>
  <c r="H22" i="15"/>
  <c r="H21" i="15"/>
  <c r="H20" i="15"/>
  <c r="H19" i="15"/>
  <c r="H18" i="15"/>
  <c r="H17" i="15"/>
  <c r="H16" i="15"/>
  <c r="H15" i="15"/>
  <c r="H11" i="15"/>
  <c r="H10" i="15"/>
  <c r="H9" i="15"/>
  <c r="H8" i="15"/>
  <c r="H7" i="15"/>
  <c r="G17" i="19"/>
  <c r="G41" i="19" s="1"/>
  <c r="I5" i="6" l="1"/>
  <c r="H5" i="6"/>
  <c r="I4" i="6"/>
  <c r="H4" i="6"/>
  <c r="J5" i="6" l="1"/>
  <c r="J4" i="6"/>
  <c r="B12" i="4" l="1"/>
  <c r="I3" i="6" l="1"/>
  <c r="I11" i="6" l="1"/>
  <c r="I12" i="6"/>
  <c r="J11" i="6" l="1"/>
  <c r="I6" i="6" l="1"/>
  <c r="H6" i="15" l="1"/>
  <c r="J12" i="6" l="1"/>
  <c r="H4" i="15" l="1"/>
  <c r="H3" i="15"/>
  <c r="H5" i="15" l="1"/>
  <c r="C12" i="4" l="1"/>
  <c r="H3" i="6" l="1"/>
  <c r="J3" i="6" s="1"/>
  <c r="H6" i="6"/>
  <c r="J6" i="6" s="1"/>
  <c r="D9" i="15"/>
  <c r="E9" i="15" l="1"/>
  <c r="G9" i="15"/>
  <c r="I9" i="15" s="1"/>
  <c r="C14" i="4"/>
  <c r="D3" i="15" l="1"/>
  <c r="D10" i="15"/>
  <c r="C13" i="4"/>
  <c r="C15" i="4"/>
  <c r="C16" i="4"/>
  <c r="D5" i="15" s="1"/>
  <c r="C17" i="4"/>
  <c r="D12" i="15" l="1"/>
  <c r="D14" i="15"/>
  <c r="E51" i="15"/>
  <c r="D7" i="23"/>
  <c r="D6" i="23"/>
  <c r="D5" i="23"/>
  <c r="D3" i="23"/>
  <c r="D4" i="23"/>
  <c r="N6" i="23"/>
  <c r="D11" i="23"/>
  <c r="P6" i="23"/>
  <c r="Q6" i="23"/>
  <c r="J6" i="23"/>
  <c r="D13" i="23"/>
  <c r="O6" i="23"/>
  <c r="K6" i="23"/>
  <c r="M6" i="23"/>
  <c r="D12" i="23"/>
  <c r="H6" i="23"/>
  <c r="D14" i="23"/>
  <c r="I6" i="23"/>
  <c r="L6" i="23"/>
  <c r="D28" i="15"/>
  <c r="E50" i="15"/>
  <c r="E49" i="15"/>
  <c r="E48" i="15"/>
  <c r="E17" i="4"/>
  <c r="E16" i="4" s="1"/>
  <c r="D8" i="15"/>
  <c r="D18" i="15"/>
  <c r="D16" i="15"/>
  <c r="G3" i="15"/>
  <c r="I3" i="15" s="1"/>
  <c r="E3" i="15"/>
  <c r="E10" i="15"/>
  <c r="G10" i="15"/>
  <c r="I10" i="15" s="1"/>
  <c r="D4" i="15"/>
  <c r="H9" i="6"/>
  <c r="J9" i="6" s="1"/>
  <c r="D7" i="15"/>
  <c r="E5" i="15"/>
  <c r="G5" i="15"/>
  <c r="I5" i="15" s="1"/>
  <c r="D17" i="15"/>
  <c r="D6" i="15"/>
  <c r="D11" i="15"/>
  <c r="D15" i="15"/>
  <c r="B11" i="4"/>
  <c r="H46" i="15"/>
  <c r="E28" i="15" l="1"/>
  <c r="G28" i="15"/>
  <c r="I28" i="15" s="1"/>
  <c r="E47" i="15"/>
  <c r="E14" i="15"/>
  <c r="G14" i="15"/>
  <c r="I14" i="15" s="1"/>
  <c r="G12" i="15"/>
  <c r="I12" i="15" s="1"/>
  <c r="E12" i="15"/>
  <c r="E16" i="15"/>
  <c r="G16" i="15"/>
  <c r="I16" i="15" s="1"/>
  <c r="G18" i="15"/>
  <c r="I18" i="15" s="1"/>
  <c r="E18" i="15"/>
  <c r="E8" i="15"/>
  <c r="G8" i="15"/>
  <c r="I8" i="15" s="1"/>
  <c r="E4" i="15"/>
  <c r="G4" i="15"/>
  <c r="I4" i="15" s="1"/>
  <c r="E7" i="15"/>
  <c r="G7" i="15"/>
  <c r="I7" i="15" s="1"/>
  <c r="E15" i="15"/>
  <c r="G15" i="15"/>
  <c r="I15" i="15" s="1"/>
  <c r="E6" i="15"/>
  <c r="G6" i="15"/>
  <c r="I6" i="15" s="1"/>
  <c r="G11" i="15"/>
  <c r="I11" i="15" s="1"/>
  <c r="E11" i="15"/>
  <c r="E17" i="15"/>
  <c r="G17" i="15"/>
  <c r="I17" i="15" s="1"/>
  <c r="D34" i="15" l="1"/>
  <c r="E34" i="15" l="1"/>
  <c r="G34" i="15"/>
  <c r="D40" i="15"/>
  <c r="D22" i="15"/>
  <c r="D27" i="15"/>
  <c r="D42" i="15"/>
  <c r="D39" i="15"/>
  <c r="D44" i="15"/>
  <c r="D41" i="15"/>
  <c r="D43" i="15"/>
  <c r="D36" i="15"/>
  <c r="D45" i="15"/>
  <c r="D32" i="15"/>
  <c r="D38" i="15"/>
  <c r="D46" i="15"/>
  <c r="D37" i="15"/>
  <c r="D35" i="15"/>
  <c r="G35" i="15" s="1"/>
  <c r="I35" i="15" s="1"/>
  <c r="D33" i="15"/>
  <c r="D31" i="15"/>
  <c r="D30" i="15"/>
  <c r="D26" i="15"/>
  <c r="D25" i="15"/>
  <c r="D24" i="15"/>
  <c r="D23" i="15"/>
  <c r="D21" i="15"/>
  <c r="D20" i="15"/>
  <c r="D19" i="15"/>
  <c r="I34" i="15" l="1"/>
  <c r="E19" i="15"/>
  <c r="G19" i="15"/>
  <c r="E21" i="15"/>
  <c r="G21" i="15"/>
  <c r="E24" i="15"/>
  <c r="G24" i="15"/>
  <c r="E26" i="15"/>
  <c r="G26" i="15"/>
  <c r="E31" i="15"/>
  <c r="G31" i="15"/>
  <c r="E35" i="15"/>
  <c r="E46" i="15"/>
  <c r="G46" i="15"/>
  <c r="E32" i="15"/>
  <c r="G32" i="15"/>
  <c r="E36" i="15"/>
  <c r="G36" i="15"/>
  <c r="E41" i="15"/>
  <c r="G41" i="15"/>
  <c r="E42" i="15"/>
  <c r="G42" i="15"/>
  <c r="E22" i="15"/>
  <c r="G22" i="15"/>
  <c r="E20" i="15"/>
  <c r="G20" i="15"/>
  <c r="E23" i="15"/>
  <c r="G23" i="15"/>
  <c r="E25" i="15"/>
  <c r="G25" i="15"/>
  <c r="E30" i="15"/>
  <c r="G30" i="15"/>
  <c r="E33" i="15"/>
  <c r="G33" i="15"/>
  <c r="E37" i="15"/>
  <c r="G37" i="15"/>
  <c r="E38" i="15"/>
  <c r="G38" i="15"/>
  <c r="E45" i="15"/>
  <c r="G45" i="15"/>
  <c r="E43" i="15"/>
  <c r="G43" i="15"/>
  <c r="E44" i="15"/>
  <c r="G44" i="15"/>
  <c r="E39" i="15"/>
  <c r="E27" i="15"/>
  <c r="G27" i="15"/>
  <c r="E40" i="15"/>
  <c r="G40" i="15"/>
  <c r="I40" i="15" l="1"/>
  <c r="I27" i="15"/>
  <c r="I39" i="15"/>
  <c r="I44" i="15"/>
  <c r="I43" i="15"/>
  <c r="I45" i="15"/>
  <c r="I38" i="15"/>
  <c r="I37" i="15"/>
  <c r="I33" i="15"/>
  <c r="I30" i="15"/>
  <c r="I25" i="15"/>
  <c r="I23" i="15"/>
  <c r="I20" i="15"/>
  <c r="I22" i="15"/>
  <c r="I42" i="15"/>
  <c r="I41" i="15"/>
  <c r="I36" i="15"/>
  <c r="I32" i="15"/>
  <c r="I46" i="15"/>
  <c r="I31" i="15"/>
  <c r="I26" i="15"/>
  <c r="I24" i="15"/>
  <c r="I21" i="15"/>
  <c r="I1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11A0EBC2-613B-4887-B643-E214E982A3B7}">
      <text>
        <r>
          <rPr>
            <b/>
            <sz val="12"/>
            <color indexed="81"/>
            <rFont val="Times New Roman"/>
            <family val="1"/>
          </rPr>
          <t>Prohibited Schools</t>
        </r>
        <r>
          <rPr>
            <sz val="12"/>
            <color indexed="81"/>
            <rFont val="Times New Roman"/>
            <family val="1"/>
          </rPr>
          <t xml:space="preserve">
Necromancy &amp; Transmutation</t>
        </r>
      </text>
    </comment>
    <comment ref="C10" authorId="0" shapeId="0" xr:uid="{1C1111AF-ED32-40F9-8655-1A0248A328A7}">
      <text>
        <r>
          <rPr>
            <i/>
            <sz val="12"/>
            <color indexed="81"/>
            <rFont val="Times New Roman"/>
            <family val="1"/>
          </rPr>
          <t>aid +1</t>
        </r>
      </text>
    </comment>
    <comment ref="E11" authorId="0" shapeId="0" xr:uid="{F7571848-E632-4399-8CF5-F9963D5239BB}">
      <text>
        <r>
          <rPr>
            <sz val="12"/>
            <color indexed="81"/>
            <rFont val="Times New Roman"/>
            <family val="1"/>
          </rPr>
          <t>Next level at 15,000 XPs</t>
        </r>
      </text>
    </comment>
    <comment ref="E12" authorId="0" shapeId="0" xr:uid="{9F90969E-A873-48D2-ADE1-84BF5E2AFE6E}">
      <text>
        <r>
          <rPr>
            <sz val="12"/>
            <color indexed="81"/>
            <rFont val="Times New Roman"/>
            <family val="1"/>
          </rPr>
          <t>See PHB 162</t>
        </r>
      </text>
    </comment>
    <comment ref="E14" authorId="0" shapeId="0" xr:uid="{00000000-0006-0000-0000-00000A000000}">
      <text>
        <r>
          <rPr>
            <sz val="12"/>
            <color indexed="81"/>
            <rFont val="Times New Roman"/>
            <family val="1"/>
          </rPr>
          <t xml:space="preserve">   [(4 * 6 Rogue) * 75%]
   [(1 * 4 Illusionist) * 75%]
   [(0 * 6 Artificer) * 75%]
+ (5 * 1 Con)</t>
        </r>
      </text>
    </comment>
    <comment ref="E15" authorId="0" shapeId="0" xr:uid="{00000000-0006-0000-0000-00000B000000}">
      <text>
        <r>
          <rPr>
            <sz val="12"/>
            <color indexed="81"/>
            <rFont val="Times New Roman"/>
            <family val="1"/>
          </rPr>
          <t>+1 Small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4" authorId="0" shapeId="0" xr:uid="{00000000-0006-0000-0100-000004000000}">
      <text>
        <r>
          <rPr>
            <sz val="12"/>
            <color indexed="81"/>
            <rFont val="Times New Roman"/>
            <family val="1"/>
          </rPr>
          <t>Small +4</t>
        </r>
      </text>
    </comment>
    <comment ref="F30" authorId="0" shapeId="0" xr:uid="{00000000-0006-0000-0100-000005000000}">
      <text>
        <r>
          <rPr>
            <sz val="12"/>
            <color indexed="81"/>
            <rFont val="Times New Roman"/>
            <family val="1"/>
          </rPr>
          <t>Gnome +2</t>
        </r>
      </text>
    </comment>
    <comment ref="F31" authorId="0" shapeId="0" xr:uid="{00000000-0006-0000-0100-000006000000}">
      <text>
        <r>
          <rPr>
            <sz val="12"/>
            <color indexed="81"/>
            <rFont val="Times New Roman"/>
            <family val="1"/>
          </rPr>
          <t>Gnome (Small) +4</t>
        </r>
      </text>
    </comment>
    <comment ref="F41" authorId="0" shapeId="0" xr:uid="{00000000-0006-0000-0100-000008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39EF3187-CFDF-4836-9710-2EEB3E1D4867}">
      <text>
        <r>
          <rPr>
            <sz val="12"/>
            <color indexed="81"/>
            <rFont val="Times New Roman"/>
            <family val="1"/>
          </rPr>
          <t>Miniature cloak</t>
        </r>
      </text>
    </comment>
    <comment ref="D8" authorId="0" shapeId="0" xr:uid="{28ADAE1F-5865-477F-9421-C04DBAC5FFFA}">
      <text>
        <r>
          <rPr>
            <sz val="12"/>
            <color indexed="81"/>
            <rFont val="Times New Roman"/>
            <family val="1"/>
          </rPr>
          <t>Wool or fur</t>
        </r>
      </text>
    </comment>
    <comment ref="D11" authorId="0" shapeId="0" xr:uid="{AE2410AC-1086-4AD5-80B1-35A36D812877}">
      <text>
        <r>
          <rPr>
            <sz val="12"/>
            <color indexed="81"/>
            <rFont val="Times New Roman"/>
            <family val="1"/>
          </rPr>
          <t>Phosphorescent moss</t>
        </r>
      </text>
    </comment>
    <comment ref="D14" authorId="0" shapeId="0" xr:uid="{07C3B68E-76ED-4B37-A7E1-DAE881635D53}">
      <text>
        <r>
          <rPr>
            <sz val="12"/>
            <color indexed="81"/>
            <rFont val="Times New Roman"/>
            <family val="1"/>
          </rPr>
          <t>Wool or wax</t>
        </r>
      </text>
    </comment>
    <comment ref="D20" authorId="0" shapeId="0" xr:uid="{47DAA3D4-1DB3-4B6A-B9C3-0C9E6BBCD0FB}">
      <text>
        <r>
          <rPr>
            <sz val="12"/>
            <color indexed="81"/>
            <rFont val="Times New Roman"/>
            <family val="1"/>
          </rPr>
          <t>Prism, lens, or monocle</t>
        </r>
      </text>
    </comment>
    <comment ref="D21" authorId="0" shapeId="0" xr:uid="{0A0D8C7D-2B74-4BD4-A3FB-88DDAB2DDC73}">
      <text>
        <r>
          <rPr>
            <sz val="12"/>
            <color indexed="81"/>
            <rFont val="Times New Roman"/>
            <family val="1"/>
          </rPr>
          <t>Tiny bell and a piece of fine silver wire</t>
        </r>
      </text>
    </comment>
    <comment ref="D22" authorId="0" shapeId="0" xr:uid="{C0738328-B02A-430E-8040-9F4B23601A5E}">
      <text>
        <r>
          <rPr>
            <sz val="12"/>
            <color indexed="81"/>
            <rFont val="Times New Roman"/>
            <family val="1"/>
          </rPr>
          <t>Cured leather</t>
        </r>
      </text>
    </comment>
    <comment ref="D23" authorId="0" shapeId="0" xr:uid="{BA56E4EF-C195-4856-874B-B96295CA43F9}">
      <text>
        <r>
          <rPr>
            <sz val="12"/>
            <color indexed="81"/>
            <rFont val="Times New Roman"/>
            <family val="1"/>
          </rPr>
          <t>Drop of mercury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ED1960EA-635E-416B-97E3-DB6631400E5F}">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3" authorId="0" shapeId="0" xr:uid="{56651AA1-35DB-46D8-9D03-2853C82840EA}">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4" authorId="0" shapeId="0" xr:uid="{F57B3594-1395-4ADD-80E2-72D004BDCB39}">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C5" authorId="0" shapeId="0" xr:uid="{BE37330F-357E-4B5D-AB1A-BFB05AECB7F4}">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6" authorId="0" shapeId="0" xr:uid="{B349AFCA-6596-412B-897D-433042ED9333}">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5FC6298E-2D01-40FA-BAED-1270D7884C5C}">
      <text>
        <r>
          <rPr>
            <sz val="12"/>
            <color indexed="81"/>
            <rFont val="Times New Roman"/>
            <family val="1"/>
          </rPr>
          <t>Hand crossbow, rapier, sap, shortbow, and short sword.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4" authorId="0" shapeId="0" xr:uid="{00000000-0006-0000-06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F6E11B4-2265-4F52-A9F3-FFA5BC8B0905}">
      <text>
        <r>
          <rPr>
            <sz val="12"/>
            <color indexed="81"/>
            <rFont val="Times New Roman"/>
            <family val="1"/>
          </rPr>
          <t>#1 – Ordinary travel clothes (the short-sleeved gambeson is part of her armor) with a light cloak, as shown on her portrait pic. (The cloak isn’t visible in the pics, because I have trouble rendering them.)
#2 – Casual outfit shown in her second pic. Also includes a lightweight burgundy thigh-length embroidered cloak that she pulls to the back when it’s not in use.
#3 – Light tan, light brown, and medium tan ghillie suit – manifests strips of cloth everywhere not covered by the chain shirt. The cloak extends to cover her head, torso and thighs, front and back.
#4 – Medium green, dark green, and brown ghillie suit – same coverage.
#5 – White and gray ghillie suit –same coverage, but the base cloth extrudes an extra layer for insulation from the cold.
She does own a coat and a heavy woolen cloak that can fit over her Shiftweave for winter travel, but they’re ordinary clothes.</t>
        </r>
      </text>
    </comment>
    <comment ref="A4" authorId="0" shapeId="0" xr:uid="{14BB4F4D-0A96-4855-93E1-13C5EC5FC2E8}">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24" authorId="0" shapeId="0" xr:uid="{5FED62F0-D645-4BCB-8842-7F0663DA3E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<sst xmlns="http://schemas.openxmlformats.org/spreadsheetml/2006/main" count="603" uniqueCount="320">
  <si>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</si>
  <si>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</si>
  <si>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</si>
  <si>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</si>
  <si>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</si>
  <si>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</si>
  <si>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</si>
  <si>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</si>
  <si>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</si>
  <si>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</si>
  <si>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</si>
  <si>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</si>
  <si>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</si>
  <si>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</si>
  <si>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</si>
  <si>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</si>
  <si>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</si>
  <si>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</si>
  <si>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</si>
  <si>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</si>
  <si>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</si>
  <si>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</si>
  <si>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</si>
  <si>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</si>
  <si>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</si>
  <si>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</si>
  <si>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</si>
  <si>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</si>
  <si>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</si>
  <si>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</si>
  <si>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</si>
  <si>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</si>
  <si>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</si>
  <si>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</si>
  <si>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</si>
  <si>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</si>
  <si>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</si>
  <si>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</si>
  <si>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</si>
  <si>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</si>
  <si>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</si>
  <si>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</si>
  <si>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</si>
  <si>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</si>
  <si>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</si>
  <si>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</si>
  <si>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</si>
  <si>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</si>
  <si>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</si>
  <si>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</si>
  <si>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</si>
  <si>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</si>
  <si>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</si>
  <si>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</si>
  <si>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</si>
  <si>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</si>
  <si>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</si>
  <si>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</si>
  <si>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</si>
  <si>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</si>
  <si>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</si>
  <si>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</si>
  <si>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</si>
  <si>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</si>
  <si>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</si>
  <si>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</si>
  <si>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</si>
  <si>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</si>
  <si>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Knowledge:  Arcana</t>
  </si>
  <si>
    <t>Sleight of Hand</t>
  </si>
  <si>
    <t>Survival</t>
  </si>
  <si>
    <t>Weapon Proficiencies</t>
  </si>
  <si>
    <t>Atk</t>
  </si>
  <si>
    <t>Feats</t>
  </si>
  <si>
    <t>2</t>
  </si>
  <si>
    <t>Roll</t>
  </si>
  <si>
    <t>Spell</t>
  </si>
  <si>
    <t>-</t>
  </si>
  <si>
    <t>Gnome</t>
  </si>
  <si>
    <t>Level</t>
  </si>
  <si>
    <t>DC</t>
  </si>
  <si>
    <t>Cast?</t>
  </si>
  <si>
    <t>Skill/Save</t>
  </si>
  <si>
    <t>Ghost Sound</t>
  </si>
  <si>
    <t>Racial Abilities</t>
  </si>
  <si>
    <t>+1 vs. kobolds &amp; goblinoids</t>
  </si>
  <si>
    <t>+4 dodge vs. Giant type</t>
  </si>
  <si>
    <t>Bludgeon</t>
  </si>
  <si>
    <t>1d3</t>
  </si>
  <si>
    <t>Gold Pieces</t>
  </si>
  <si>
    <t>CLev</t>
  </si>
  <si>
    <t>Low-light Vision</t>
  </si>
  <si>
    <t>Backpack</t>
  </si>
  <si>
    <t>4</t>
  </si>
  <si>
    <t>Wands, Scrolls and Potions</t>
  </si>
  <si>
    <t>Grapple, Unarmed Strike</t>
  </si>
  <si>
    <t>x2</t>
  </si>
  <si>
    <t>Value</t>
  </si>
  <si>
    <t>Fortitude</t>
  </si>
  <si>
    <t>Reflex</t>
  </si>
  <si>
    <t>Gnome Hammer treated as martial</t>
  </si>
  <si>
    <t>Simple Weapons, Light Armor</t>
  </si>
  <si>
    <t>Perform:  [type]</t>
  </si>
  <si>
    <t>q</t>
  </si>
  <si>
    <t>Ranged Touch Spell</t>
  </si>
  <si>
    <t>Played by JR Roberts</t>
  </si>
  <si>
    <t>Saradette</t>
  </si>
  <si>
    <t>Female</t>
  </si>
  <si>
    <t>3’ 9”</t>
  </si>
  <si>
    <t>44 lbs.</t>
  </si>
  <si>
    <t>Mayaheine</t>
  </si>
  <si>
    <t>Chaotic Good</t>
  </si>
  <si>
    <t>The Dalelands</t>
  </si>
  <si>
    <t>Personality, History, and Notes</t>
  </si>
  <si>
    <t>30’</t>
  </si>
  <si>
    <t>Rogue</t>
  </si>
  <si>
    <t>Rogue 1</t>
  </si>
  <si>
    <t>Rogue Features</t>
  </si>
  <si>
    <t>Trapfinding</t>
  </si>
  <si>
    <t>Goblinoid</t>
  </si>
  <si>
    <t>Gnomish, Common, Elvish</t>
  </si>
  <si>
    <t>1st:  Run</t>
  </si>
  <si>
    <t>Rogue Weapons</t>
  </si>
  <si>
    <t>Shortbow</t>
  </si>
  <si>
    <t>Short Sword</t>
  </si>
  <si>
    <t>1d4</t>
  </si>
  <si>
    <t>Dagger 1</t>
  </si>
  <si>
    <t>Dagger 2</t>
  </si>
  <si>
    <t>19-20/x2</t>
  </si>
  <si>
    <t>Slsh/Prc</t>
  </si>
  <si>
    <t>Arrows</t>
  </si>
  <si>
    <t>Thieves’ Tools</t>
  </si>
  <si>
    <t>Bedroll</t>
  </si>
  <si>
    <t>Possibles Bag</t>
  </si>
  <si>
    <t>Flint and Steel</t>
  </si>
  <si>
    <t>Waterskin</t>
  </si>
  <si>
    <t>Trail Rations</t>
  </si>
  <si>
    <t>Sapphires</t>
  </si>
  <si>
    <t>Silver Pieces</t>
  </si>
  <si>
    <t>Copper Pieces</t>
  </si>
  <si>
    <t>Speak Language:  [Language]</t>
  </si>
  <si>
    <t>Craft:  Metalworking</t>
  </si>
  <si>
    <t>Rock</t>
  </si>
  <si>
    <r>
      <t>25</t>
    </r>
    <r>
      <rPr>
        <sz val="13"/>
        <rFont val="Times New Roman"/>
        <family val="1"/>
      </rPr>
      <t>/</t>
    </r>
    <r>
      <rPr>
        <sz val="13"/>
        <color indexed="51"/>
        <rFont val="Times New Roman"/>
        <family val="1"/>
      </rPr>
      <t>50</t>
    </r>
    <r>
      <rPr>
        <sz val="13"/>
        <rFont val="Times New Roman"/>
        <family val="1"/>
      </rPr>
      <t>/</t>
    </r>
    <r>
      <rPr>
        <sz val="13"/>
        <color indexed="10"/>
        <rFont val="Times New Roman"/>
        <family val="1"/>
      </rPr>
      <t>75</t>
    </r>
  </si>
  <si>
    <t>SF</t>
  </si>
  <si>
    <t>1</t>
  </si>
  <si>
    <t>Dancing Lights</t>
  </si>
  <si>
    <t>Prestidigitation</t>
  </si>
  <si>
    <t>Speak with Animals</t>
  </si>
  <si>
    <t>Piercing</t>
  </si>
  <si>
    <t>x3</t>
  </si>
  <si>
    <t>60’</t>
  </si>
  <si>
    <t>Clothes &amp; Toiletries</t>
  </si>
  <si>
    <t>Rock Gnome Spells</t>
  </si>
  <si>
    <t>Artificer</t>
  </si>
  <si>
    <t>Race</t>
  </si>
  <si>
    <t>Subrace</t>
  </si>
  <si>
    <t>Class</t>
  </si>
  <si>
    <t>Deity</t>
  </si>
  <si>
    <t>Height</t>
  </si>
  <si>
    <t>Age</t>
  </si>
  <si>
    <t>Weight</t>
  </si>
  <si>
    <t>Region</t>
  </si>
  <si>
    <t>Sex</t>
  </si>
  <si>
    <t>Alignment</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</si>
  <si>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</si>
  <si>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</si>
  <si>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</si>
  <si>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</si>
  <si>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</si>
  <si>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</si>
  <si>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</si>
  <si>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</si>
  <si>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</si>
  <si>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</si>
  <si>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</si>
  <si>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</si>
  <si>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</si>
  <si>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</si>
  <si>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</si>
  <si>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</si>
  <si>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</si>
  <si>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</si>
  <si>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</si>
  <si>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</si>
  <si>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</si>
  <si>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</si>
  <si>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</si>
  <si>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</si>
  <si>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20’</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</si>
  <si>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</si>
  <si>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</si>
  <si>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</si>
  <si>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</si>
  <si>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</si>
  <si>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</si>
  <si>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Rogue 2</t>
  </si>
  <si>
    <t>CROSS-CLASS</t>
  </si>
  <si>
    <t>Evasion</t>
  </si>
  <si>
    <t>Illusionist</t>
  </si>
  <si>
    <t>Illusionist 1</t>
  </si>
  <si>
    <t>Knowledge:  Arch. &amp; Eng.</t>
  </si>
  <si>
    <t>3rd:  Lightning Reflexes</t>
  </si>
  <si>
    <t>Illusionist Abilities</t>
  </si>
  <si>
    <t>Scribe Scroll</t>
  </si>
  <si>
    <t>School</t>
  </si>
  <si>
    <t>Components</t>
  </si>
  <si>
    <t>Casting</t>
  </si>
  <si>
    <t>Range</t>
  </si>
  <si>
    <t>Duration</t>
  </si>
  <si>
    <t>Reference</t>
  </si>
  <si>
    <t>Page</t>
  </si>
  <si>
    <t>Acid Splash</t>
  </si>
  <si>
    <t>Conjuration</t>
  </si>
  <si>
    <t>V S</t>
  </si>
  <si>
    <t>1 SA</t>
  </si>
  <si>
    <t>25’ + 2½’/lvl</t>
  </si>
  <si>
    <t>Instant</t>
  </si>
  <si>
    <t>PHB</t>
  </si>
  <si>
    <t>Daze</t>
  </si>
  <si>
    <t>Enchantment</t>
  </si>
  <si>
    <t>V S M</t>
  </si>
  <si>
    <t>1 round</t>
  </si>
  <si>
    <t>Divination</t>
  </si>
  <si>
    <t>Personal</t>
  </si>
  <si>
    <t>Touch</t>
  </si>
  <si>
    <t>1 rnd/lvl</t>
  </si>
  <si>
    <t>V</t>
  </si>
  <si>
    <t>1 hour</t>
  </si>
  <si>
    <t>Evocation</t>
  </si>
  <si>
    <t>V S M/DF</t>
  </si>
  <si>
    <t>100’ + 10’/lvl</t>
  </si>
  <si>
    <t>1 min/lvl</t>
  </si>
  <si>
    <t>10 min/lvl</t>
  </si>
  <si>
    <t>Illusion</t>
  </si>
  <si>
    <t>Abjuration</t>
  </si>
  <si>
    <t>Spell Compendium</t>
  </si>
  <si>
    <t>V S F</t>
  </si>
  <si>
    <t>Resistance</t>
  </si>
  <si>
    <t>Caltrops</t>
  </si>
  <si>
    <t>Ray of Frost</t>
  </si>
  <si>
    <t>Detect Poison</t>
  </si>
  <si>
    <t>Electric Jolt</t>
  </si>
  <si>
    <t>Flare</t>
  </si>
  <si>
    <t>Light</t>
  </si>
  <si>
    <t>Sonic Snap</t>
  </si>
  <si>
    <t>Silent Portal</t>
  </si>
  <si>
    <t>Unnerving Gaze</t>
  </si>
  <si>
    <t>Message</t>
  </si>
  <si>
    <t>Arcane Mark</t>
  </si>
  <si>
    <t>Detect Magic</t>
  </si>
  <si>
    <t>Read Magic</t>
  </si>
  <si>
    <t>1 minute</t>
  </si>
  <si>
    <t>V M/DF</t>
  </si>
  <si>
    <t>S</t>
  </si>
  <si>
    <t>Book of Vile Darkness</t>
  </si>
  <si>
    <t>24 hours</t>
  </si>
  <si>
    <t>10’</t>
  </si>
  <si>
    <t>1 hr/lvl</t>
  </si>
  <si>
    <t>Universal</t>
  </si>
  <si>
    <t>1 rune</t>
  </si>
  <si>
    <t>Permanent</t>
  </si>
  <si>
    <t>Alarm</t>
  </si>
  <si>
    <t>Mage Armor</t>
  </si>
  <si>
    <t>Tenser’s Floating Disk</t>
  </si>
  <si>
    <t>Endure Elements</t>
  </si>
  <si>
    <t>2 hrs/lvl</t>
  </si>
  <si>
    <t>Spells per Day by Level</t>
  </si>
  <si>
    <t>0th</t>
  </si>
  <si>
    <t>1st</t>
  </si>
  <si>
    <t>2nd</t>
  </si>
  <si>
    <t>3rd</t>
  </si>
  <si>
    <t>4th</t>
  </si>
  <si>
    <t>5th</t>
  </si>
  <si>
    <t>6th</t>
  </si>
  <si>
    <t>7th</t>
  </si>
  <si>
    <t>8th</t>
  </si>
  <si>
    <t>9th</t>
  </si>
  <si>
    <t>Base Spells</t>
  </si>
  <si>
    <t>Intelligence Bonus</t>
  </si>
  <si>
    <t>Total Spells</t>
  </si>
  <si>
    <t>Spell DC</t>
  </si>
  <si>
    <t>Effective Caster Level:</t>
  </si>
  <si>
    <t>Spellbook</t>
  </si>
  <si>
    <t>Memorized Spells</t>
  </si>
  <si>
    <t>Bonus</t>
  </si>
  <si>
    <t>Inkpen</t>
  </si>
  <si>
    <t>Ink</t>
  </si>
  <si>
    <t>Mithral Chain Shirt</t>
  </si>
  <si>
    <t>Profession:  Engineer</t>
  </si>
  <si>
    <t>Metalworking Toolkit</t>
  </si>
  <si>
    <t>Engineering Book</t>
  </si>
  <si>
    <r>
      <t xml:space="preserve">Tarapple Febble Tallniss </t>
    </r>
    <r>
      <rPr>
        <i/>
        <sz val="9"/>
        <color rgb="FFFFC000"/>
        <rFont val="Times New Roman"/>
        <family val="1"/>
      </rPr>
      <t>Nensy Gwaella Grangytee of Clan Warblerivet</t>
    </r>
  </si>
  <si>
    <t>+1 vs. Fear</t>
  </si>
  <si>
    <t>Rogue 3</t>
  </si>
  <si>
    <t>Craft:  Alchemy</t>
  </si>
  <si>
    <t>Craft:  Locksmithing</t>
  </si>
  <si>
    <t>Sneak Attack 2d6</t>
  </si>
  <si>
    <t>Summon Familiar</t>
  </si>
  <si>
    <t>Shiftweave</t>
  </si>
  <si>
    <t>Healing Belt</t>
  </si>
  <si>
    <t>Heward’s Handy Haversack</t>
  </si>
  <si>
    <t>% Full:</t>
  </si>
  <si>
    <t>https://www.amazon.com/ghillie-suit/s?k=ghillie+suit</t>
  </si>
  <si>
    <t>2½</t>
  </si>
  <si>
    <t>four</t>
  </si>
  <si>
    <t>Soft Equity Ceiling:</t>
  </si>
  <si>
    <t>Total Equity:</t>
  </si>
  <si>
    <t>Device Powers Known</t>
  </si>
  <si>
    <t>Artificer Level</t>
  </si>
  <si>
    <t>Devices:</t>
  </si>
  <si>
    <t>Uncanny Dodge</t>
  </si>
  <si>
    <t>Rogue 4</t>
  </si>
  <si>
    <r>
      <t>15</t>
    </r>
    <r>
      <rPr>
        <vertAlign val="superscript"/>
        <sz val="12"/>
        <rFont val="Times New Roman"/>
        <family val="1"/>
      </rPr>
      <t>o</t>
    </r>
    <r>
      <rPr>
        <sz val="12"/>
        <rFont val="Times New Roman"/>
        <family val="1"/>
      </rPr>
      <t xml:space="preserve"> cone</t>
    </r>
  </si>
  <si>
    <t>50 charges (Launch Item)</t>
  </si>
  <si>
    <t>Pump (Sabot Launcher)</t>
  </si>
  <si>
    <t>Sabot Launcher</t>
  </si>
  <si>
    <t>Craft:  Trapmaking</t>
  </si>
  <si>
    <t>Knowledge:  Metallurgy</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</si>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</sst>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3"/>
      <color rgb="FFFF0000"/>
      <name val="Times New Roman"/>
      <family val="1"/>
    </font>
    <font>
      <sz val="13"/>
      <name val="Wingdings"/>
      <charset val="2"/>
    </font>
    <font>
      <b/>
      <sz val="13"/>
      <color theme="0"/>
      <name val="Times New Roman"/>
      <family val="1"/>
    </font>
    <font>
      <i/>
      <sz val="16"/>
      <name val="Times New Roman"/>
      <family val="1"/>
    </font>
    <font>
      <i/>
      <sz val="10"/>
      <color rgb="FFFFC000"/>
      <name val="Times New Roman"/>
      <family val="1"/>
    </font>
    <font>
      <sz val="18"/>
      <name val="Times New Roman"/>
      <family val="1"/>
    </font>
    <font>
      <sz val="13"/>
      <color rgb="FF009900"/>
      <name val="Times New Roman"/>
      <family val="1"/>
    </font>
    <font>
      <i/>
      <sz val="18"/>
      <color theme="0" tint="-0.499984740745262"/>
      <name val="Times New Roman"/>
      <family val="1"/>
    </font>
    <font>
      <b/>
      <sz val="12"/>
      <color indexed="81"/>
      <name val="Times New Roman"/>
      <family val="1"/>
    </font>
    <font>
      <i/>
      <sz val="18"/>
      <color rgb="FF7030A0"/>
      <name val="Times New Roman"/>
      <family val="1"/>
    </font>
    <font>
      <sz val="12"/>
      <name val="Wingdings"/>
      <charset val="2"/>
    </font>
    <font>
      <sz val="13"/>
      <color rgb="FF7030A0"/>
      <name val="Times New Roman"/>
      <family val="1"/>
    </font>
    <font>
      <i/>
      <sz val="18"/>
      <color theme="0" tint="-0.249977111117893"/>
      <name val="Times New Roman"/>
      <family val="1"/>
    </font>
    <font>
      <i/>
      <sz val="16"/>
      <color rgb="FF7030A0"/>
      <name val="Times New Roman"/>
      <family val="1"/>
    </font>
    <font>
      <sz val="12"/>
      <color theme="0" tint="-0.499984740745262"/>
      <name val="Times New Roman"/>
      <family val="1"/>
    </font>
    <font>
      <b/>
      <sz val="12"/>
      <color rgb="FF9966FF"/>
      <name val="Times New Roman"/>
      <family val="1"/>
    </font>
    <font>
      <b/>
      <sz val="12"/>
      <color rgb="FF7030A0"/>
      <name val="Times New Roman"/>
      <family val="1"/>
    </font>
    <font>
      <b/>
      <sz val="12"/>
      <color theme="0"/>
      <name val="Times New Roman"/>
      <family val="1"/>
    </font>
    <font>
      <b/>
      <sz val="12"/>
      <color theme="0" tint="-0.499984740745262"/>
      <name val="Times New Roman"/>
      <family val="1"/>
    </font>
    <font>
      <i/>
      <sz val="9"/>
      <color rgb="FFFFC000"/>
      <name val="Times New Roman"/>
      <family val="1"/>
    </font>
    <font>
      <i/>
      <sz val="12"/>
      <color indexed="81"/>
      <name val="Times New Roman"/>
      <family val="1"/>
    </font>
    <font>
      <i/>
      <sz val="17"/>
      <name val="Times New Roman"/>
      <family val="1"/>
    </font>
    <font>
      <i/>
      <sz val="18"/>
      <color rgb="FF0000FF"/>
      <name val="Times New Roman"/>
      <family val="1"/>
    </font>
    <font>
      <b/>
      <sz val="12"/>
      <color theme="1"/>
      <name val="Times New Roman"/>
      <family val="1"/>
    </font>
    <font>
      <i/>
      <sz val="16"/>
      <color rgb="FF6600FF"/>
      <name val="Times New Roman"/>
      <family val="1"/>
    </font>
    <font>
      <b/>
      <sz val="12"/>
      <color rgb="FF6600FF"/>
      <name val="Times New Roman"/>
      <family val="1"/>
    </font>
    <font>
      <vertAlign val="superscript"/>
      <sz val="12"/>
      <name val="Times New Roman"/>
      <family val="1"/>
    </font>
  </fonts>
  <fills count="1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55"/>
      </patternFill>
    </fill>
    <fill>
      <patternFill patternType="solid">
        <fgColor rgb="FF6600CC"/>
        <bgColor indexed="64"/>
      </patternFill>
    </fill>
    <fill>
      <patternFill patternType="solid">
        <fgColor rgb="FFCC00FF"/>
        <bgColor indexed="64"/>
      </patternFill>
    </fill>
  </fills>
  <borders count="15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double">
        <color indexed="64"/>
      </top>
      <bottom style="thin">
        <color indexed="64"/>
      </bottom>
      <diagonal/>
    </border>
    <border>
      <left style="hair">
        <color indexed="64"/>
      </left>
      <right/>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55">
    <xf numFmtId="0" fontId="0" fillId="0" borderId="0" xfId="0"/>
    <xf numFmtId="0" fontId="12" fillId="3" borderId="71"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72" xfId="0" applyFont="1" applyFill="1" applyBorder="1" applyAlignment="1">
      <alignment horizontal="center" vertical="center"/>
    </xf>
    <xf numFmtId="0" fontId="4" fillId="0" borderId="0" xfId="0" applyFont="1" applyBorder="1" applyAlignment="1">
      <alignment vertical="center"/>
    </xf>
    <xf numFmtId="0" fontId="2" fillId="0" borderId="78" xfId="0" applyFont="1" applyFill="1" applyBorder="1" applyAlignment="1">
      <alignment horizontal="center" vertical="center"/>
    </xf>
    <xf numFmtId="0" fontId="2" fillId="0" borderId="78" xfId="0" quotePrefix="1" applyFont="1" applyFill="1" applyBorder="1" applyAlignment="1">
      <alignment horizontal="center" vertical="center" wrapText="1"/>
    </xf>
    <xf numFmtId="0" fontId="2" fillId="0" borderId="78" xfId="0" applyFont="1" applyFill="1" applyBorder="1" applyAlignment="1">
      <alignment horizontal="center" vertical="center" shrinkToFit="1"/>
    </xf>
    <xf numFmtId="164" fontId="2" fillId="0" borderId="78" xfId="0" applyNumberFormat="1"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5"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0" xfId="0" quotePrefix="1" applyFont="1" applyBorder="1" applyAlignment="1">
      <alignment horizontal="center" vertical="center"/>
    </xf>
    <xf numFmtId="1" fontId="5" fillId="0" borderId="83"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1" xfId="0" applyFont="1" applyBorder="1" applyAlignment="1">
      <alignment horizontal="center" vertical="center" shrinkToFit="1"/>
    </xf>
    <xf numFmtId="0" fontId="5" fillId="0" borderId="42" xfId="0" applyFont="1" applyBorder="1" applyAlignment="1">
      <alignment horizontal="left" vertical="center" shrinkToFit="1"/>
    </xf>
    <xf numFmtId="0" fontId="2" fillId="0" borderId="55" xfId="0" applyFont="1" applyFill="1" applyBorder="1" applyAlignment="1">
      <alignment horizontal="center" vertical="center" shrinkToFit="1"/>
    </xf>
    <xf numFmtId="0" fontId="2" fillId="0" borderId="65" xfId="0" applyFont="1" applyBorder="1" applyAlignment="1">
      <alignment horizontal="center" vertical="center" shrinkToFit="1"/>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88" xfId="0" applyFont="1" applyFill="1" applyBorder="1" applyAlignment="1">
      <alignment horizontal="center" vertical="center" shrinkToFit="1"/>
    </xf>
    <xf numFmtId="0" fontId="2" fillId="0" borderId="66"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7"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21" fillId="7" borderId="19" xfId="0"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5"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2" fillId="0" borderId="82" xfId="0" quotePrefix="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4"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2" fillId="0" borderId="79" xfId="0" applyFont="1" applyFill="1" applyBorder="1" applyAlignment="1">
      <alignment horizontal="centerContinuous" vertical="center"/>
    </xf>
    <xf numFmtId="49" fontId="2" fillId="0" borderId="79" xfId="0" applyNumberFormat="1" applyFont="1" applyFill="1" applyBorder="1" applyAlignment="1">
      <alignment horizontal="center" vertical="center"/>
    </xf>
    <xf numFmtId="49" fontId="2" fillId="0" borderId="79"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 fillId="0" borderId="95" xfId="0" applyFont="1" applyFill="1" applyBorder="1" applyAlignment="1">
      <alignment horizontal="centerContinuous" vertical="center"/>
    </xf>
    <xf numFmtId="0" fontId="2" fillId="0" borderId="96" xfId="0" applyFont="1" applyFill="1" applyBorder="1" applyAlignment="1">
      <alignment horizontal="centerContinuous" vertical="center"/>
    </xf>
    <xf numFmtId="0" fontId="5" fillId="0" borderId="97" xfId="0" applyFont="1" applyFill="1" applyBorder="1" applyAlignment="1">
      <alignment horizontal="centerContinuous" vertical="center"/>
    </xf>
    <xf numFmtId="0" fontId="5" fillId="0" borderId="83" xfId="0" applyFont="1" applyFill="1" applyBorder="1" applyAlignment="1">
      <alignment horizontal="centerContinuous" vertical="center"/>
    </xf>
    <xf numFmtId="49" fontId="2" fillId="0" borderId="82"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86" xfId="0" applyNumberFormat="1" applyFont="1" applyFill="1" applyBorder="1" applyAlignment="1">
      <alignment horizontal="centerContinuous" vertical="center"/>
    </xf>
    <xf numFmtId="0" fontId="21" fillId="7" borderId="89" xfId="0" applyFont="1" applyFill="1" applyBorder="1" applyAlignment="1">
      <alignment horizontal="center" vertical="center"/>
    </xf>
    <xf numFmtId="0" fontId="21" fillId="7" borderId="90"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0" borderId="7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74" xfId="0" quotePrefix="1" applyFont="1" applyFill="1" applyBorder="1" applyAlignment="1">
      <alignment horizontal="centerContinuous" vertical="center"/>
    </xf>
    <xf numFmtId="0" fontId="7" fillId="0" borderId="54"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3" fillId="0" borderId="26" xfId="0" applyNumberFormat="1" applyFont="1" applyFill="1" applyBorder="1" applyAlignment="1">
      <alignment horizontal="center" vertical="center"/>
    </xf>
    <xf numFmtId="0" fontId="41" fillId="0" borderId="56" xfId="0" applyFont="1" applyFill="1" applyBorder="1" applyAlignment="1">
      <alignment vertical="center"/>
    </xf>
    <xf numFmtId="0" fontId="6" fillId="0" borderId="57" xfId="0" applyFont="1" applyFill="1" applyBorder="1" applyAlignment="1">
      <alignment horizontal="center" vertical="center"/>
    </xf>
    <xf numFmtId="0" fontId="7" fillId="0" borderId="57" xfId="0"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2" fillId="2" borderId="63" xfId="0" applyFont="1" applyFill="1" applyBorder="1" applyAlignment="1">
      <alignment horizontal="right" vertical="center"/>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5" fillId="2" borderId="10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7"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69"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9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03" xfId="0" applyFont="1" applyFill="1" applyBorder="1" applyAlignment="1">
      <alignment horizontal="centerContinuous" vertical="center" shrinkToFit="1"/>
    </xf>
    <xf numFmtId="0" fontId="21" fillId="0" borderId="104" xfId="0" applyFont="1" applyFill="1" applyBorder="1" applyAlignment="1">
      <alignment horizontal="centerContinuous" vertical="center"/>
    </xf>
    <xf numFmtId="0" fontId="2" fillId="0" borderId="105" xfId="0" applyFont="1" applyFill="1" applyBorder="1" applyAlignment="1">
      <alignment horizontal="center"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0" xfId="0" applyFont="1" applyBorder="1" applyAlignment="1">
      <alignment vertical="center"/>
    </xf>
    <xf numFmtId="0" fontId="2" fillId="0" borderId="96" xfId="0" applyFont="1" applyFill="1" applyBorder="1" applyAlignment="1">
      <alignment horizontal="centerContinuous" vertical="center" shrinkToFit="1"/>
    </xf>
    <xf numFmtId="0" fontId="21" fillId="0" borderId="86"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84" xfId="0" applyFont="1" applyFill="1" applyBorder="1" applyAlignment="1">
      <alignment horizontal="centerContinuous" vertical="center"/>
    </xf>
    <xf numFmtId="1" fontId="5" fillId="0"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3" xfId="0" applyNumberFormat="1" applyFont="1" applyFill="1" applyBorder="1" applyAlignment="1">
      <alignment horizontal="center" vertical="center"/>
    </xf>
    <xf numFmtId="1" fontId="2" fillId="0" borderId="74"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77" xfId="0" applyFont="1" applyFill="1" applyBorder="1" applyAlignment="1">
      <alignment horizontal="center" vertical="center"/>
    </xf>
    <xf numFmtId="0" fontId="47" fillId="0" borderId="1" xfId="0" applyFont="1" applyFill="1" applyBorder="1" applyAlignment="1">
      <alignment vertical="center"/>
    </xf>
    <xf numFmtId="0" fontId="6" fillId="0" borderId="25" xfId="0" applyFont="1" applyFill="1" applyBorder="1" applyAlignment="1">
      <alignment horizontal="center" vertical="center"/>
    </xf>
    <xf numFmtId="0" fontId="48" fillId="0" borderId="1" xfId="0" applyFont="1" applyFill="1" applyBorder="1" applyAlignment="1">
      <alignment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0" fillId="0" borderId="31" xfId="0" applyFont="1" applyFill="1" applyBorder="1" applyAlignment="1">
      <alignment horizontal="centerContinuous" vertical="center"/>
    </xf>
    <xf numFmtId="0" fontId="49" fillId="0" borderId="31" xfId="0" applyFont="1" applyBorder="1" applyAlignment="1">
      <alignment horizontal="centerContinuous" vertical="center" wrapText="1"/>
    </xf>
    <xf numFmtId="0" fontId="50" fillId="0" borderId="31" xfId="0" applyFont="1" applyBorder="1" applyAlignment="1">
      <alignment horizontal="centerContinuous" vertical="center" wrapText="1"/>
    </xf>
    <xf numFmtId="0" fontId="51" fillId="0" borderId="31" xfId="0" applyFont="1" applyFill="1" applyBorder="1" applyAlignment="1">
      <alignment horizontal="centerContinuous" vertical="center" wrapText="1"/>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0" fontId="5" fillId="0" borderId="0" xfId="0"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0" borderId="26" xfId="0" applyNumberFormat="1" applyFont="1" applyFill="1" applyBorder="1" applyAlignment="1">
      <alignment horizontal="center" vertical="center"/>
    </xf>
    <xf numFmtId="9" fontId="2" fillId="0" borderId="82" xfId="0" applyNumberFormat="1" applyFont="1" applyFill="1" applyBorder="1" applyAlignment="1">
      <alignment horizontal="center" vertical="center"/>
    </xf>
    <xf numFmtId="49" fontId="7" fillId="0" borderId="44" xfId="0" applyNumberFormat="1" applyFont="1" applyFill="1" applyBorder="1" applyAlignment="1">
      <alignment horizontal="center" vertical="center"/>
    </xf>
    <xf numFmtId="0" fontId="7" fillId="0" borderId="7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27" fillId="0" borderId="46" xfId="0" applyFont="1" applyFill="1" applyBorder="1" applyAlignment="1">
      <alignment horizontal="centerContinuous" vertical="center" shrinkToFit="1"/>
    </xf>
    <xf numFmtId="0" fontId="54" fillId="9" borderId="115"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6"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53" fillId="5" borderId="52" xfId="2" applyNumberFormat="1" applyFont="1" applyFill="1" applyBorder="1" applyAlignment="1">
      <alignment horizontal="centerContinuous" vertical="center" shrinkToFit="1"/>
    </xf>
    <xf numFmtId="0" fontId="53" fillId="5" borderId="2" xfId="2" applyNumberFormat="1" applyFont="1" applyFill="1" applyBorder="1" applyAlignment="1">
      <alignment horizontal="centerContinuous" vertical="center" shrinkToFit="1"/>
    </xf>
    <xf numFmtId="0" fontId="53" fillId="5" borderId="10" xfId="2" applyNumberFormat="1" applyFont="1" applyFill="1" applyBorder="1" applyAlignment="1">
      <alignment horizontal="centerContinuous" vertical="center" shrinkToFit="1"/>
    </xf>
    <xf numFmtId="0" fontId="54" fillId="9" borderId="102" xfId="0" applyFont="1" applyFill="1" applyBorder="1" applyAlignment="1">
      <alignment horizontal="centerContinuous" vertical="center"/>
    </xf>
    <xf numFmtId="0" fontId="6" fillId="4" borderId="30" xfId="0" applyFont="1" applyFill="1" applyBorder="1" applyAlignment="1">
      <alignment horizontal="right" vertical="center"/>
    </xf>
    <xf numFmtId="0" fontId="2" fillId="0" borderId="108" xfId="0" applyFont="1" applyFill="1" applyBorder="1" applyAlignment="1">
      <alignment horizontal="center" vertical="center" shrinkToFit="1"/>
    </xf>
    <xf numFmtId="0" fontId="2" fillId="0" borderId="116" xfId="0" applyFont="1" applyFill="1" applyBorder="1" applyAlignment="1">
      <alignment horizontal="center" vertical="center"/>
    </xf>
    <xf numFmtId="0" fontId="2" fillId="0" borderId="116" xfId="0" quotePrefix="1" applyFont="1" applyFill="1" applyBorder="1" applyAlignment="1">
      <alignment horizontal="center" vertical="center"/>
    </xf>
    <xf numFmtId="9" fontId="2" fillId="0" borderId="116" xfId="0" applyNumberFormat="1" applyFont="1" applyFill="1" applyBorder="1" applyAlignment="1">
      <alignment horizontal="center" vertical="center"/>
    </xf>
    <xf numFmtId="49" fontId="2" fillId="0" borderId="116" xfId="0" quotePrefix="1" applyNumberFormat="1" applyFont="1" applyFill="1" applyBorder="1" applyAlignment="1">
      <alignment horizontal="center" vertical="center"/>
    </xf>
    <xf numFmtId="164" fontId="2" fillId="0" borderId="110"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5" fillId="0" borderId="111" xfId="0" quotePrefix="1" applyFont="1" applyFill="1" applyBorder="1" applyAlignment="1">
      <alignment horizontal="centerContinuous" vertical="center"/>
    </xf>
    <xf numFmtId="1" fontId="2" fillId="0" borderId="117" xfId="0" applyNumberFormat="1" applyFont="1" applyFill="1" applyBorder="1" applyAlignment="1">
      <alignment horizontal="center" vertical="center"/>
    </xf>
    <xf numFmtId="0" fontId="2" fillId="0" borderId="75" xfId="0" applyFont="1" applyFill="1" applyBorder="1" applyAlignment="1">
      <alignment horizontal="center" vertical="center"/>
    </xf>
    <xf numFmtId="164" fontId="2" fillId="0" borderId="75"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3" fillId="0" borderId="1" xfId="0" applyFont="1" applyBorder="1" applyAlignment="1">
      <alignment vertical="center"/>
    </xf>
    <xf numFmtId="0" fontId="57"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left" vertical="center"/>
    </xf>
    <xf numFmtId="49" fontId="5" fillId="0" borderId="0" xfId="0" applyNumberFormat="1" applyFont="1" applyBorder="1" applyAlignment="1">
      <alignment horizontal="center" vertical="center"/>
    </xf>
    <xf numFmtId="0" fontId="52" fillId="0" borderId="34" xfId="0" applyFont="1" applyBorder="1" applyAlignment="1">
      <alignment horizontal="center" shrinkToFit="1"/>
    </xf>
    <xf numFmtId="0" fontId="58" fillId="0" borderId="46" xfId="0" applyFont="1" applyBorder="1" applyAlignment="1">
      <alignment horizontal="center" shrinkToFit="1"/>
    </xf>
    <xf numFmtId="0" fontId="7" fillId="0" borderId="114"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75" xfId="0" quotePrefix="1" applyFont="1" applyFill="1" applyBorder="1" applyAlignment="1">
      <alignment horizontal="center" vertical="center" wrapText="1"/>
    </xf>
    <xf numFmtId="49" fontId="2" fillId="0" borderId="75" xfId="2" applyNumberFormat="1" applyFont="1" applyFill="1" applyBorder="1" applyAlignment="1">
      <alignment horizontal="center" vertical="center"/>
    </xf>
    <xf numFmtId="0" fontId="2" fillId="0" borderId="75" xfId="0" applyFont="1" applyFill="1" applyBorder="1" applyAlignment="1">
      <alignment horizontal="center" vertical="center" shrinkToFit="1"/>
    </xf>
    <xf numFmtId="1" fontId="2" fillId="0" borderId="76" xfId="0" applyNumberFormat="1" applyFont="1" applyFill="1" applyBorder="1" applyAlignment="1">
      <alignment horizontal="center" vertical="center"/>
    </xf>
    <xf numFmtId="0" fontId="2" fillId="0" borderId="113" xfId="0" quotePrefix="1" applyFont="1" applyFill="1" applyBorder="1" applyAlignment="1">
      <alignment horizontal="center" vertical="center"/>
    </xf>
    <xf numFmtId="0" fontId="2" fillId="0" borderId="100" xfId="0" applyFont="1" applyFill="1" applyBorder="1" applyAlignment="1">
      <alignment horizontal="center" vertical="center"/>
    </xf>
    <xf numFmtId="1" fontId="5" fillId="0" borderId="76" xfId="0" applyNumberFormat="1" applyFont="1" applyFill="1" applyBorder="1" applyAlignment="1">
      <alignment horizontal="center" vertical="center"/>
    </xf>
    <xf numFmtId="1" fontId="2" fillId="0" borderId="76" xfId="0" applyNumberFormat="1" applyFont="1" applyBorder="1" applyAlignment="1">
      <alignment horizontal="center" vertical="center"/>
    </xf>
    <xf numFmtId="0" fontId="2" fillId="0" borderId="113" xfId="0" quotePrefix="1" applyFont="1" applyBorder="1" applyAlignment="1">
      <alignment horizontal="center"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10"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2" fontId="2" fillId="0" borderId="53" xfId="0" applyNumberFormat="1" applyFont="1" applyFill="1" applyBorder="1" applyAlignment="1">
      <alignment horizontal="center" vertical="center"/>
    </xf>
    <xf numFmtId="2" fontId="5" fillId="0" borderId="38" xfId="0" applyNumberFormat="1" applyFont="1" applyBorder="1" applyAlignment="1">
      <alignment horizontal="center" vertical="center" shrinkToFit="1"/>
    </xf>
    <xf numFmtId="2" fontId="5" fillId="0" borderId="34" xfId="0" applyNumberFormat="1" applyFont="1" applyBorder="1" applyAlignment="1">
      <alignment horizontal="center" vertical="center" shrinkToFit="1"/>
    </xf>
    <xf numFmtId="0" fontId="12" fillId="3" borderId="36"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43" fillId="0" borderId="57" xfId="0" applyFont="1" applyFill="1" applyBorder="1" applyAlignment="1">
      <alignment horizontal="center" vertical="center"/>
    </xf>
    <xf numFmtId="1" fontId="7" fillId="0" borderId="57"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0" fontId="2" fillId="0" borderId="121" xfId="0" applyFont="1" applyBorder="1" applyAlignment="1">
      <alignment horizontal="center" vertical="center" shrinkToFit="1"/>
    </xf>
    <xf numFmtId="164" fontId="5" fillId="0" borderId="122" xfId="0" applyNumberFormat="1" applyFont="1" applyBorder="1" applyAlignment="1">
      <alignment horizontal="center" vertical="center" shrinkToFit="1"/>
    </xf>
    <xf numFmtId="0" fontId="2" fillId="0" borderId="122" xfId="0" applyFont="1" applyBorder="1" applyAlignment="1">
      <alignment horizontal="left" vertical="center"/>
    </xf>
    <xf numFmtId="0" fontId="5" fillId="0" borderId="123" xfId="0" applyFont="1" applyBorder="1" applyAlignment="1">
      <alignment horizontal="left" vertical="center" shrinkToFit="1"/>
    </xf>
    <xf numFmtId="1" fontId="5" fillId="0" borderId="74" xfId="0" applyNumberFormat="1" applyFont="1" applyBorder="1" applyAlignment="1">
      <alignment horizontal="center" vertical="center" shrinkToFit="1"/>
    </xf>
    <xf numFmtId="0" fontId="59" fillId="0" borderId="31" xfId="0" applyFont="1" applyBorder="1" applyAlignment="1">
      <alignment horizontal="centerContinuous"/>
    </xf>
    <xf numFmtId="0" fontId="13" fillId="6" borderId="8" xfId="0" applyFont="1" applyFill="1" applyBorder="1" applyAlignment="1">
      <alignment vertical="center"/>
    </xf>
    <xf numFmtId="0" fontId="7" fillId="6" borderId="44" xfId="0" applyNumberFormat="1" applyFont="1" applyFill="1" applyBorder="1" applyAlignment="1">
      <alignment horizontal="center" vertical="center"/>
    </xf>
    <xf numFmtId="49" fontId="24" fillId="6" borderId="44" xfId="0" applyNumberFormat="1" applyFont="1" applyFill="1" applyBorder="1" applyAlignment="1">
      <alignment horizontal="center" vertical="center"/>
    </xf>
    <xf numFmtId="0" fontId="24" fillId="6" borderId="45" xfId="0" applyNumberFormat="1" applyFont="1" applyFill="1" applyBorder="1" applyAlignment="1">
      <alignment horizontal="center" vertical="center"/>
    </xf>
    <xf numFmtId="0" fontId="13" fillId="6" borderId="45" xfId="0" applyNumberFormat="1" applyFont="1" applyFill="1" applyBorder="1" applyAlignment="1">
      <alignment horizontal="center" vertical="center"/>
    </xf>
    <xf numFmtId="49" fontId="7" fillId="6" borderId="45" xfId="0" applyNumberFormat="1" applyFont="1" applyFill="1" applyBorder="1" applyAlignment="1">
      <alignment horizontal="center" vertical="center"/>
    </xf>
    <xf numFmtId="0" fontId="7" fillId="6" borderId="33" xfId="0" applyNumberFormat="1" applyFont="1" applyFill="1" applyBorder="1" applyAlignment="1">
      <alignment horizontal="center" vertical="center"/>
    </xf>
    <xf numFmtId="0" fontId="44" fillId="11" borderId="26" xfId="0" applyNumberFormat="1" applyFont="1" applyFill="1" applyBorder="1" applyAlignment="1">
      <alignment horizontal="center" vertical="center"/>
    </xf>
    <xf numFmtId="0" fontId="44" fillId="11" borderId="57" xfId="0" applyNumberFormat="1" applyFont="1" applyFill="1" applyBorder="1" applyAlignment="1">
      <alignment horizontal="center" vertical="center"/>
    </xf>
    <xf numFmtId="0" fontId="44" fillId="11" borderId="13" xfId="0" applyNumberFormat="1" applyFont="1" applyFill="1" applyBorder="1" applyAlignment="1">
      <alignment horizontal="center" vertical="center"/>
    </xf>
    <xf numFmtId="0" fontId="44" fillId="11" borderId="44" xfId="0" applyNumberFormat="1" applyFont="1" applyFill="1" applyBorder="1" applyAlignment="1">
      <alignment horizontal="center"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43" fillId="11" borderId="35"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0" fontId="52" fillId="0" borderId="114" xfId="0" applyFont="1" applyBorder="1" applyAlignment="1">
      <alignment horizontal="center" shrinkToFit="1"/>
    </xf>
    <xf numFmtId="3" fontId="7" fillId="0" borderId="12"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39" fillId="0" borderId="54" xfId="0" quotePrefix="1" applyFont="1" applyFill="1" applyBorder="1" applyAlignment="1">
      <alignment horizontal="centerContinuous" vertical="center"/>
    </xf>
    <xf numFmtId="0" fontId="62" fillId="0" borderId="0" xfId="5" applyFont="1" applyAlignment="1">
      <alignment horizontal="center" vertical="center"/>
    </xf>
    <xf numFmtId="0" fontId="63" fillId="0" borderId="1" xfId="5" applyFont="1" applyBorder="1" applyAlignment="1">
      <alignment horizontal="center" shrinkToFit="1"/>
    </xf>
    <xf numFmtId="9" fontId="7" fillId="0" borderId="26" xfId="2" applyFont="1" applyFill="1" applyBorder="1" applyAlignment="1">
      <alignment horizontal="center" vertical="center" shrinkToFit="1"/>
    </xf>
    <xf numFmtId="0" fontId="7" fillId="0" borderId="26" xfId="5" applyFont="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25" xfId="2" applyFont="1" applyBorder="1" applyAlignment="1">
      <alignment horizontal="center" shrinkToFit="1"/>
    </xf>
    <xf numFmtId="0" fontId="7" fillId="0" borderId="26" xfId="2" applyNumberFormat="1" applyFont="1" applyBorder="1" applyAlignment="1">
      <alignment horizontal="center" shrinkToFit="1"/>
    </xf>
    <xf numFmtId="9" fontId="7" fillId="0" borderId="26" xfId="2" applyFont="1" applyBorder="1" applyAlignment="1">
      <alignment horizontal="center" shrinkToFit="1"/>
    </xf>
    <xf numFmtId="9" fontId="7" fillId="0" borderId="25" xfId="2" applyFont="1" applyFill="1" applyBorder="1" applyAlignment="1">
      <alignment horizontal="center" vertical="center" shrinkToFit="1"/>
    </xf>
    <xf numFmtId="0" fontId="63" fillId="0" borderId="56" xfId="5" applyFont="1" applyBorder="1" applyAlignment="1">
      <alignment horizontal="center" shrinkToFit="1"/>
    </xf>
    <xf numFmtId="0" fontId="7" fillId="0" borderId="15" xfId="2" applyNumberFormat="1" applyFont="1" applyFill="1" applyBorder="1" applyAlignment="1">
      <alignment horizontal="center" vertical="center" shrinkToFit="1"/>
    </xf>
    <xf numFmtId="0" fontId="7" fillId="0" borderId="27" xfId="5" applyFont="1" applyBorder="1" applyAlignment="1">
      <alignment horizontal="center" vertical="center" shrinkToFi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32" xfId="5" applyFont="1" applyBorder="1" applyAlignment="1">
      <alignment horizontal="center" vertical="center"/>
    </xf>
    <xf numFmtId="9" fontId="7" fillId="0" borderId="26" xfId="2" applyFont="1" applyFill="1" applyBorder="1" applyAlignment="1">
      <alignment horizontal="center" shrinkToFit="1"/>
    </xf>
    <xf numFmtId="9" fontId="7" fillId="0" borderId="57"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63" fillId="0" borderId="73" xfId="5" applyFont="1" applyBorder="1" applyAlignment="1">
      <alignment horizontal="center" shrinkToFit="1"/>
    </xf>
    <xf numFmtId="0" fontId="7" fillId="0" borderId="13" xfId="5" applyFont="1" applyBorder="1" applyAlignment="1">
      <alignment horizontal="center" vertical="center" shrinkToFit="1"/>
    </xf>
    <xf numFmtId="9" fontId="7" fillId="0" borderId="51" xfId="2" applyFont="1" applyFill="1" applyBorder="1" applyAlignment="1">
      <alignment horizontal="center" vertical="center" shrinkToFit="1"/>
    </xf>
    <xf numFmtId="0" fontId="7" fillId="0" borderId="51" xfId="5" applyFont="1" applyBorder="1" applyAlignment="1">
      <alignment horizontal="center" vertical="center" shrinkToFit="1"/>
    </xf>
    <xf numFmtId="0" fontId="7" fillId="0" borderId="51" xfId="2" applyNumberFormat="1" applyFont="1" applyFill="1" applyBorder="1" applyAlignment="1">
      <alignment horizontal="center" vertical="center" shrinkToFit="1"/>
    </xf>
    <xf numFmtId="0" fontId="7" fillId="0" borderId="27" xfId="5" applyFont="1" applyBorder="1" applyAlignment="1">
      <alignment horizontal="center" vertical="center"/>
    </xf>
    <xf numFmtId="0" fontId="63" fillId="0" borderId="1" xfId="5" applyFont="1" applyFill="1" applyBorder="1" applyAlignment="1">
      <alignment horizontal="center" shrinkToFit="1"/>
    </xf>
    <xf numFmtId="0" fontId="63" fillId="0" borderId="8" xfId="5" applyFont="1" applyFill="1" applyBorder="1" applyAlignment="1">
      <alignment horizontal="center" shrinkToFit="1"/>
    </xf>
    <xf numFmtId="9" fontId="7" fillId="0" borderId="44" xfId="2" applyFont="1" applyFill="1" applyBorder="1" applyAlignment="1">
      <alignment horizontal="center" vertical="center" shrinkToFit="1"/>
    </xf>
    <xf numFmtId="9" fontId="7" fillId="0" borderId="45" xfId="2" applyFont="1" applyFill="1" applyBorder="1" applyAlignment="1">
      <alignment horizontal="center" vertical="center" shrinkToFit="1"/>
    </xf>
    <xf numFmtId="0" fontId="7" fillId="0" borderId="45" xfId="2" applyNumberFormat="1" applyFont="1" applyFill="1" applyBorder="1" applyAlignment="1">
      <alignment horizontal="center" vertical="center" shrinkToFit="1"/>
    </xf>
    <xf numFmtId="0" fontId="61" fillId="0" borderId="23" xfId="5" applyFont="1" applyBorder="1" applyAlignment="1">
      <alignment horizontal="centerContinuous"/>
    </xf>
    <xf numFmtId="0" fontId="15" fillId="0" borderId="0" xfId="5" applyFont="1" applyAlignment="1">
      <alignment horizontal="centerContinuous"/>
    </xf>
    <xf numFmtId="0" fontId="2" fillId="0" borderId="0" xfId="5" applyAlignment="1"/>
    <xf numFmtId="0" fontId="12" fillId="9" borderId="125" xfId="5" applyFont="1" applyFill="1" applyBorder="1" applyAlignment="1">
      <alignment horizontal="centerContinuous" vertical="center"/>
    </xf>
    <xf numFmtId="0" fontId="12" fillId="9" borderId="126" xfId="5" applyFont="1" applyFill="1" applyBorder="1" applyAlignment="1">
      <alignment horizontal="center" vertical="center"/>
    </xf>
    <xf numFmtId="0" fontId="21" fillId="9" borderId="126" xfId="5" applyFont="1" applyFill="1" applyBorder="1" applyAlignment="1">
      <alignment horizontal="center" vertical="center"/>
    </xf>
    <xf numFmtId="0" fontId="12" fillId="9" borderId="127" xfId="5" applyFont="1" applyFill="1" applyBorder="1" applyAlignment="1">
      <alignment horizontal="centerContinuous" vertical="center"/>
    </xf>
    <xf numFmtId="0" fontId="7" fillId="0" borderId="13" xfId="5" applyFont="1" applyBorder="1" applyAlignment="1">
      <alignment horizontal="center"/>
    </xf>
    <xf numFmtId="0" fontId="7" fillId="0" borderId="128" xfId="5" applyFont="1" applyBorder="1" applyAlignment="1">
      <alignment horizontal="center" vertical="center"/>
    </xf>
    <xf numFmtId="0" fontId="4" fillId="0" borderId="0" xfId="5" applyFont="1" applyAlignment="1"/>
    <xf numFmtId="0" fontId="7" fillId="0" borderId="25" xfId="5" applyFont="1" applyBorder="1" applyAlignment="1">
      <alignment horizontal="center"/>
    </xf>
    <xf numFmtId="0" fontId="7" fillId="0" borderId="25" xfId="5" applyFont="1" applyFill="1" applyBorder="1" applyAlignment="1">
      <alignment horizontal="center"/>
    </xf>
    <xf numFmtId="0" fontId="7" fillId="0" borderId="27" xfId="5" applyFont="1" applyFill="1" applyBorder="1" applyAlignment="1">
      <alignment horizontal="center" vertical="center"/>
    </xf>
    <xf numFmtId="0" fontId="7" fillId="0" borderId="44" xfId="5" applyFont="1" applyFill="1" applyBorder="1" applyAlignment="1">
      <alignment horizontal="center"/>
    </xf>
    <xf numFmtId="0" fontId="7" fillId="0" borderId="33" xfId="5" applyFont="1" applyFill="1" applyBorder="1" applyAlignment="1">
      <alignment horizontal="center" vertical="center"/>
    </xf>
    <xf numFmtId="0" fontId="4" fillId="0" borderId="0" xfId="5" applyFont="1" applyAlignment="1">
      <alignment horizontal="right"/>
    </xf>
    <xf numFmtId="0" fontId="2" fillId="0" borderId="0" xfId="5" applyAlignment="1">
      <alignment horizontal="left"/>
    </xf>
    <xf numFmtId="0" fontId="7" fillId="0" borderId="57" xfId="5" applyFont="1" applyBorder="1" applyAlignment="1">
      <alignment horizontal="center"/>
    </xf>
    <xf numFmtId="0" fontId="64" fillId="0" borderId="31" xfId="0" applyFont="1" applyBorder="1" applyAlignment="1">
      <alignment horizontal="centerContinuous" vertical="center" wrapText="1"/>
    </xf>
    <xf numFmtId="0" fontId="65" fillId="0" borderId="129" xfId="0" applyFont="1" applyBorder="1" applyAlignment="1">
      <alignment horizontal="centerContinuous" vertical="center"/>
    </xf>
    <xf numFmtId="0" fontId="2" fillId="0" borderId="130" xfId="0" applyFont="1" applyBorder="1" applyAlignment="1">
      <alignment horizontal="centerContinuous" vertical="center"/>
    </xf>
    <xf numFmtId="0" fontId="2" fillId="0" borderId="102" xfId="0" applyFont="1" applyBorder="1" applyAlignment="1">
      <alignment horizontal="centerContinuous" vertical="center"/>
    </xf>
    <xf numFmtId="0" fontId="12" fillId="9" borderId="131" xfId="0" applyFont="1" applyFill="1" applyBorder="1" applyAlignment="1">
      <alignment horizontal="centerContinuous" vertical="center"/>
    </xf>
    <xf numFmtId="0" fontId="12" fillId="9" borderId="132" xfId="0" applyFont="1" applyFill="1" applyBorder="1" applyAlignment="1">
      <alignment horizontal="center" vertical="center"/>
    </xf>
    <xf numFmtId="0" fontId="12" fillId="9" borderId="132" xfId="0" applyFont="1" applyFill="1" applyBorder="1" applyAlignment="1">
      <alignment horizontal="centerContinuous" vertical="center"/>
    </xf>
    <xf numFmtId="0" fontId="12" fillId="9" borderId="133" xfId="0" applyFont="1" applyFill="1" applyBorder="1" applyAlignment="1">
      <alignment horizontal="center" vertical="center"/>
    </xf>
    <xf numFmtId="0" fontId="4" fillId="0" borderId="134" xfId="0" applyFont="1" applyBorder="1" applyAlignment="1">
      <alignment horizontal="right"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66" fillId="8" borderId="136" xfId="0" applyFont="1" applyFill="1" applyBorder="1" applyAlignment="1">
      <alignment horizontal="center" vertical="center"/>
    </xf>
    <xf numFmtId="0" fontId="66" fillId="8" borderId="137" xfId="0" applyFont="1" applyFill="1" applyBorder="1" applyAlignment="1">
      <alignment horizontal="center" vertical="center"/>
    </xf>
    <xf numFmtId="0" fontId="67" fillId="0" borderId="138" xfId="0" applyFont="1" applyBorder="1" applyAlignment="1">
      <alignment horizontal="right" vertical="center"/>
    </xf>
    <xf numFmtId="0" fontId="2" fillId="0" borderId="65" xfId="0" applyFont="1" applyBorder="1" applyAlignment="1">
      <alignment horizontal="center" vertical="center"/>
    </xf>
    <xf numFmtId="0" fontId="2" fillId="0" borderId="38" xfId="0" applyFont="1" applyBorder="1" applyAlignment="1">
      <alignment horizontal="center" vertical="center"/>
    </xf>
    <xf numFmtId="0" fontId="66" fillId="8" borderId="38" xfId="0" applyFont="1" applyFill="1" applyBorder="1" applyAlignment="1">
      <alignment horizontal="center" vertical="center"/>
    </xf>
    <xf numFmtId="0" fontId="66" fillId="8" borderId="39" xfId="0" applyFont="1" applyFill="1" applyBorder="1" applyAlignment="1">
      <alignment horizontal="center" vertical="center"/>
    </xf>
    <xf numFmtId="0" fontId="68" fillId="0" borderId="139" xfId="0" applyFont="1" applyBorder="1" applyAlignment="1">
      <alignment horizontal="right" vertical="center"/>
    </xf>
    <xf numFmtId="0" fontId="69" fillId="9" borderId="140" xfId="0" applyFont="1" applyFill="1" applyBorder="1" applyAlignment="1">
      <alignment horizontal="center" vertical="center"/>
    </xf>
    <xf numFmtId="0" fontId="69" fillId="9" borderId="141" xfId="0" applyFont="1" applyFill="1" applyBorder="1" applyAlignment="1">
      <alignment horizontal="center" vertical="center"/>
    </xf>
    <xf numFmtId="0" fontId="70" fillId="8" borderId="141" xfId="0" applyFont="1" applyFill="1" applyBorder="1" applyAlignment="1">
      <alignment horizontal="center" vertical="center"/>
    </xf>
    <xf numFmtId="0" fontId="70" fillId="8" borderId="142" xfId="0" applyFont="1" applyFill="1" applyBorder="1" applyAlignment="1">
      <alignment horizontal="center" vertical="center"/>
    </xf>
    <xf numFmtId="0" fontId="4" fillId="0" borderId="143" xfId="0" applyFont="1" applyBorder="1" applyAlignment="1">
      <alignment horizontal="right" vertical="center"/>
    </xf>
    <xf numFmtId="1" fontId="69" fillId="9" borderId="144" xfId="0" applyNumberFormat="1" applyFont="1" applyFill="1" applyBorder="1" applyAlignment="1">
      <alignment horizontal="center" vertical="center"/>
    </xf>
    <xf numFmtId="1" fontId="69" fillId="9" borderId="145" xfId="0" applyNumberFormat="1" applyFont="1" applyFill="1" applyBorder="1" applyAlignment="1">
      <alignment horizontal="center" vertical="center"/>
    </xf>
    <xf numFmtId="1" fontId="69" fillId="8" borderId="145" xfId="0" applyNumberFormat="1" applyFont="1" applyFill="1" applyBorder="1" applyAlignment="1">
      <alignment horizontal="center" vertical="center"/>
    </xf>
    <xf numFmtId="1" fontId="69" fillId="8" borderId="146" xfId="0" applyNumberFormat="1" applyFont="1" applyFill="1" applyBorder="1" applyAlignment="1">
      <alignment horizontal="center" vertical="center"/>
    </xf>
    <xf numFmtId="0" fontId="65" fillId="0" borderId="58" xfId="0" applyFont="1" applyBorder="1" applyAlignment="1">
      <alignment horizontal="centerContinuous" vertical="center"/>
    </xf>
    <xf numFmtId="0" fontId="6" fillId="0" borderId="59" xfId="0" applyFont="1" applyBorder="1" applyAlignment="1">
      <alignment horizontal="centerContinuous" vertical="center"/>
    </xf>
    <xf numFmtId="0" fontId="6" fillId="0" borderId="60" xfId="0" applyFont="1" applyBorder="1" applyAlignment="1">
      <alignment horizontal="centerContinuous" vertical="center"/>
    </xf>
    <xf numFmtId="0" fontId="54" fillId="9" borderId="56" xfId="0" applyFont="1" applyFill="1" applyBorder="1" applyAlignment="1">
      <alignment horizontal="centerContinuous" vertical="center"/>
    </xf>
    <xf numFmtId="0" fontId="54" fillId="9" borderId="147" xfId="0" applyFont="1" applyFill="1" applyBorder="1" applyAlignment="1">
      <alignment horizontal="center" vertical="center"/>
    </xf>
    <xf numFmtId="0" fontId="54" fillId="9" borderId="61" xfId="0" applyFont="1" applyFill="1" applyBorder="1" applyAlignment="1">
      <alignment horizontal="center" vertical="center"/>
    </xf>
    <xf numFmtId="0" fontId="54" fillId="9" borderId="62"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3" fillId="5" borderId="27" xfId="2" applyNumberFormat="1" applyFont="1" applyFill="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xf>
    <xf numFmtId="49" fontId="7" fillId="0" borderId="57" xfId="0" applyNumberFormat="1" applyFont="1" applyBorder="1" applyAlignment="1">
      <alignment horizontal="center" vertical="center"/>
    </xf>
    <xf numFmtId="0" fontId="53" fillId="5" borderId="32" xfId="2" applyNumberFormat="1"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53" fillId="5" borderId="33" xfId="2" applyNumberFormat="1" applyFont="1" applyFill="1" applyBorder="1" applyAlignment="1">
      <alignment horizontal="center" vertical="center" shrinkToFit="1"/>
    </xf>
    <xf numFmtId="2" fontId="2" fillId="0" borderId="116" xfId="0" applyNumberFormat="1" applyFont="1" applyFill="1" applyBorder="1" applyAlignment="1">
      <alignment horizontal="center" vertical="center"/>
    </xf>
    <xf numFmtId="0" fontId="56" fillId="2" borderId="64" xfId="0" applyFont="1" applyFill="1" applyBorder="1" applyAlignment="1">
      <alignment horizontal="left" vertical="center"/>
    </xf>
    <xf numFmtId="0" fontId="2" fillId="12" borderId="112" xfId="0" applyFont="1" applyFill="1" applyBorder="1" applyAlignment="1">
      <alignment horizontal="center" vertical="center" shrinkToFit="1"/>
    </xf>
    <xf numFmtId="0" fontId="2" fillId="12" borderId="75" xfId="0" applyFont="1" applyFill="1" applyBorder="1" applyAlignment="1">
      <alignment horizontal="center" vertical="center"/>
    </xf>
    <xf numFmtId="0" fontId="2" fillId="12" borderId="75" xfId="0" quotePrefix="1" applyFont="1" applyFill="1" applyBorder="1" applyAlignment="1">
      <alignment horizontal="center" vertical="center"/>
    </xf>
    <xf numFmtId="9" fontId="2" fillId="12" borderId="75" xfId="0" applyNumberFormat="1" applyFont="1" applyFill="1" applyBorder="1" applyAlignment="1">
      <alignment horizontal="center" vertical="center"/>
    </xf>
    <xf numFmtId="49" fontId="2" fillId="12" borderId="75" xfId="0" quotePrefix="1" applyNumberFormat="1" applyFont="1" applyFill="1" applyBorder="1" applyAlignment="1">
      <alignment horizontal="center" vertical="center"/>
    </xf>
    <xf numFmtId="164" fontId="2" fillId="12" borderId="75" xfId="0" applyNumberFormat="1" applyFont="1" applyFill="1" applyBorder="1" applyAlignment="1">
      <alignment horizontal="center" vertical="center"/>
    </xf>
    <xf numFmtId="164" fontId="2" fillId="12" borderId="76" xfId="0" applyNumberFormat="1" applyFont="1" applyFill="1" applyBorder="1" applyAlignment="1">
      <alignment horizontal="centerContinuous" vertical="center"/>
    </xf>
    <xf numFmtId="164" fontId="2" fillId="12" borderId="118" xfId="0" applyNumberFormat="1" applyFont="1" applyFill="1" applyBorder="1" applyAlignment="1">
      <alignment horizontal="centerContinuous" vertical="center"/>
    </xf>
    <xf numFmtId="0" fontId="5" fillId="12" borderId="119" xfId="0" quotePrefix="1" applyFont="1" applyFill="1" applyBorder="1" applyAlignment="1">
      <alignment horizontal="centerContinuous" vertical="center"/>
    </xf>
    <xf numFmtId="1" fontId="2" fillId="12" borderId="34" xfId="0" applyNumberFormat="1" applyFont="1" applyFill="1" applyBorder="1" applyAlignment="1">
      <alignment horizontal="center" vertical="center"/>
    </xf>
    <xf numFmtId="0" fontId="2" fillId="12" borderId="77" xfId="0" applyFont="1" applyFill="1" applyBorder="1" applyAlignment="1">
      <alignment horizontal="center" vertical="center"/>
    </xf>
    <xf numFmtId="0" fontId="2" fillId="12" borderId="78" xfId="0" applyFont="1" applyFill="1" applyBorder="1" applyAlignment="1">
      <alignment horizontal="center" vertical="center"/>
    </xf>
    <xf numFmtId="0" fontId="2" fillId="12" borderId="78" xfId="0" quotePrefix="1" applyFont="1" applyFill="1" applyBorder="1" applyAlignment="1">
      <alignment horizontal="center" vertical="center" wrapText="1"/>
    </xf>
    <xf numFmtId="49" fontId="2" fillId="12" borderId="78" xfId="2" applyNumberFormat="1" applyFont="1" applyFill="1" applyBorder="1" applyAlignment="1">
      <alignment horizontal="center" vertical="center"/>
    </xf>
    <xf numFmtId="0" fontId="2" fillId="12" borderId="78" xfId="0" applyFont="1" applyFill="1" applyBorder="1" applyAlignment="1">
      <alignment horizontal="center" vertical="center" shrinkToFit="1"/>
    </xf>
    <xf numFmtId="164" fontId="2" fillId="12" borderId="78" xfId="0" applyNumberFormat="1" applyFont="1" applyFill="1" applyBorder="1" applyAlignment="1">
      <alignment horizontal="center" vertical="center"/>
    </xf>
    <xf numFmtId="1" fontId="2" fillId="12" borderId="78" xfId="0" applyNumberFormat="1" applyFont="1" applyFill="1" applyBorder="1" applyAlignment="1">
      <alignment horizontal="center" vertical="center"/>
    </xf>
    <xf numFmtId="1" fontId="2" fillId="12" borderId="79" xfId="0" applyNumberFormat="1" applyFont="1" applyFill="1" applyBorder="1" applyAlignment="1">
      <alignment horizontal="center" vertical="center"/>
    </xf>
    <xf numFmtId="0" fontId="2" fillId="12" borderId="80" xfId="0" quotePrefix="1" applyFont="1" applyFill="1" applyBorder="1" applyAlignment="1">
      <alignment horizontal="center" vertical="center"/>
    </xf>
    <xf numFmtId="1" fontId="2" fillId="12" borderId="53" xfId="0" applyNumberFormat="1" applyFont="1" applyFill="1" applyBorder="1" applyAlignment="1">
      <alignment horizontal="center" vertical="center"/>
    </xf>
    <xf numFmtId="0" fontId="39" fillId="0" borderId="114" xfId="0" applyFont="1" applyBorder="1" applyAlignment="1">
      <alignment horizontal="center" shrinkToFit="1"/>
    </xf>
    <xf numFmtId="0" fontId="7" fillId="0" borderId="68" xfId="0" applyNumberFormat="1" applyFont="1" applyFill="1" applyBorder="1" applyAlignment="1">
      <alignment horizontal="centerContinuous" vertical="center"/>
    </xf>
    <xf numFmtId="0" fontId="2" fillId="0" borderId="70" xfId="0" applyNumberFormat="1" applyFont="1" applyFill="1" applyBorder="1" applyAlignment="1">
      <alignment horizontal="centerContinuous" vertical="center"/>
    </xf>
    <xf numFmtId="0" fontId="2" fillId="0" borderId="55"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1" fontId="2" fillId="0" borderId="34" xfId="0" applyNumberFormat="1" applyFont="1" applyBorder="1" applyAlignment="1">
      <alignment horizontal="center" vertical="center" shrinkToFit="1"/>
    </xf>
    <xf numFmtId="0" fontId="2" fillId="0" borderId="0" xfId="0" applyFont="1" applyAlignment="1">
      <alignment horizontal="center" vertical="center" shrinkToFit="1"/>
    </xf>
    <xf numFmtId="0" fontId="73" fillId="0" borderId="0" xfId="0" applyFont="1" applyAlignment="1">
      <alignment vertical="center"/>
    </xf>
    <xf numFmtId="0" fontId="2" fillId="0" borderId="0" xfId="0" applyFont="1" applyAlignment="1">
      <alignment horizontal="left" vertical="center" shrinkToFit="1"/>
    </xf>
    <xf numFmtId="0" fontId="2" fillId="0" borderId="103" xfId="0" applyFont="1" applyBorder="1" applyAlignment="1">
      <alignment horizontal="center" vertical="center" shrinkToFit="1"/>
    </xf>
    <xf numFmtId="1" fontId="2" fillId="0" borderId="122" xfId="0" applyNumberFormat="1" applyFont="1" applyBorder="1" applyAlignment="1">
      <alignment horizontal="center" vertical="center" shrinkToFit="1"/>
    </xf>
    <xf numFmtId="164" fontId="2" fillId="0" borderId="122" xfId="0" applyNumberFormat="1" applyFont="1" applyBorder="1" applyAlignment="1">
      <alignment horizontal="center" vertical="center" shrinkToFit="1"/>
    </xf>
    <xf numFmtId="0" fontId="2" fillId="0" borderId="148" xfId="0" applyFont="1" applyBorder="1" applyAlignment="1">
      <alignment horizontal="left" vertical="center"/>
    </xf>
    <xf numFmtId="0" fontId="2" fillId="0" borderId="123" xfId="0" applyFont="1" applyBorder="1" applyAlignment="1">
      <alignment horizontal="left" vertical="center" shrinkToFit="1"/>
    </xf>
    <xf numFmtId="1" fontId="2" fillId="0" borderId="74" xfId="0" applyNumberFormat="1" applyFont="1" applyBorder="1" applyAlignment="1">
      <alignment horizontal="center" vertical="center" shrinkToFit="1"/>
    </xf>
    <xf numFmtId="0" fontId="2" fillId="0" borderId="149" xfId="0" applyFont="1" applyBorder="1" applyAlignment="1">
      <alignment horizontal="center" vertical="center" shrinkToFit="1"/>
    </xf>
    <xf numFmtId="1" fontId="2" fillId="0" borderId="38" xfId="0" applyNumberFormat="1" applyFont="1" applyBorder="1" applyAlignment="1">
      <alignment horizontal="center" vertical="center" shrinkToFit="1"/>
    </xf>
    <xf numFmtId="0" fontId="2" fillId="0" borderId="150" xfId="0" applyFont="1" applyBorder="1" applyAlignment="1">
      <alignment horizontal="left" vertical="center"/>
    </xf>
    <xf numFmtId="0" fontId="2" fillId="0" borderId="39"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0" xfId="0" applyNumberFormat="1" applyFont="1" applyBorder="1" applyAlignment="1">
      <alignment horizontal="center" vertical="center" shrinkToFit="1"/>
    </xf>
    <xf numFmtId="164" fontId="2" fillId="0" borderId="40" xfId="0" applyNumberFormat="1" applyFont="1" applyBorder="1" applyAlignment="1">
      <alignment horizontal="center" vertical="center" shrinkToFit="1"/>
    </xf>
    <xf numFmtId="0" fontId="2" fillId="0" borderId="151" xfId="0" applyFont="1" applyBorder="1" applyAlignment="1">
      <alignment horizontal="left" vertical="center"/>
    </xf>
    <xf numFmtId="0" fontId="2" fillId="0" borderId="41" xfId="0" applyFont="1" applyBorder="1" applyAlignment="1">
      <alignment horizontal="left" vertical="center" shrinkToFit="1"/>
    </xf>
    <xf numFmtId="1" fontId="2" fillId="0" borderId="46" xfId="0" applyNumberFormat="1" applyFont="1" applyBorder="1" applyAlignment="1">
      <alignment horizontal="center" vertical="center" shrinkToFit="1"/>
    </xf>
    <xf numFmtId="0" fontId="33" fillId="0" borderId="38" xfId="1" applyBorder="1" applyAlignment="1" applyProtection="1">
      <alignment horizontal="left" vertical="center"/>
    </xf>
    <xf numFmtId="165" fontId="2" fillId="0" borderId="0" xfId="0" applyNumberFormat="1" applyFont="1" applyAlignment="1">
      <alignment horizontal="center" vertical="center"/>
    </xf>
    <xf numFmtId="0" fontId="21" fillId="3" borderId="22" xfId="0" applyFont="1" applyFill="1" applyBorder="1" applyAlignment="1">
      <alignment horizontal="center" vertical="center"/>
    </xf>
    <xf numFmtId="9" fontId="21" fillId="3" borderId="21" xfId="2" applyFont="1" applyFill="1" applyBorder="1" applyAlignment="1">
      <alignment horizontal="center" vertical="center"/>
    </xf>
    <xf numFmtId="0" fontId="75" fillId="0" borderId="17" xfId="0" applyFont="1" applyBorder="1" applyAlignment="1">
      <alignment horizontal="center"/>
    </xf>
    <xf numFmtId="0" fontId="75" fillId="0" borderId="152" xfId="0" applyFont="1" applyBorder="1" applyAlignment="1">
      <alignment horizontal="center"/>
    </xf>
    <xf numFmtId="0" fontId="75" fillId="0" borderId="153" xfId="0" applyFont="1" applyBorder="1" applyAlignment="1">
      <alignment horizontal="center"/>
    </xf>
    <xf numFmtId="0" fontId="75" fillId="0" borderId="154" xfId="0" applyFont="1" applyBorder="1" applyAlignment="1">
      <alignment horizontal="center"/>
    </xf>
    <xf numFmtId="0" fontId="0" fillId="8" borderId="122" xfId="0" applyFill="1" applyBorder="1" applyAlignment="1">
      <alignment horizontal="center"/>
    </xf>
    <xf numFmtId="0" fontId="0" fillId="8" borderId="123" xfId="0" applyFill="1" applyBorder="1" applyAlignment="1">
      <alignment horizontal="center"/>
    </xf>
    <xf numFmtId="0" fontId="0" fillId="0" borderId="138" xfId="0" applyBorder="1" applyAlignment="1">
      <alignment horizontal="center"/>
    </xf>
    <xf numFmtId="0" fontId="0" fillId="0" borderId="65" xfId="0" applyBorder="1" applyAlignment="1">
      <alignment horizontal="center"/>
    </xf>
    <xf numFmtId="0" fontId="0" fillId="8" borderId="38" xfId="0" applyFill="1" applyBorder="1" applyAlignment="1">
      <alignment horizontal="center"/>
    </xf>
    <xf numFmtId="0" fontId="0" fillId="8" borderId="39" xfId="0" applyFill="1" applyBorder="1" applyAlignment="1">
      <alignment horizontal="center"/>
    </xf>
    <xf numFmtId="0" fontId="0" fillId="0" borderId="38" xfId="0" applyBorder="1" applyAlignment="1">
      <alignment horizontal="center"/>
    </xf>
    <xf numFmtId="0" fontId="0" fillId="0" borderId="156" xfId="0" applyBorder="1" applyAlignment="1">
      <alignment horizontal="center"/>
    </xf>
    <xf numFmtId="0" fontId="2" fillId="0" borderId="66" xfId="0" applyFont="1" applyBorder="1" applyAlignment="1">
      <alignment horizontal="center"/>
    </xf>
    <xf numFmtId="0" fontId="0" fillId="0" borderId="66"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9" xfId="0" applyFill="1" applyBorder="1" applyAlignment="1">
      <alignment horizontal="center"/>
    </xf>
    <xf numFmtId="0" fontId="74" fillId="0" borderId="0" xfId="0" applyFont="1" applyAlignment="1">
      <alignment horizontal="centerContinuous" vertical="center"/>
    </xf>
    <xf numFmtId="0" fontId="7" fillId="0" borderId="0" xfId="0" applyFont="1" applyFill="1" applyBorder="1" applyAlignment="1">
      <alignment vertical="center"/>
    </xf>
    <xf numFmtId="0" fontId="55" fillId="0" borderId="58" xfId="0" applyFont="1" applyBorder="1" applyAlignment="1">
      <alignment horizontal="centerContinuous" vertical="center"/>
    </xf>
    <xf numFmtId="0" fontId="7" fillId="0" borderId="0" xfId="0" applyFont="1" applyFill="1" applyBorder="1" applyAlignment="1">
      <alignment horizontal="center" vertical="center"/>
    </xf>
    <xf numFmtId="0" fontId="76" fillId="0" borderId="0" xfId="0" applyFont="1" applyAlignment="1">
      <alignment horizontal="centerContinuous" vertical="center"/>
    </xf>
    <xf numFmtId="0" fontId="76" fillId="0" borderId="0" xfId="0" applyFont="1" applyAlignment="1">
      <alignment horizontal="right" vertical="center"/>
    </xf>
    <xf numFmtId="0" fontId="77" fillId="0" borderId="155" xfId="0" applyFont="1" applyBorder="1" applyAlignment="1">
      <alignment horizontal="center"/>
    </xf>
    <xf numFmtId="49" fontId="77" fillId="0" borderId="121" xfId="0" applyNumberFormat="1" applyFont="1" applyBorder="1" applyAlignment="1">
      <alignment horizontal="center"/>
    </xf>
    <xf numFmtId="0" fontId="45" fillId="11" borderId="22" xfId="0" applyFont="1" applyFill="1" applyBorder="1" applyAlignment="1">
      <alignment horizontal="center" vertical="center"/>
    </xf>
    <xf numFmtId="1" fontId="46" fillId="11" borderId="106" xfId="0" applyNumberFormat="1" applyFont="1" applyFill="1" applyBorder="1" applyAlignment="1">
      <alignment horizontal="center" vertical="center"/>
    </xf>
    <xf numFmtId="1" fontId="46" fillId="11" borderId="76" xfId="0" applyNumberFormat="1" applyFont="1" applyFill="1" applyBorder="1" applyAlignment="1">
      <alignment horizontal="center" vertical="center"/>
    </xf>
    <xf numFmtId="1" fontId="46" fillId="11" borderId="83" xfId="0" applyNumberFormat="1" applyFont="1" applyFill="1" applyBorder="1" applyAlignment="1">
      <alignment horizontal="center" vertical="center"/>
    </xf>
    <xf numFmtId="1" fontId="46" fillId="11" borderId="75" xfId="0" applyNumberFormat="1" applyFont="1" applyFill="1" applyBorder="1" applyAlignment="1">
      <alignment horizontal="center" vertical="center"/>
    </xf>
    <xf numFmtId="1" fontId="46" fillId="11" borderId="82" xfId="0" applyNumberFormat="1" applyFont="1" applyFill="1" applyBorder="1" applyAlignment="1">
      <alignment horizontal="center" vertical="center"/>
    </xf>
    <xf numFmtId="0" fontId="6" fillId="8" borderId="1" xfId="0" applyFont="1" applyFill="1" applyBorder="1" applyAlignment="1">
      <alignment horizontal="right" vertical="center"/>
    </xf>
    <xf numFmtId="0" fontId="7" fillId="8" borderId="0" xfId="0" applyFont="1" applyFill="1" applyBorder="1" applyAlignment="1">
      <alignment horizontal="centerContinuous" vertical="center"/>
    </xf>
    <xf numFmtId="0" fontId="6" fillId="8" borderId="0" xfId="0" applyFont="1" applyFill="1" applyBorder="1" applyAlignment="1">
      <alignment horizontal="right" vertical="center"/>
    </xf>
    <xf numFmtId="0" fontId="7" fillId="8" borderId="0" xfId="0" applyFont="1" applyFill="1" applyBorder="1" applyAlignment="1">
      <alignment horizontal="center" vertical="center"/>
    </xf>
    <xf numFmtId="0" fontId="2" fillId="12" borderId="157" xfId="0" applyFont="1" applyFill="1" applyBorder="1" applyAlignment="1">
      <alignment horizontal="center" vertical="center"/>
    </xf>
    <xf numFmtId="0" fontId="2" fillId="12" borderId="105" xfId="0" applyFont="1" applyFill="1" applyBorder="1" applyAlignment="1">
      <alignment horizontal="center" vertical="center"/>
    </xf>
    <xf numFmtId="0" fontId="2" fillId="12" borderId="105" xfId="0" quotePrefix="1" applyFont="1" applyFill="1" applyBorder="1" applyAlignment="1">
      <alignment horizontal="center" vertical="center" wrapText="1"/>
    </xf>
    <xf numFmtId="49" fontId="2" fillId="12" borderId="105" xfId="2" applyNumberFormat="1" applyFont="1" applyFill="1" applyBorder="1" applyAlignment="1">
      <alignment horizontal="center" vertical="center"/>
    </xf>
    <xf numFmtId="0" fontId="2" fillId="12" borderId="105" xfId="0" applyFont="1" applyFill="1" applyBorder="1" applyAlignment="1">
      <alignment horizontal="center" vertical="center" shrinkToFit="1"/>
    </xf>
    <xf numFmtId="164" fontId="2" fillId="12" borderId="105" xfId="0" applyNumberFormat="1" applyFont="1" applyFill="1" applyBorder="1" applyAlignment="1">
      <alignment horizontal="center" vertical="center"/>
    </xf>
    <xf numFmtId="1" fontId="2" fillId="12" borderId="106" xfId="0" applyNumberFormat="1" applyFont="1" applyFill="1" applyBorder="1" applyAlignment="1">
      <alignment horizontal="center" vertical="center"/>
    </xf>
    <xf numFmtId="0" fontId="2" fillId="12" borderId="158" xfId="0" quotePrefix="1" applyFont="1" applyFill="1" applyBorder="1" applyAlignment="1">
      <alignment horizontal="center" vertical="center"/>
    </xf>
    <xf numFmtId="1" fontId="2" fillId="12" borderId="74" xfId="0" applyNumberFormat="1" applyFont="1" applyFill="1" applyBorder="1" applyAlignment="1">
      <alignment horizontal="center" vertical="center"/>
    </xf>
    <xf numFmtId="0" fontId="7" fillId="0" borderId="62" xfId="0" quotePrefix="1" applyFont="1" applyFill="1" applyBorder="1" applyAlignment="1">
      <alignment horizontal="center" vertical="center"/>
    </xf>
    <xf numFmtId="0" fontId="2" fillId="0" borderId="78" xfId="2" applyNumberFormat="1" applyFont="1" applyFill="1" applyBorder="1" applyAlignment="1">
      <alignment horizontal="center" vertical="center"/>
    </xf>
    <xf numFmtId="0" fontId="2" fillId="0" borderId="75" xfId="2" applyNumberFormat="1" applyFont="1" applyFill="1" applyBorder="1" applyAlignment="1">
      <alignment horizontal="center" vertical="center"/>
    </xf>
    <xf numFmtId="0" fontId="2" fillId="0" borderId="82" xfId="2" applyNumberFormat="1" applyFont="1" applyFill="1" applyBorder="1" applyAlignment="1">
      <alignment horizontal="center" vertical="center"/>
    </xf>
    <xf numFmtId="0" fontId="2" fillId="12" borderId="78" xfId="2" applyNumberFormat="1" applyFont="1" applyFill="1" applyBorder="1" applyAlignment="1">
      <alignment horizontal="center" vertical="center"/>
    </xf>
    <xf numFmtId="0" fontId="2" fillId="12" borderId="105" xfId="2" applyNumberFormat="1" applyFont="1" applyFill="1" applyBorder="1" applyAlignment="1">
      <alignment horizontal="center" vertical="center"/>
    </xf>
    <xf numFmtId="0" fontId="2" fillId="0" borderId="82" xfId="0" applyNumberFormat="1" applyFont="1" applyFill="1" applyBorder="1" applyAlignment="1">
      <alignment horizontal="center" vertical="center"/>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6600CC"/>
      <color rgb="FF9966FF"/>
      <color rgb="FF6600FF"/>
      <color rgb="FFCC00FF"/>
      <color rgb="FF0000FF"/>
      <color rgb="FFCCFFCC"/>
      <color rgb="FF009900"/>
      <color rgb="FF00FF99"/>
      <color rgb="FF00FF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91440</xdr:colOff>
      <xdr:row>1</xdr:row>
      <xdr:rowOff>83820</xdr:rowOff>
    </xdr:from>
    <xdr:to>
      <xdr:col>6</xdr:col>
      <xdr:colOff>960120</xdr:colOff>
      <xdr:row>17</xdr:row>
      <xdr:rowOff>203558</xdr:rowOff>
    </xdr:to>
    <xdr:pic>
      <xdr:nvPicPr>
        <xdr:cNvPr id="6" name="Picture 5">
          <a:extLst>
            <a:ext uri="{FF2B5EF4-FFF2-40B4-BE49-F238E27FC236}">
              <a16:creationId xmlns:a16="http://schemas.microsoft.com/office/drawing/2014/main" id="{259A1AF2-55D4-439A-A7C6-486CD4AAC3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5780" y="457200"/>
          <a:ext cx="1912620" cy="3579218"/>
        </a:xfrm>
        <a:prstGeom prst="rect">
          <a:avLst/>
        </a:prstGeom>
        <a:ln w="38100"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60960</xdr:colOff>
      <xdr:row>16</xdr:row>
      <xdr:rowOff>1904</xdr:rowOff>
    </xdr:from>
    <xdr:to>
      <xdr:col>6</xdr:col>
      <xdr:colOff>982980</xdr:colOff>
      <xdr:row>17</xdr:row>
      <xdr:rowOff>243840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05300" y="3613784"/>
          <a:ext cx="1965960" cy="462916"/>
        </a:xfrm>
        <a:prstGeom prst="rect">
          <a:avLst/>
        </a:prstGeom>
        <a:solidFill>
          <a:srgbClr xmlns:mc="http://schemas.openxmlformats.org/markup-compatibility/2006" xmlns:a14="http://schemas.microsoft.com/office/drawing/2010/main" val="CCFFFF" mc:Ignorable="a14" a14:legacySpreadsheetColorIndex="41">
            <a:alpha val="64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r>
            <a:rPr lang="en-US" sz="1200" b="1" i="0" baseline="0">
              <a:effectLst/>
              <a:latin typeface="Times New Roman" panose="02020603050405020304" pitchFamily="18" charset="0"/>
              <a:ea typeface="+mn-ea"/>
              <a:cs typeface="Times New Roman" panose="02020603050405020304" pitchFamily="18" charset="0"/>
            </a:rPr>
            <a:t>Current Effects:</a:t>
          </a:r>
          <a:endParaRPr lang="en-US" sz="1200" b="0" i="1" baseline="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41910</xdr:colOff>
      <xdr:row>18</xdr:row>
      <xdr:rowOff>51434</xdr:rowOff>
    </xdr:from>
    <xdr:to>
      <xdr:col>6</xdr:col>
      <xdr:colOff>1261110</xdr:colOff>
      <xdr:row>40</xdr:row>
      <xdr:rowOff>190499</xdr:rowOff>
    </xdr:to>
    <xdr:sp macro="" textlink="">
      <xdr:nvSpPr>
        <xdr:cNvPr id="5" name="Text 6">
          <a:extLst>
            <a:ext uri="{FF2B5EF4-FFF2-40B4-BE49-F238E27FC236}">
              <a16:creationId xmlns:a16="http://schemas.microsoft.com/office/drawing/2014/main" id="{A1E6F62E-C980-4693-83FE-BA392389D585}"/>
            </a:ext>
          </a:extLst>
        </xdr:cNvPr>
        <xdr:cNvSpPr txBox="1">
          <a:spLocks noChangeArrowheads="1"/>
        </xdr:cNvSpPr>
      </xdr:nvSpPr>
      <xdr:spPr bwMode="auto">
        <a:xfrm>
          <a:off x="41910" y="3762374"/>
          <a:ext cx="6499860" cy="505396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Medium brown skin, green pixie cut hair, blue eyes, curvy, considered tall for a gnome.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Saradette is Tassaran, from Tasseldale, the tassel (or town) of Tasselheart, located in the Dalelands near Sembria. Gnomes are a tiny minority among the mostly human Dalelanders, but they are well respected as craftsmen. Saradette's parents were gemcutters, supplying other craftsman in Tasseldale with superior gemstones for jewelry and magical uses. Her favorite uncle was a inveterate tinkerer, and Saradette became fascinated with his avocation. Her mother, who taught her how to use weapons, pick locks, and other tradecraft, was also an investigator for the Mairshars (local constabulary). Her father taught her about metalcraft and gemcutting.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Her mother became embroiled in a case against the Zhentarim, one of the Dale's bitter enemies. Saradette knew nothing of this until one evening when she and her mother were staying in Tegal's Mark, Tasseldale's administrative center. Her mother awakened her in the dead of night, bid her to dress, and pressed a small linen pouch into her hands. "You must flee," her mother said. "The Zhentarim and some within the Mairshars are conspiring to kill me, your father, and you. I will send for you when it is safe for you to return."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So, Saradette fled, heading away from her home. Along the way, she bought weapons, armor, and other supplies, being careful to not display her wealth. She hasn't dared stay in one place for more than a single night since she left home.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Saradette has the optimism of the young, though it has been tempered with a deep concern for her parents. To the dismay of her family and her fellow Tassarans, Saradette believes strongly in the individual's right to choose their own path over devotion to law and order. A year ago, she became a follower of Mayaheine, as the goddess' message of helping the downtrodden and protecting the helpless appealed to her. Normally of cheerful demeanor and given to light conversation, Saradette has kept to herself in her travels, avoiding conversations and interactions with strangers.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46326E9C-FC6F-41D6-95A9-6FC90734537C}"/>
            </a:ext>
          </a:extLst>
        </xdr:cNvPr>
        <xdr:cNvSpPr>
          <a:spLocks noChangeArrowheads="1"/>
        </xdr:cNvSpPr>
      </xdr:nvSpPr>
      <xdr:spPr bwMode="auto">
        <a:xfrm>
          <a:off x="6713220" y="0"/>
          <a:ext cx="142494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230505</xdr:colOff>
      <xdr:row>1</xdr:row>
      <xdr:rowOff>123825</xdr:rowOff>
    </xdr:from>
    <xdr:to>
      <xdr:col>4</xdr:col>
      <xdr:colOff>116205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amazon.com/ghillie-suit/s?k=ghillie+suit"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abSelected="1" zoomScaleNormal="100" workbookViewId="0"/>
  </sheetViews>
  <sheetFormatPr defaultColWidth="13" defaultRowHeight="15.6"/>
  <cols>
    <col min="1" max="1" width="16.8984375" style="142" bestFit="1" customWidth="1"/>
    <col min="2" max="2" width="10" style="144" customWidth="1"/>
    <col min="3" max="3" width="5.5" style="144" customWidth="1"/>
    <col min="4" max="4" width="13.69921875" style="142" bestFit="1" customWidth="1"/>
    <col min="5" max="5" width="9.59765625" style="144" bestFit="1" customWidth="1"/>
    <col min="6" max="6" width="13.69921875" style="142" customWidth="1"/>
    <col min="7" max="7" width="13.69921875" style="144" customWidth="1"/>
    <col min="8" max="16384" width="13" style="21"/>
  </cols>
  <sheetData>
    <row r="1" spans="1:7" ht="29.4" thickTop="1" thickBot="1">
      <c r="A1" s="147" t="s">
        <v>106</v>
      </c>
      <c r="B1" s="453" t="s">
        <v>292</v>
      </c>
      <c r="C1" s="148"/>
      <c r="D1" s="149"/>
      <c r="E1" s="150"/>
      <c r="F1" s="149"/>
      <c r="G1" s="151" t="s">
        <v>105</v>
      </c>
    </row>
    <row r="2" spans="1:7" ht="17.399999999999999" thickTop="1">
      <c r="A2" s="152" t="s">
        <v>155</v>
      </c>
      <c r="B2" s="153" t="s">
        <v>78</v>
      </c>
      <c r="C2" s="153"/>
      <c r="D2" s="154" t="s">
        <v>156</v>
      </c>
      <c r="E2" s="155" t="s">
        <v>142</v>
      </c>
      <c r="F2" s="156"/>
      <c r="G2" s="157"/>
    </row>
    <row r="3" spans="1:7" ht="16.8">
      <c r="A3" s="152" t="s">
        <v>157</v>
      </c>
      <c r="B3" s="153" t="s">
        <v>115</v>
      </c>
      <c r="C3" s="153"/>
      <c r="D3" s="154" t="s">
        <v>79</v>
      </c>
      <c r="E3" s="155">
        <v>4</v>
      </c>
      <c r="F3" s="154"/>
      <c r="G3" s="157"/>
    </row>
    <row r="4" spans="1:7" ht="16.8">
      <c r="A4" s="152" t="s">
        <v>157</v>
      </c>
      <c r="B4" s="153" t="s">
        <v>199</v>
      </c>
      <c r="C4" s="153"/>
      <c r="D4" s="154" t="s">
        <v>79</v>
      </c>
      <c r="E4" s="155">
        <v>1</v>
      </c>
      <c r="F4" s="154"/>
      <c r="G4" s="157"/>
    </row>
    <row r="5" spans="1:7" ht="16.8">
      <c r="A5" s="535" t="s">
        <v>157</v>
      </c>
      <c r="B5" s="536" t="s">
        <v>154</v>
      </c>
      <c r="C5" s="536"/>
      <c r="D5" s="537" t="s">
        <v>79</v>
      </c>
      <c r="E5" s="538">
        <v>0</v>
      </c>
      <c r="F5" s="154"/>
      <c r="G5" s="157"/>
    </row>
    <row r="6" spans="1:7" ht="16.8">
      <c r="A6" s="152" t="s">
        <v>158</v>
      </c>
      <c r="B6" s="153" t="s">
        <v>110</v>
      </c>
      <c r="C6" s="153"/>
      <c r="D6" s="154" t="s">
        <v>159</v>
      </c>
      <c r="E6" s="155" t="s">
        <v>108</v>
      </c>
      <c r="F6" s="154"/>
      <c r="G6" s="157"/>
    </row>
    <row r="7" spans="1:7" ht="16.8">
      <c r="A7" s="152" t="s">
        <v>160</v>
      </c>
      <c r="B7" s="153">
        <v>43</v>
      </c>
      <c r="C7" s="153"/>
      <c r="D7" s="154" t="s">
        <v>161</v>
      </c>
      <c r="E7" s="155" t="s">
        <v>109</v>
      </c>
      <c r="F7" s="154"/>
      <c r="G7" s="157"/>
    </row>
    <row r="8" spans="1:7" ht="16.8">
      <c r="A8" s="152" t="s">
        <v>162</v>
      </c>
      <c r="B8" s="153" t="s">
        <v>112</v>
      </c>
      <c r="C8" s="153"/>
      <c r="D8" s="154" t="s">
        <v>163</v>
      </c>
      <c r="E8" s="155" t="s">
        <v>107</v>
      </c>
      <c r="F8" s="154"/>
      <c r="G8" s="157"/>
    </row>
    <row r="9" spans="1:7" ht="17.399999999999999" thickBot="1">
      <c r="A9" s="152" t="s">
        <v>164</v>
      </c>
      <c r="B9" s="153" t="s">
        <v>111</v>
      </c>
      <c r="C9" s="153"/>
      <c r="D9" s="154"/>
      <c r="E9" s="155"/>
      <c r="F9" s="154"/>
      <c r="G9" s="157"/>
    </row>
    <row r="10" spans="1:7" ht="17.399999999999999" thickTop="1">
      <c r="A10" s="158" t="s">
        <v>165</v>
      </c>
      <c r="B10" s="475">
        <f>3+0+0</f>
        <v>3</v>
      </c>
      <c r="C10" s="476"/>
      <c r="D10" s="159" t="s">
        <v>67</v>
      </c>
      <c r="E10" s="160" t="s">
        <v>189</v>
      </c>
      <c r="F10" s="161"/>
      <c r="G10" s="157"/>
    </row>
    <row r="11" spans="1:7" ht="17.399999999999999" thickBot="1">
      <c r="A11" s="162" t="s">
        <v>166</v>
      </c>
      <c r="B11" s="163" t="str">
        <f>C13</f>
        <v>+3</v>
      </c>
      <c r="C11" s="164"/>
      <c r="D11" s="266" t="s">
        <v>167</v>
      </c>
      <c r="E11" s="354">
        <f>9999+4600</f>
        <v>14599</v>
      </c>
      <c r="F11" s="161"/>
      <c r="G11" s="157"/>
    </row>
    <row r="12" spans="1:7" ht="17.399999999999999" thickTop="1">
      <c r="A12" s="165" t="s">
        <v>168</v>
      </c>
      <c r="B12" s="281">
        <f>8+2</f>
        <v>10</v>
      </c>
      <c r="C12" s="166" t="str">
        <f>IF(B12&gt;9.9,CONCATENATE("+",ROUNDDOWN((B12-10)/2,0)),ROUNDUP((B12-10)/2,0))</f>
        <v>+0</v>
      </c>
      <c r="D12" s="167" t="s">
        <v>169</v>
      </c>
      <c r="E12" s="220" t="s">
        <v>143</v>
      </c>
      <c r="F12" s="161"/>
      <c r="G12" s="157"/>
    </row>
    <row r="13" spans="1:7" ht="16.8">
      <c r="A13" s="168" t="s">
        <v>170</v>
      </c>
      <c r="B13" s="219">
        <v>16</v>
      </c>
      <c r="C13" s="169" t="str">
        <f t="shared" ref="C13:C17" si="0">IF(B13&gt;9.9,CONCATENATE("+",ROUNDDOWN((B13-10)/2,0)),ROUNDUP((B13-10)/2,0))</f>
        <v>+3</v>
      </c>
      <c r="D13" s="170" t="s">
        <v>171</v>
      </c>
      <c r="E13" s="171">
        <f>SUM(Martial!G6:G21)+SUM(Equipment!C3:C23)</f>
        <v>42.317499999999995</v>
      </c>
      <c r="F13" s="161"/>
      <c r="G13" s="157"/>
    </row>
    <row r="14" spans="1:7" ht="16.8">
      <c r="A14" s="172" t="s">
        <v>172</v>
      </c>
      <c r="B14" s="219">
        <v>13</v>
      </c>
      <c r="C14" s="174" t="str">
        <f t="shared" si="0"/>
        <v>+1</v>
      </c>
      <c r="D14" s="170" t="s">
        <v>173</v>
      </c>
      <c r="E14" s="175">
        <f>ROUNDUP(((E3*6)*0.75)+((E4*4)*0.75)+((E5*0)*0.75)+((E3+E5)*C14),0)</f>
        <v>25</v>
      </c>
      <c r="F14" s="161"/>
      <c r="G14" s="157"/>
    </row>
    <row r="15" spans="1:7" ht="16.8">
      <c r="A15" s="176" t="s">
        <v>174</v>
      </c>
      <c r="B15" s="219">
        <v>15</v>
      </c>
      <c r="C15" s="169" t="str">
        <f t="shared" si="0"/>
        <v>+2</v>
      </c>
      <c r="D15" s="177" t="s">
        <v>175</v>
      </c>
      <c r="E15" s="279">
        <f>11+C13</f>
        <v>14</v>
      </c>
      <c r="F15" s="234"/>
      <c r="G15" s="157"/>
    </row>
    <row r="16" spans="1:7" ht="16.8">
      <c r="A16" s="178" t="s">
        <v>176</v>
      </c>
      <c r="B16" s="173">
        <v>10</v>
      </c>
      <c r="C16" s="169" t="str">
        <f t="shared" si="0"/>
        <v>+0</v>
      </c>
      <c r="D16" s="177" t="s">
        <v>177</v>
      </c>
      <c r="E16" s="279">
        <f>E17-C13</f>
        <v>15</v>
      </c>
      <c r="F16" s="234"/>
      <c r="G16" s="157"/>
    </row>
    <row r="17" spans="1:7" ht="17.399999999999999" thickBot="1">
      <c r="A17" s="179" t="s">
        <v>178</v>
      </c>
      <c r="B17" s="180">
        <v>10</v>
      </c>
      <c r="C17" s="181" t="str">
        <f t="shared" si="0"/>
        <v>+0</v>
      </c>
      <c r="D17" s="182" t="s">
        <v>179</v>
      </c>
      <c r="E17" s="280">
        <f>E15+SUM(Martial!B15:B17)</f>
        <v>18</v>
      </c>
      <c r="F17" s="234"/>
      <c r="G17" s="157"/>
    </row>
    <row r="18" spans="1:7" s="5" customFormat="1" ht="24" thickTop="1" thickBot="1">
      <c r="A18" s="282" t="s">
        <v>113</v>
      </c>
      <c r="B18" s="283"/>
      <c r="C18" s="283"/>
      <c r="D18" s="284"/>
      <c r="E18" s="284"/>
      <c r="F18" s="284"/>
      <c r="G18" s="285"/>
    </row>
    <row r="19" spans="1:7" s="5" customFormat="1" ht="17.399999999999999" thickTop="1">
      <c r="A19" s="183"/>
      <c r="B19" s="184"/>
      <c r="C19" s="184"/>
      <c r="D19" s="184"/>
      <c r="E19" s="184"/>
      <c r="F19" s="184"/>
      <c r="G19" s="185"/>
    </row>
    <row r="20" spans="1:7" s="5" customFormat="1" ht="16.8">
      <c r="A20" s="186"/>
      <c r="B20" s="286"/>
      <c r="C20" s="286"/>
      <c r="D20" s="286"/>
      <c r="E20" s="286"/>
      <c r="F20" s="286"/>
      <c r="G20" s="187"/>
    </row>
    <row r="21" spans="1:7" s="5" customFormat="1" ht="16.8">
      <c r="A21" s="186"/>
      <c r="B21" s="286"/>
      <c r="C21" s="286"/>
      <c r="D21" s="286"/>
      <c r="E21" s="286"/>
      <c r="F21" s="286"/>
      <c r="G21" s="187"/>
    </row>
    <row r="22" spans="1:7" s="5" customFormat="1" ht="16.8">
      <c r="A22" s="186"/>
      <c r="B22" s="286"/>
      <c r="C22" s="286"/>
      <c r="D22" s="286"/>
      <c r="E22" s="286"/>
      <c r="F22" s="286"/>
      <c r="G22" s="187"/>
    </row>
    <row r="23" spans="1:7" s="5" customFormat="1" ht="16.8">
      <c r="A23" s="186"/>
      <c r="B23" s="286"/>
      <c r="C23" s="286"/>
      <c r="D23" s="286"/>
      <c r="E23" s="286"/>
      <c r="F23" s="286"/>
      <c r="G23" s="187"/>
    </row>
    <row r="24" spans="1:7" ht="16.8">
      <c r="A24" s="186"/>
      <c r="B24" s="286"/>
      <c r="C24" s="286"/>
      <c r="D24" s="286"/>
      <c r="E24" s="286"/>
      <c r="F24" s="286"/>
      <c r="G24" s="187"/>
    </row>
    <row r="25" spans="1:7" ht="16.8">
      <c r="A25" s="186"/>
      <c r="B25" s="286"/>
      <c r="C25" s="286"/>
      <c r="D25" s="286"/>
      <c r="E25" s="286"/>
      <c r="F25" s="286"/>
      <c r="G25" s="187"/>
    </row>
    <row r="26" spans="1:7" ht="16.8">
      <c r="A26" s="186"/>
      <c r="B26" s="286"/>
      <c r="C26" s="286"/>
      <c r="D26" s="286"/>
      <c r="E26" s="286"/>
      <c r="F26" s="286"/>
      <c r="G26" s="187"/>
    </row>
    <row r="27" spans="1:7" ht="16.8">
      <c r="A27" s="186"/>
      <c r="B27" s="286"/>
      <c r="C27" s="286"/>
      <c r="D27" s="286"/>
      <c r="E27" s="286"/>
      <c r="F27" s="286"/>
      <c r="G27" s="187"/>
    </row>
    <row r="28" spans="1:7" ht="16.8">
      <c r="A28" s="186"/>
      <c r="B28" s="286"/>
      <c r="C28" s="286"/>
      <c r="D28" s="286"/>
      <c r="E28" s="286"/>
      <c r="F28" s="286"/>
      <c r="G28" s="187"/>
    </row>
    <row r="29" spans="1:7" ht="16.8">
      <c r="A29" s="186"/>
      <c r="B29" s="286"/>
      <c r="C29" s="286"/>
      <c r="D29" s="286"/>
      <c r="E29" s="286"/>
      <c r="F29" s="286"/>
      <c r="G29" s="187"/>
    </row>
    <row r="30" spans="1:7" ht="16.8">
      <c r="A30" s="186"/>
      <c r="B30" s="286"/>
      <c r="C30" s="286"/>
      <c r="D30" s="286"/>
      <c r="E30" s="286"/>
      <c r="F30" s="286"/>
      <c r="G30" s="187"/>
    </row>
    <row r="31" spans="1:7" ht="16.8">
      <c r="A31" s="186"/>
      <c r="B31" s="286"/>
      <c r="C31" s="286"/>
      <c r="D31" s="286"/>
      <c r="E31" s="286"/>
      <c r="F31" s="286"/>
      <c r="G31" s="187"/>
    </row>
    <row r="32" spans="1:7" ht="16.8">
      <c r="A32" s="186"/>
      <c r="B32" s="286"/>
      <c r="C32" s="286"/>
      <c r="D32" s="286"/>
      <c r="E32" s="286"/>
      <c r="F32" s="286"/>
      <c r="G32" s="187"/>
    </row>
    <row r="33" spans="1:7" ht="16.8">
      <c r="A33" s="186"/>
      <c r="B33" s="286"/>
      <c r="C33" s="286"/>
      <c r="D33" s="286"/>
      <c r="E33" s="286"/>
      <c r="F33" s="286"/>
      <c r="G33" s="187"/>
    </row>
    <row r="34" spans="1:7" ht="16.8">
      <c r="A34" s="186"/>
      <c r="B34" s="286"/>
      <c r="C34" s="286"/>
      <c r="D34" s="286"/>
      <c r="E34" s="286"/>
      <c r="F34" s="286"/>
      <c r="G34" s="187"/>
    </row>
    <row r="35" spans="1:7" ht="16.8">
      <c r="A35" s="186"/>
      <c r="B35" s="286"/>
      <c r="C35" s="286"/>
      <c r="D35" s="286"/>
      <c r="E35" s="286"/>
      <c r="F35" s="286"/>
      <c r="G35" s="187"/>
    </row>
    <row r="36" spans="1:7" ht="16.8">
      <c r="A36" s="186"/>
      <c r="B36" s="286"/>
      <c r="C36" s="286"/>
      <c r="D36" s="286"/>
      <c r="E36" s="286"/>
      <c r="F36" s="286"/>
      <c r="G36" s="187"/>
    </row>
    <row r="37" spans="1:7" ht="16.8">
      <c r="A37" s="186"/>
      <c r="B37" s="286"/>
      <c r="C37" s="286"/>
      <c r="D37" s="286"/>
      <c r="E37" s="286"/>
      <c r="F37" s="286"/>
      <c r="G37" s="187"/>
    </row>
    <row r="38" spans="1:7" ht="16.8">
      <c r="A38" s="186"/>
      <c r="B38" s="286"/>
      <c r="C38" s="286"/>
      <c r="D38" s="286"/>
      <c r="E38" s="286"/>
      <c r="F38" s="286"/>
      <c r="G38" s="187"/>
    </row>
    <row r="39" spans="1:7" ht="16.8">
      <c r="A39" s="186"/>
      <c r="B39" s="286"/>
      <c r="C39" s="286"/>
      <c r="D39" s="286"/>
      <c r="E39" s="286"/>
      <c r="F39" s="286"/>
      <c r="G39" s="187"/>
    </row>
    <row r="40" spans="1:7" ht="16.8">
      <c r="A40" s="186"/>
      <c r="B40" s="286"/>
      <c r="C40" s="286"/>
      <c r="D40" s="286"/>
      <c r="E40" s="286"/>
      <c r="F40" s="286"/>
      <c r="G40" s="187"/>
    </row>
    <row r="41" spans="1:7" ht="17.399999999999999" thickBot="1">
      <c r="A41" s="188"/>
      <c r="B41" s="189"/>
      <c r="C41" s="189"/>
      <c r="D41" s="189"/>
      <c r="E41" s="189"/>
      <c r="F41" s="189"/>
      <c r="G41" s="190"/>
    </row>
    <row r="42" spans="1:7" ht="16.2" thickTop="1">
      <c r="A42" s="287"/>
      <c r="B42" s="288"/>
      <c r="C42" s="288"/>
      <c r="D42" s="287"/>
      <c r="E42" s="288"/>
      <c r="F42" s="287"/>
      <c r="G42" s="288"/>
    </row>
  </sheetData>
  <phoneticPr fontId="0" type="noConversion"/>
  <conditionalFormatting sqref="E13">
    <cfRule type="cellIs" dxfId="12" priority="1" stopIfTrue="1" operator="greaterThan">
      <formula>50</formula>
    </cfRule>
    <cfRule type="cellIs" dxfId="11" priority="2" stopIfTrue="1" operator="between">
      <formula>25</formula>
      <formula>50</formula>
    </cfRule>
  </conditionalFormatting>
  <hyperlinks>
    <hyperlink ref="G1" r:id="rId1" xr:uid="{F88A9D46-7E58-4EC8-80C0-E2FAC845C3DB}"/>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cols>
    <col min="1" max="1" width="29.59765625" style="142" bestFit="1" customWidth="1"/>
    <col min="2" max="2" width="5.8984375" style="142" bestFit="1" customWidth="1"/>
    <col min="3" max="3" width="7.59765625" style="144" hidden="1" customWidth="1"/>
    <col min="4" max="4" width="7.19921875" style="144" hidden="1" customWidth="1"/>
    <col min="5" max="5" width="9.19921875" style="144" bestFit="1" customWidth="1"/>
    <col min="6" max="6" width="7.3984375" style="144" customWidth="1"/>
    <col min="7" max="7" width="6" style="145" bestFit="1" customWidth="1"/>
    <col min="8" max="8" width="5.19921875" style="145" bestFit="1" customWidth="1"/>
    <col min="9" max="9" width="7.5" style="145" customWidth="1"/>
    <col min="10" max="10" width="26.59765625" style="142" customWidth="1"/>
    <col min="11" max="16384" width="13" style="21"/>
  </cols>
  <sheetData>
    <row r="1" spans="1:10" ht="23.4" thickBot="1">
      <c r="A1" s="89" t="s">
        <v>6</v>
      </c>
      <c r="B1" s="90"/>
      <c r="C1" s="90"/>
      <c r="D1" s="90"/>
      <c r="E1" s="90"/>
      <c r="F1" s="90"/>
      <c r="G1" s="91"/>
      <c r="H1" s="91"/>
      <c r="I1" s="91"/>
      <c r="J1" s="90"/>
    </row>
    <row r="2" spans="1:10" s="5" customFormat="1" ht="34.200000000000003" thickBot="1">
      <c r="A2" s="1" t="s">
        <v>82</v>
      </c>
      <c r="B2" s="2" t="s">
        <v>20</v>
      </c>
      <c r="C2" s="2" t="s">
        <v>27</v>
      </c>
      <c r="D2" s="2" t="s">
        <v>19</v>
      </c>
      <c r="E2" s="3" t="s">
        <v>52</v>
      </c>
      <c r="F2" s="3" t="s">
        <v>28</v>
      </c>
      <c r="G2" s="315" t="s">
        <v>54</v>
      </c>
      <c r="H2" s="350" t="s">
        <v>75</v>
      </c>
      <c r="I2" s="315" t="s">
        <v>65</v>
      </c>
      <c r="J2" s="4" t="s">
        <v>63</v>
      </c>
    </row>
    <row r="3" spans="1:10" s="5" customFormat="1" ht="16.8">
      <c r="A3" s="212" t="s">
        <v>98</v>
      </c>
      <c r="B3" s="213">
        <f>1+0+0</f>
        <v>1</v>
      </c>
      <c r="C3" s="87" t="s">
        <v>22</v>
      </c>
      <c r="D3" s="87" t="str">
        <f>IF(C3="Str",'Personal File'!$C$12,IF(C3="Dex",'Personal File'!$C$13,IF(C3="Con",'Personal File'!$C$14,IF(C3="Int",'Personal File'!$C$15,IF(C3="Wis",'Personal File'!$C$16,IF(C3="Cha",'Personal File'!$C$17))))))</f>
        <v>+1</v>
      </c>
      <c r="E3" s="215" t="str">
        <f t="shared" ref="E3" si="0">CONCATENATE(C3," (",D3,")")</f>
        <v>Con (+1)</v>
      </c>
      <c r="F3" s="87">
        <v>3</v>
      </c>
      <c r="G3" s="316">
        <f t="shared" ref="G3:G4" si="1">B3+D3+F3</f>
        <v>5</v>
      </c>
      <c r="H3" s="334">
        <f t="shared" ref="H3:H45" ca="1" si="2">RANDBETWEEN(1,20)</f>
        <v>11</v>
      </c>
      <c r="I3" s="191">
        <f t="shared" ref="I3:I4" ca="1" si="3">SUM(G3:H3)</f>
        <v>16</v>
      </c>
      <c r="J3" s="235"/>
    </row>
    <row r="4" spans="1:10" s="5" customFormat="1" ht="16.8">
      <c r="A4" s="214" t="s">
        <v>99</v>
      </c>
      <c r="B4" s="213">
        <f>4+0+2</f>
        <v>6</v>
      </c>
      <c r="C4" s="87" t="s">
        <v>25</v>
      </c>
      <c r="D4" s="87" t="str">
        <f>IF(C4="Str",'Personal File'!$C$12,IF(C4="Dex",'Personal File'!$C$13,IF(C4="Con",'Personal File'!$C$14,IF(C4="Int",'Personal File'!$C$15,IF(C4="Wis",'Personal File'!$C$16,IF(C4="Cha",'Personal File'!$C$17))))))</f>
        <v>+3</v>
      </c>
      <c r="E4" s="92" t="str">
        <f t="shared" ref="E4" si="4">CONCATENATE(C4," (",D4,")")</f>
        <v>Dex (+3)</v>
      </c>
      <c r="F4" s="109">
        <v>3</v>
      </c>
      <c r="G4" s="316">
        <f t="shared" si="1"/>
        <v>12</v>
      </c>
      <c r="H4" s="334">
        <f t="shared" ca="1" si="2"/>
        <v>12</v>
      </c>
      <c r="I4" s="191">
        <f t="shared" ca="1" si="3"/>
        <v>24</v>
      </c>
      <c r="J4" s="141"/>
    </row>
    <row r="5" spans="1:10" s="5" customFormat="1" ht="16.8">
      <c r="A5" s="93" t="s">
        <v>56</v>
      </c>
      <c r="B5" s="94">
        <f>1+2+0</f>
        <v>3</v>
      </c>
      <c r="C5" s="95" t="s">
        <v>24</v>
      </c>
      <c r="D5" s="95" t="str">
        <f>IF(C5="Str",'Personal File'!$C$12,IF(C5="Dex",'Personal File'!$C$13,IF(C5="Con",'Personal File'!$C$14,IF(C5="Int",'Personal File'!$C$15,IF(C5="Wis",'Personal File'!$C$16,IF(C5="Cha",'Personal File'!$C$17))))))</f>
        <v>+0</v>
      </c>
      <c r="E5" s="317" t="str">
        <f t="shared" ref="E5:E6" si="5">CONCATENATE(C5," (",D5,")")</f>
        <v>Wis (+0)</v>
      </c>
      <c r="F5" s="95">
        <v>3</v>
      </c>
      <c r="G5" s="318">
        <f t="shared" ref="G5:G46" si="6">B5+D5+F5</f>
        <v>6</v>
      </c>
      <c r="H5" s="335">
        <f t="shared" ca="1" si="2"/>
        <v>1</v>
      </c>
      <c r="I5" s="319">
        <f t="shared" ref="I5" ca="1" si="7">SUM(G5:H5)</f>
        <v>7</v>
      </c>
      <c r="J5" s="548" t="s">
        <v>293</v>
      </c>
    </row>
    <row r="6" spans="1:10" s="103" customFormat="1" ht="16.8">
      <c r="A6" s="117" t="s">
        <v>29</v>
      </c>
      <c r="B6" s="88">
        <v>0</v>
      </c>
      <c r="C6" s="118" t="s">
        <v>23</v>
      </c>
      <c r="D6" s="119" t="str">
        <f>IF(C6="Str",'Personal File'!$C$12,IF(C6="Dex",'Personal File'!$C$13,IF(C6="Con",'Personal File'!$C$14,IF(C6="Int",'Personal File'!$C$15,IF(C6="Wis",'Personal File'!$C$16,IF(C6="Cha",'Personal File'!$C$17))))))</f>
        <v>+2</v>
      </c>
      <c r="E6" s="120" t="str">
        <f t="shared" si="5"/>
        <v>Int (+2)</v>
      </c>
      <c r="F6" s="109" t="s">
        <v>53</v>
      </c>
      <c r="G6" s="109">
        <f t="shared" si="6"/>
        <v>2</v>
      </c>
      <c r="H6" s="336">
        <f t="shared" ca="1" si="2"/>
        <v>20</v>
      </c>
      <c r="I6" s="109">
        <f ca="1">SUM(G6:H6)</f>
        <v>22</v>
      </c>
      <c r="J6" s="141"/>
    </row>
    <row r="7" spans="1:10" s="104" customFormat="1" ht="16.8">
      <c r="A7" s="230" t="s">
        <v>30</v>
      </c>
      <c r="B7" s="97">
        <v>4</v>
      </c>
      <c r="C7" s="231" t="s">
        <v>25</v>
      </c>
      <c r="D7" s="232" t="str">
        <f>IF(C7="Str",'Personal File'!$C$12,IF(C7="Dex",'Personal File'!$C$13,IF(C7="Con",'Personal File'!$C$14,IF(C7="Int",'Personal File'!$C$15,IF(C7="Wis",'Personal File'!$C$16,IF(C7="Cha",'Personal File'!$C$17))))))</f>
        <v>+3</v>
      </c>
      <c r="E7" s="233" t="str">
        <f t="shared" ref="E7:E46" si="8">CONCATENATE(C7," (",D7,")")</f>
        <v>Dex (+3)</v>
      </c>
      <c r="F7" s="101" t="s">
        <v>53</v>
      </c>
      <c r="G7" s="101">
        <f t="shared" si="6"/>
        <v>7</v>
      </c>
      <c r="H7" s="334">
        <f t="shared" ca="1" si="2"/>
        <v>20</v>
      </c>
      <c r="I7" s="101">
        <f t="shared" ref="I7" ca="1" si="9">SUM(G7:H7)</f>
        <v>27</v>
      </c>
      <c r="J7" s="140"/>
    </row>
    <row r="8" spans="1:10" s="111" customFormat="1" ht="16.8">
      <c r="A8" s="105" t="s">
        <v>31</v>
      </c>
      <c r="B8" s="88">
        <v>0</v>
      </c>
      <c r="C8" s="106" t="s">
        <v>21</v>
      </c>
      <c r="D8" s="107" t="str">
        <f>IF(C8="Str",'Personal File'!$C$12,IF(C8="Dex",'Personal File'!$C$13,IF(C8="Con",'Personal File'!$C$14,IF(C8="Int",'Personal File'!$C$15,IF(C8="Wis",'Personal File'!$C$16,IF(C8="Cha",'Personal File'!$C$17))))))</f>
        <v>+0</v>
      </c>
      <c r="E8" s="108" t="str">
        <f t="shared" si="8"/>
        <v>Cha (+0)</v>
      </c>
      <c r="F8" s="109" t="s">
        <v>53</v>
      </c>
      <c r="G8" s="109">
        <f t="shared" si="6"/>
        <v>0</v>
      </c>
      <c r="H8" s="334">
        <f t="shared" ca="1" si="2"/>
        <v>3</v>
      </c>
      <c r="I8" s="109">
        <f t="shared" ref="I8:I46" ca="1" si="10">SUM(G8:H8)</f>
        <v>3</v>
      </c>
      <c r="J8" s="141"/>
    </row>
    <row r="9" spans="1:10" s="112" customFormat="1" ht="16.8">
      <c r="A9" s="303" t="s">
        <v>32</v>
      </c>
      <c r="B9" s="97">
        <v>6</v>
      </c>
      <c r="C9" s="304" t="s">
        <v>26</v>
      </c>
      <c r="D9" s="305" t="str">
        <f>IF(C9="Str",'Personal File'!$C$12,IF(C9="Dex",'Personal File'!$C$13,IF(C9="Con",'Personal File'!$C$14,IF(C9="Int",'Personal File'!$C$15,IF(C9="Wis",'Personal File'!$C$16,IF(C9="Cha",'Personal File'!$C$17))))))</f>
        <v>+0</v>
      </c>
      <c r="E9" s="306" t="str">
        <f t="shared" si="8"/>
        <v>Str (+0)</v>
      </c>
      <c r="F9" s="101" t="s">
        <v>53</v>
      </c>
      <c r="G9" s="101">
        <f t="shared" si="6"/>
        <v>6</v>
      </c>
      <c r="H9" s="334">
        <f t="shared" ca="1" si="2"/>
        <v>14</v>
      </c>
      <c r="I9" s="101">
        <f t="shared" ca="1" si="10"/>
        <v>20</v>
      </c>
      <c r="J9" s="140"/>
    </row>
    <row r="10" spans="1:10" s="112" customFormat="1" ht="16.8">
      <c r="A10" s="309" t="s">
        <v>7</v>
      </c>
      <c r="B10" s="88">
        <v>0</v>
      </c>
      <c r="C10" s="310" t="s">
        <v>22</v>
      </c>
      <c r="D10" s="311" t="str">
        <f>IF(C10="Str",'Personal File'!$C$12,IF(C10="Dex",'Personal File'!$C$13,IF(C10="Con",'Personal File'!$C$14,IF(C10="Int",'Personal File'!$C$15,IF(C10="Wis",'Personal File'!$C$16,IF(C10="Cha",'Personal File'!$C$17))))))</f>
        <v>+1</v>
      </c>
      <c r="E10" s="215" t="str">
        <f t="shared" si="8"/>
        <v>Con (+1)</v>
      </c>
      <c r="F10" s="109" t="s">
        <v>53</v>
      </c>
      <c r="G10" s="109">
        <f t="shared" si="6"/>
        <v>1</v>
      </c>
      <c r="H10" s="334">
        <f t="shared" ca="1" si="2"/>
        <v>19</v>
      </c>
      <c r="I10" s="109">
        <f t="shared" ca="1" si="10"/>
        <v>20</v>
      </c>
      <c r="J10" s="141"/>
    </row>
    <row r="11" spans="1:10" s="103" customFormat="1" ht="16.8">
      <c r="A11" s="96" t="s">
        <v>295</v>
      </c>
      <c r="B11" s="97">
        <v>3</v>
      </c>
      <c r="C11" s="98" t="s">
        <v>23</v>
      </c>
      <c r="D11" s="99" t="str">
        <f>IF(C11="Str",'Personal File'!$C$12,IF(C11="Dex",'Personal File'!$C$13,IF(C11="Con",'Personal File'!$C$14,IF(C11="Int",'Personal File'!$C$15,IF(C11="Wis",'Personal File'!$C$16,IF(C11="Cha",'Personal File'!$C$17))))))</f>
        <v>+2</v>
      </c>
      <c r="E11" s="100" t="str">
        <f t="shared" si="8"/>
        <v>Int (+2)</v>
      </c>
      <c r="F11" s="101" t="s">
        <v>53</v>
      </c>
      <c r="G11" s="101">
        <f t="shared" si="6"/>
        <v>5</v>
      </c>
      <c r="H11" s="334">
        <f t="shared" ca="1" si="2"/>
        <v>7</v>
      </c>
      <c r="I11" s="307">
        <f t="shared" ca="1" si="10"/>
        <v>12</v>
      </c>
      <c r="J11" s="308"/>
    </row>
    <row r="12" spans="1:10" s="103" customFormat="1" ht="16.8">
      <c r="A12" s="96" t="s">
        <v>296</v>
      </c>
      <c r="B12" s="97">
        <v>4</v>
      </c>
      <c r="C12" s="98" t="s">
        <v>23</v>
      </c>
      <c r="D12" s="99" t="str">
        <f>IF(C12="Str",'Personal File'!$C$12,IF(C12="Dex",'Personal File'!$C$13,IF(C12="Con",'Personal File'!$C$14,IF(C12="Int",'Personal File'!$C$15,IF(C12="Wis",'Personal File'!$C$16,IF(C12="Cha",'Personal File'!$C$17))))))</f>
        <v>+2</v>
      </c>
      <c r="E12" s="100" t="str">
        <f t="shared" ref="E12:E14" si="11">CONCATENATE(C12," (",D12,")")</f>
        <v>Int (+2)</v>
      </c>
      <c r="F12" s="101" t="s">
        <v>53</v>
      </c>
      <c r="G12" s="101">
        <f t="shared" ref="G12:G14" si="12">B12+D12+F12</f>
        <v>6</v>
      </c>
      <c r="H12" s="334">
        <f t="shared" ca="1" si="2"/>
        <v>1</v>
      </c>
      <c r="I12" s="307">
        <f t="shared" ref="I12:I14" ca="1" si="13">SUM(G12:H12)</f>
        <v>7</v>
      </c>
      <c r="J12" s="308"/>
    </row>
    <row r="13" spans="1:10" s="103" customFormat="1" ht="16.8">
      <c r="A13" s="96" t="s">
        <v>317</v>
      </c>
      <c r="B13" s="97">
        <v>4</v>
      </c>
      <c r="C13" s="98" t="s">
        <v>23</v>
      </c>
      <c r="D13" s="99" t="str">
        <f>IF(C13="Str",'Personal File'!$C$12,IF(C13="Dex",'Personal File'!$C$13,IF(C13="Con",'Personal File'!$C$14,IF(C13="Int",'Personal File'!$C$15,IF(C13="Wis",'Personal File'!$C$16,IF(C13="Cha",'Personal File'!$C$17))))))</f>
        <v>+2</v>
      </c>
      <c r="E13" s="100" t="str">
        <f t="shared" ref="E13" si="14">CONCATENATE(C13," (",D13,")")</f>
        <v>Int (+2)</v>
      </c>
      <c r="F13" s="101" t="s">
        <v>53</v>
      </c>
      <c r="G13" s="101">
        <f t="shared" ref="G13" si="15">B13+D13+F13</f>
        <v>6</v>
      </c>
      <c r="H13" s="334">
        <f t="shared" ca="1" si="2"/>
        <v>9</v>
      </c>
      <c r="I13" s="307">
        <f t="shared" ref="I13" ca="1" si="16">SUM(G13:H13)</f>
        <v>15</v>
      </c>
      <c r="J13" s="308"/>
    </row>
    <row r="14" spans="1:10" s="103" customFormat="1" ht="16.8">
      <c r="A14" s="96" t="s">
        <v>141</v>
      </c>
      <c r="B14" s="97">
        <v>8</v>
      </c>
      <c r="C14" s="98" t="s">
        <v>23</v>
      </c>
      <c r="D14" s="99" t="str">
        <f>IF(C14="Str",'Personal File'!$C$12,IF(C14="Dex",'Personal File'!$C$13,IF(C14="Con",'Personal File'!$C$14,IF(C14="Int",'Personal File'!$C$15,IF(C14="Wis",'Personal File'!$C$16,IF(C14="Cha",'Personal File'!$C$17))))))</f>
        <v>+2</v>
      </c>
      <c r="E14" s="100" t="str">
        <f t="shared" si="11"/>
        <v>Int (+2)</v>
      </c>
      <c r="F14" s="101" t="s">
        <v>53</v>
      </c>
      <c r="G14" s="101">
        <f t="shared" si="12"/>
        <v>10</v>
      </c>
      <c r="H14" s="334">
        <f t="shared" ca="1" si="2"/>
        <v>3</v>
      </c>
      <c r="I14" s="307">
        <f t="shared" ca="1" si="13"/>
        <v>13</v>
      </c>
      <c r="J14" s="308"/>
    </row>
    <row r="15" spans="1:10" s="113" customFormat="1" ht="16.8">
      <c r="A15" s="136" t="s">
        <v>33</v>
      </c>
      <c r="B15" s="122">
        <v>0</v>
      </c>
      <c r="C15" s="137" t="s">
        <v>23</v>
      </c>
      <c r="D15" s="138" t="str">
        <f>IF(C15="Str",'Personal File'!$C$12,IF(C15="Dex",'Personal File'!$C$13,IF(C15="Con",'Personal File'!$C$14,IF(C15="Int",'Personal File'!$C$15,IF(C15="Wis",'Personal File'!$C$16,IF(C15="Cha",'Personal File'!$C$17))))))</f>
        <v>+2</v>
      </c>
      <c r="E15" s="139" t="str">
        <f t="shared" si="8"/>
        <v>Int (+2)</v>
      </c>
      <c r="F15" s="126" t="s">
        <v>53</v>
      </c>
      <c r="G15" s="126">
        <f t="shared" si="6"/>
        <v>2</v>
      </c>
      <c r="H15" s="334">
        <f t="shared" ca="1" si="2"/>
        <v>1</v>
      </c>
      <c r="I15" s="126">
        <f t="shared" ca="1" si="10"/>
        <v>3</v>
      </c>
      <c r="J15" s="236"/>
    </row>
    <row r="16" spans="1:10" s="104" customFormat="1" ht="16.8">
      <c r="A16" s="105" t="s">
        <v>34</v>
      </c>
      <c r="B16" s="88">
        <v>0</v>
      </c>
      <c r="C16" s="106" t="s">
        <v>21</v>
      </c>
      <c r="D16" s="107" t="str">
        <f>IF(C16="Str",'Personal File'!$C$12,IF(C16="Dex",'Personal File'!$C$13,IF(C16="Con",'Personal File'!$C$14,IF(C16="Int",'Personal File'!$C$15,IF(C16="Wis",'Personal File'!$C$16,IF(C16="Cha",'Personal File'!$C$17))))))</f>
        <v>+0</v>
      </c>
      <c r="E16" s="108" t="str">
        <f t="shared" si="8"/>
        <v>Cha (+0)</v>
      </c>
      <c r="F16" s="109" t="s">
        <v>53</v>
      </c>
      <c r="G16" s="109">
        <f t="shared" si="6"/>
        <v>0</v>
      </c>
      <c r="H16" s="334">
        <f t="shared" ca="1" si="2"/>
        <v>12</v>
      </c>
      <c r="I16" s="109">
        <f t="shared" ca="1" si="10"/>
        <v>12</v>
      </c>
      <c r="J16" s="141"/>
    </row>
    <row r="17" spans="1:10" s="104" customFormat="1" ht="16.8">
      <c r="A17" s="96" t="s">
        <v>35</v>
      </c>
      <c r="B17" s="97">
        <v>4</v>
      </c>
      <c r="C17" s="98" t="s">
        <v>23</v>
      </c>
      <c r="D17" s="99" t="str">
        <f>IF(C17="Str",'Personal File'!$C$12,IF(C17="Dex",'Personal File'!$C$13,IF(C17="Con",'Personal File'!$C$14,IF(C17="Int",'Personal File'!$C$15,IF(C17="Wis",'Personal File'!$C$16,IF(C17="Cha",'Personal File'!$C$17))))))</f>
        <v>+2</v>
      </c>
      <c r="E17" s="100" t="str">
        <f t="shared" si="8"/>
        <v>Int (+2)</v>
      </c>
      <c r="F17" s="101" t="s">
        <v>53</v>
      </c>
      <c r="G17" s="101">
        <f t="shared" si="6"/>
        <v>6</v>
      </c>
      <c r="H17" s="334">
        <f t="shared" ca="1" si="2"/>
        <v>8</v>
      </c>
      <c r="I17" s="101">
        <f t="shared" ca="1" si="10"/>
        <v>14</v>
      </c>
      <c r="J17" s="140"/>
    </row>
    <row r="18" spans="1:10" s="104" customFormat="1" ht="16.8">
      <c r="A18" s="105" t="s">
        <v>36</v>
      </c>
      <c r="B18" s="88">
        <v>0</v>
      </c>
      <c r="C18" s="106" t="s">
        <v>21</v>
      </c>
      <c r="D18" s="107" t="str">
        <f>IF(C18="Str",'Personal File'!$C$12,IF(C18="Dex",'Personal File'!$C$13,IF(C18="Con",'Personal File'!$C$14,IF(C18="Int",'Personal File'!$C$15,IF(C18="Wis",'Personal File'!$C$16,IF(C18="Cha",'Personal File'!$C$17))))))</f>
        <v>+0</v>
      </c>
      <c r="E18" s="108" t="str">
        <f t="shared" si="8"/>
        <v>Cha (+0)</v>
      </c>
      <c r="F18" s="109" t="s">
        <v>53</v>
      </c>
      <c r="G18" s="109">
        <f t="shared" si="6"/>
        <v>0</v>
      </c>
      <c r="H18" s="334">
        <f t="shared" ca="1" si="2"/>
        <v>9</v>
      </c>
      <c r="I18" s="109">
        <f t="shared" ca="1" si="10"/>
        <v>9</v>
      </c>
      <c r="J18" s="141"/>
    </row>
    <row r="19" spans="1:10" s="104" customFormat="1" ht="16.8">
      <c r="A19" s="114" t="s">
        <v>37</v>
      </c>
      <c r="B19" s="88">
        <v>0</v>
      </c>
      <c r="C19" s="115" t="s">
        <v>25</v>
      </c>
      <c r="D19" s="116" t="str">
        <f>IF(C19="Str",'Personal File'!$C$12,IF(C19="Dex",'Personal File'!$C$13,IF(C19="Con",'Personal File'!$C$14,IF(C19="Int",'Personal File'!$C$15,IF(C19="Wis",'Personal File'!$C$16,IF(C19="Cha",'Personal File'!$C$17))))))</f>
        <v>+3</v>
      </c>
      <c r="E19" s="92" t="str">
        <f t="shared" si="8"/>
        <v>Dex (+3)</v>
      </c>
      <c r="F19" s="109" t="s">
        <v>53</v>
      </c>
      <c r="G19" s="109">
        <f t="shared" si="6"/>
        <v>3</v>
      </c>
      <c r="H19" s="334">
        <f t="shared" ca="1" si="2"/>
        <v>1</v>
      </c>
      <c r="I19" s="109">
        <f t="shared" ca="1" si="10"/>
        <v>4</v>
      </c>
      <c r="J19" s="141"/>
    </row>
    <row r="20" spans="1:10" s="104" customFormat="1" ht="16.8">
      <c r="A20" s="117" t="s">
        <v>38</v>
      </c>
      <c r="B20" s="88">
        <v>0</v>
      </c>
      <c r="C20" s="118" t="s">
        <v>23</v>
      </c>
      <c r="D20" s="119" t="str">
        <f>IF(C20="Str",'Personal File'!$C$12,IF(C20="Dex",'Personal File'!$C$13,IF(C20="Con",'Personal File'!$C$14,IF(C20="Int",'Personal File'!$C$15,IF(C20="Wis",'Personal File'!$C$16,IF(C20="Cha",'Personal File'!$C$17))))))</f>
        <v>+2</v>
      </c>
      <c r="E20" s="120" t="str">
        <f t="shared" si="8"/>
        <v>Int (+2)</v>
      </c>
      <c r="F20" s="109" t="s">
        <v>53</v>
      </c>
      <c r="G20" s="109">
        <f t="shared" si="6"/>
        <v>2</v>
      </c>
      <c r="H20" s="334">
        <f t="shared" ca="1" si="2"/>
        <v>3</v>
      </c>
      <c r="I20" s="109">
        <f t="shared" ca="1" si="10"/>
        <v>5</v>
      </c>
      <c r="J20" s="141"/>
    </row>
    <row r="21" spans="1:10" s="104" customFormat="1" ht="16.8">
      <c r="A21" s="105" t="s">
        <v>39</v>
      </c>
      <c r="B21" s="88">
        <v>0</v>
      </c>
      <c r="C21" s="106" t="s">
        <v>21</v>
      </c>
      <c r="D21" s="107" t="str">
        <f>IF(C21="Str",'Personal File'!$C$12,IF(C21="Dex",'Personal File'!$C$13,IF(C21="Con",'Personal File'!$C$14,IF(C21="Int",'Personal File'!$C$15,IF(C21="Wis",'Personal File'!$C$16,IF(C21="Cha",'Personal File'!$C$17))))))</f>
        <v>+0</v>
      </c>
      <c r="E21" s="108" t="str">
        <f t="shared" si="8"/>
        <v>Cha (+0)</v>
      </c>
      <c r="F21" s="109" t="s">
        <v>53</v>
      </c>
      <c r="G21" s="109">
        <f t="shared" si="6"/>
        <v>0</v>
      </c>
      <c r="H21" s="334">
        <f t="shared" ca="1" si="2"/>
        <v>1</v>
      </c>
      <c r="I21" s="109">
        <f t="shared" ca="1" si="10"/>
        <v>1</v>
      </c>
      <c r="J21" s="141"/>
    </row>
    <row r="22" spans="1:10" s="104" customFormat="1" ht="16.8">
      <c r="A22" s="121" t="s">
        <v>9</v>
      </c>
      <c r="B22" s="122">
        <v>0</v>
      </c>
      <c r="C22" s="123" t="s">
        <v>21</v>
      </c>
      <c r="D22" s="124" t="str">
        <f>IF(C22="Str",'Personal File'!$C$12,IF(C22="Dex",'Personal File'!$C$13,IF(C22="Con",'Personal File'!$C$14,IF(C22="Int",'Personal File'!$C$15,IF(C22="Wis",'Personal File'!$C$16,IF(C22="Cha",'Personal File'!$C$17))))))</f>
        <v>+0</v>
      </c>
      <c r="E22" s="125" t="str">
        <f t="shared" si="8"/>
        <v>Cha (+0)</v>
      </c>
      <c r="F22" s="126" t="s">
        <v>53</v>
      </c>
      <c r="G22" s="126">
        <f t="shared" si="6"/>
        <v>0</v>
      </c>
      <c r="H22" s="334">
        <f t="shared" ca="1" si="2"/>
        <v>20</v>
      </c>
      <c r="I22" s="126">
        <f t="shared" ca="1" si="10"/>
        <v>20</v>
      </c>
      <c r="J22" s="236"/>
    </row>
    <row r="23" spans="1:10" s="104" customFormat="1" ht="16.8">
      <c r="A23" s="128" t="s">
        <v>40</v>
      </c>
      <c r="B23" s="88">
        <v>0</v>
      </c>
      <c r="C23" s="129" t="s">
        <v>24</v>
      </c>
      <c r="D23" s="130" t="str">
        <f>IF(C23="Str",'Personal File'!$C$12,IF(C23="Dex",'Personal File'!$C$13,IF(C23="Con",'Personal File'!$C$14,IF(C23="Int",'Personal File'!$C$15,IF(C23="Wis",'Personal File'!$C$16,IF(C23="Cha",'Personal File'!$C$17))))))</f>
        <v>+0</v>
      </c>
      <c r="E23" s="131" t="str">
        <f t="shared" si="8"/>
        <v>Wis (+0)</v>
      </c>
      <c r="F23" s="109" t="s">
        <v>53</v>
      </c>
      <c r="G23" s="109">
        <f t="shared" si="6"/>
        <v>0</v>
      </c>
      <c r="H23" s="334">
        <f t="shared" ca="1" si="2"/>
        <v>4</v>
      </c>
      <c r="I23" s="109">
        <f t="shared" ca="1" si="10"/>
        <v>4</v>
      </c>
      <c r="J23" s="141"/>
    </row>
    <row r="24" spans="1:10" s="104" customFormat="1" ht="16.8">
      <c r="A24" s="230" t="s">
        <v>41</v>
      </c>
      <c r="B24" s="97">
        <v>4</v>
      </c>
      <c r="C24" s="231" t="s">
        <v>25</v>
      </c>
      <c r="D24" s="232" t="str">
        <f>IF(C24="Str",'Personal File'!$C$12,IF(C24="Dex",'Personal File'!$C$13,IF(C24="Con",'Personal File'!$C$14,IF(C24="Int",'Personal File'!$C$15,IF(C24="Wis",'Personal File'!$C$16,IF(C24="Cha",'Personal File'!$C$17))))))</f>
        <v>+3</v>
      </c>
      <c r="E24" s="233" t="str">
        <f t="shared" si="8"/>
        <v>Dex (+3)</v>
      </c>
      <c r="F24" s="101" t="s">
        <v>93</v>
      </c>
      <c r="G24" s="101">
        <f t="shared" si="6"/>
        <v>11</v>
      </c>
      <c r="H24" s="334">
        <f t="shared" ca="1" si="2"/>
        <v>7</v>
      </c>
      <c r="I24" s="101">
        <f t="shared" ca="1" si="10"/>
        <v>18</v>
      </c>
      <c r="J24" s="140"/>
    </row>
    <row r="25" spans="1:10" s="104" customFormat="1" ht="16.8">
      <c r="A25" s="105" t="s">
        <v>42</v>
      </c>
      <c r="B25" s="88">
        <v>0</v>
      </c>
      <c r="C25" s="106" t="s">
        <v>21</v>
      </c>
      <c r="D25" s="107" t="str">
        <f>IF(C25="Str",'Personal File'!$C$12,IF(C25="Dex",'Personal File'!$C$13,IF(C25="Con",'Personal File'!$C$14,IF(C25="Int",'Personal File'!$C$15,IF(C25="Wis",'Personal File'!$C$16,IF(C25="Cha",'Personal File'!$C$17))))))</f>
        <v>+0</v>
      </c>
      <c r="E25" s="108" t="str">
        <f t="shared" si="8"/>
        <v>Cha (+0)</v>
      </c>
      <c r="F25" s="109" t="s">
        <v>53</v>
      </c>
      <c r="G25" s="109">
        <f t="shared" si="6"/>
        <v>0</v>
      </c>
      <c r="H25" s="334">
        <f t="shared" ca="1" si="2"/>
        <v>7</v>
      </c>
      <c r="I25" s="109">
        <f t="shared" ca="1" si="10"/>
        <v>7</v>
      </c>
      <c r="J25" s="141"/>
    </row>
    <row r="26" spans="1:10" s="104" customFormat="1" ht="16.8">
      <c r="A26" s="132" t="s">
        <v>43</v>
      </c>
      <c r="B26" s="88">
        <v>0</v>
      </c>
      <c r="C26" s="133" t="s">
        <v>26</v>
      </c>
      <c r="D26" s="134" t="str">
        <f>IF(C26="Str",'Personal File'!$C$12,IF(C26="Dex",'Personal File'!$C$13,IF(C26="Con",'Personal File'!$C$14,IF(C26="Int",'Personal File'!$C$15,IF(C26="Wis",'Personal File'!$C$16,IF(C26="Cha",'Personal File'!$C$17))))))</f>
        <v>+0</v>
      </c>
      <c r="E26" s="135" t="str">
        <f t="shared" si="8"/>
        <v>Str (+0)</v>
      </c>
      <c r="F26" s="109" t="s">
        <v>53</v>
      </c>
      <c r="G26" s="109">
        <f t="shared" si="6"/>
        <v>0</v>
      </c>
      <c r="H26" s="334">
        <f t="shared" ca="1" si="2"/>
        <v>14</v>
      </c>
      <c r="I26" s="109">
        <f t="shared" ca="1" si="10"/>
        <v>14</v>
      </c>
      <c r="J26" s="141"/>
    </row>
    <row r="27" spans="1:10" s="104" customFormat="1" ht="16.8">
      <c r="A27" s="136" t="s">
        <v>68</v>
      </c>
      <c r="B27" s="122">
        <v>0</v>
      </c>
      <c r="C27" s="137" t="s">
        <v>23</v>
      </c>
      <c r="D27" s="138" t="str">
        <f>IF(C27="Str",'Personal File'!$C$12,IF(C27="Dex",'Personal File'!$C$13,IF(C27="Con",'Personal File'!$C$14,IF(C27="Int",'Personal File'!$C$15,IF(C27="Wis",'Personal File'!$C$16,IF(C27="Cha",'Personal File'!$C$17))))))</f>
        <v>+2</v>
      </c>
      <c r="E27" s="139" t="str">
        <f t="shared" si="8"/>
        <v>Int (+2)</v>
      </c>
      <c r="F27" s="126" t="s">
        <v>53</v>
      </c>
      <c r="G27" s="126">
        <f t="shared" si="6"/>
        <v>2</v>
      </c>
      <c r="H27" s="334">
        <f t="shared" ca="1" si="2"/>
        <v>7</v>
      </c>
      <c r="I27" s="126">
        <f t="shared" ca="1" si="10"/>
        <v>9</v>
      </c>
      <c r="J27" s="236"/>
    </row>
    <row r="28" spans="1:10" s="104" customFormat="1" ht="16.8">
      <c r="A28" s="96" t="s">
        <v>201</v>
      </c>
      <c r="B28" s="97">
        <v>4</v>
      </c>
      <c r="C28" s="98" t="s">
        <v>23</v>
      </c>
      <c r="D28" s="99" t="str">
        <f>IF(C28="Str",'Personal File'!$C$12,IF(C28="Dex",'Personal File'!$C$13,IF(C28="Con",'Personal File'!$C$14,IF(C28="Int",'Personal File'!$C$15,IF(C28="Wis",'Personal File'!$C$16,IF(C28="Cha",'Personal File'!$C$17))))))</f>
        <v>+2</v>
      </c>
      <c r="E28" s="100" t="str">
        <f t="shared" ref="E28" si="17">CONCATENATE(C28," (",D28,")")</f>
        <v>Int (+2)</v>
      </c>
      <c r="F28" s="101" t="s">
        <v>53</v>
      </c>
      <c r="G28" s="101">
        <f t="shared" ref="G28" si="18">B28+D28+F28</f>
        <v>6</v>
      </c>
      <c r="H28" s="334">
        <f t="shared" ca="1" si="2"/>
        <v>4</v>
      </c>
      <c r="I28" s="101">
        <f t="shared" ref="I28" ca="1" si="19">SUM(G28:H28)</f>
        <v>10</v>
      </c>
      <c r="J28" s="140"/>
    </row>
    <row r="29" spans="1:10" s="104" customFormat="1" ht="16.8">
      <c r="A29" s="96" t="s">
        <v>318</v>
      </c>
      <c r="B29" s="97">
        <v>2</v>
      </c>
      <c r="C29" s="98" t="s">
        <v>23</v>
      </c>
      <c r="D29" s="99" t="str">
        <f>IF(C29="Str",'Personal File'!$C$12,IF(C29="Dex",'Personal File'!$C$13,IF(C29="Con",'Personal File'!$C$14,IF(C29="Int",'Personal File'!$C$15,IF(C29="Wis",'Personal File'!$C$16,IF(C29="Cha",'Personal File'!$C$17))))))</f>
        <v>+2</v>
      </c>
      <c r="E29" s="100" t="str">
        <f t="shared" ref="E29" si="20">CONCATENATE(C29," (",D29,")")</f>
        <v>Int (+2)</v>
      </c>
      <c r="F29" s="101" t="s">
        <v>53</v>
      </c>
      <c r="G29" s="101">
        <f t="shared" ref="G29" si="21">B29+D29+F29</f>
        <v>4</v>
      </c>
      <c r="H29" s="334">
        <f t="shared" ca="1" si="2"/>
        <v>5</v>
      </c>
      <c r="I29" s="101">
        <f t="shared" ref="I29" ca="1" si="22">SUM(G29:H29)</f>
        <v>9</v>
      </c>
      <c r="J29" s="140"/>
    </row>
    <row r="30" spans="1:10" s="104" customFormat="1" ht="16.8">
      <c r="A30" s="128" t="s">
        <v>44</v>
      </c>
      <c r="B30" s="88">
        <v>0</v>
      </c>
      <c r="C30" s="129" t="s">
        <v>24</v>
      </c>
      <c r="D30" s="130" t="str">
        <f>IF(C30="Str",'Personal File'!$C$12,IF(C30="Dex",'Personal File'!$C$13,IF(C30="Con",'Personal File'!$C$14,IF(C30="Int",'Personal File'!$C$15,IF(C30="Wis",'Personal File'!$C$16,IF(C30="Cha",'Personal File'!$C$17))))))</f>
        <v>+0</v>
      </c>
      <c r="E30" s="131" t="str">
        <f t="shared" si="8"/>
        <v>Wis (+0)</v>
      </c>
      <c r="F30" s="109" t="s">
        <v>74</v>
      </c>
      <c r="G30" s="109">
        <f t="shared" si="6"/>
        <v>2</v>
      </c>
      <c r="H30" s="334">
        <f t="shared" ca="1" si="2"/>
        <v>4</v>
      </c>
      <c r="I30" s="109">
        <f t="shared" ca="1" si="10"/>
        <v>6</v>
      </c>
      <c r="J30" s="141"/>
    </row>
    <row r="31" spans="1:10" s="104" customFormat="1" ht="16.8">
      <c r="A31" s="230" t="s">
        <v>10</v>
      </c>
      <c r="B31" s="97">
        <v>4</v>
      </c>
      <c r="C31" s="231" t="s">
        <v>25</v>
      </c>
      <c r="D31" s="232" t="str">
        <f>IF(C31="Str",'Personal File'!$C$12,IF(C31="Dex",'Personal File'!$C$13,IF(C31="Con",'Personal File'!$C$14,IF(C31="Int",'Personal File'!$C$15,IF(C31="Wis",'Personal File'!$C$16,IF(C31="Cha",'Personal File'!$C$17))))))</f>
        <v>+3</v>
      </c>
      <c r="E31" s="233" t="str">
        <f t="shared" si="8"/>
        <v>Dex (+3)</v>
      </c>
      <c r="F31" s="101" t="s">
        <v>93</v>
      </c>
      <c r="G31" s="101">
        <f t="shared" si="6"/>
        <v>11</v>
      </c>
      <c r="H31" s="334">
        <f t="shared" ca="1" si="2"/>
        <v>9</v>
      </c>
      <c r="I31" s="101">
        <f t="shared" ca="1" si="10"/>
        <v>20</v>
      </c>
      <c r="J31" s="140"/>
    </row>
    <row r="32" spans="1:10" s="104" customFormat="1" ht="16.8">
      <c r="A32" s="230" t="s">
        <v>45</v>
      </c>
      <c r="B32" s="97">
        <v>4</v>
      </c>
      <c r="C32" s="231" t="s">
        <v>25</v>
      </c>
      <c r="D32" s="232" t="str">
        <f>IF(C32="Str",'Personal File'!$C$12,IF(C32="Dex",'Personal File'!$C$13,IF(C32="Con",'Personal File'!$C$14,IF(C32="Int",'Personal File'!$C$15,IF(C32="Wis",'Personal File'!$C$16,IF(C32="Cha",'Personal File'!$C$17))))))</f>
        <v>+3</v>
      </c>
      <c r="E32" s="233" t="str">
        <f t="shared" si="8"/>
        <v>Dex (+3)</v>
      </c>
      <c r="F32" s="101" t="s">
        <v>53</v>
      </c>
      <c r="G32" s="101">
        <f t="shared" si="6"/>
        <v>7</v>
      </c>
      <c r="H32" s="334">
        <f t="shared" ca="1" si="2"/>
        <v>13</v>
      </c>
      <c r="I32" s="101">
        <f t="shared" ca="1" si="10"/>
        <v>20</v>
      </c>
      <c r="J32" s="140"/>
    </row>
    <row r="33" spans="1:10" ht="16.8">
      <c r="A33" s="105" t="s">
        <v>102</v>
      </c>
      <c r="B33" s="88">
        <v>0</v>
      </c>
      <c r="C33" s="106" t="s">
        <v>21</v>
      </c>
      <c r="D33" s="107" t="str">
        <f>IF(C33="Str",'Personal File'!$C$12,IF(C33="Dex",'Personal File'!$C$13,IF(C33="Con",'Personal File'!$C$14,IF(C33="Int",'Personal File'!$C$15,IF(C33="Wis",'Personal File'!$C$16,IF(C33="Cha",'Personal File'!$C$17))))))</f>
        <v>+0</v>
      </c>
      <c r="E33" s="108" t="str">
        <f t="shared" si="8"/>
        <v>Cha (+0)</v>
      </c>
      <c r="F33" s="109" t="s">
        <v>53</v>
      </c>
      <c r="G33" s="109">
        <f t="shared" si="6"/>
        <v>0</v>
      </c>
      <c r="H33" s="334">
        <f t="shared" ca="1" si="2"/>
        <v>20</v>
      </c>
      <c r="I33" s="109">
        <f t="shared" ca="1" si="10"/>
        <v>20</v>
      </c>
      <c r="J33" s="141"/>
    </row>
    <row r="34" spans="1:10" ht="16.8">
      <c r="A34" s="238" t="s">
        <v>289</v>
      </c>
      <c r="B34" s="97">
        <v>7</v>
      </c>
      <c r="C34" s="247" t="s">
        <v>24</v>
      </c>
      <c r="D34" s="248" t="str">
        <f>IF(C34="Str",'Personal File'!$C$12,IF(C34="Dex",'Personal File'!$C$13,IF(C34="Con",'Personal File'!$C$14,IF(C34="Int",'Personal File'!$C$15,IF(C34="Wis",'Personal File'!$C$16,IF(C34="Cha",'Personal File'!$C$17))))))</f>
        <v>+0</v>
      </c>
      <c r="E34" s="249" t="str">
        <f t="shared" ref="E34" si="23">CONCATENATE(C34," (",D34,")")</f>
        <v>Wis (+0)</v>
      </c>
      <c r="F34" s="101" t="s">
        <v>53</v>
      </c>
      <c r="G34" s="250">
        <f t="shared" si="6"/>
        <v>7</v>
      </c>
      <c r="H34" s="334">
        <f t="shared" ca="1" si="2"/>
        <v>13</v>
      </c>
      <c r="I34" s="250">
        <f t="shared" ca="1" si="10"/>
        <v>20</v>
      </c>
      <c r="J34" s="140"/>
    </row>
    <row r="35" spans="1:10" ht="16.8">
      <c r="A35" s="114" t="s">
        <v>11</v>
      </c>
      <c r="B35" s="88">
        <v>0</v>
      </c>
      <c r="C35" s="115" t="s">
        <v>25</v>
      </c>
      <c r="D35" s="116" t="str">
        <f>IF(C35="Str",'Personal File'!$C$12,IF(C35="Dex",'Personal File'!$C$13,IF(C35="Con",'Personal File'!$C$14,IF(C35="Int",'Personal File'!$C$15,IF(C35="Wis",'Personal File'!$C$16,IF(C35="Cha",'Personal File'!$C$17))))))</f>
        <v>+3</v>
      </c>
      <c r="E35" s="92" t="str">
        <f t="shared" si="8"/>
        <v>Dex (+3)</v>
      </c>
      <c r="F35" s="109" t="s">
        <v>53</v>
      </c>
      <c r="G35" s="109">
        <f t="shared" si="6"/>
        <v>3</v>
      </c>
      <c r="H35" s="334">
        <f t="shared" ca="1" si="2"/>
        <v>6</v>
      </c>
      <c r="I35" s="109">
        <f t="shared" ca="1" si="10"/>
        <v>9</v>
      </c>
      <c r="J35" s="110"/>
    </row>
    <row r="36" spans="1:10" ht="16.8">
      <c r="A36" s="96" t="s">
        <v>12</v>
      </c>
      <c r="B36" s="97">
        <v>2</v>
      </c>
      <c r="C36" s="98" t="s">
        <v>23</v>
      </c>
      <c r="D36" s="99" t="str">
        <f>IF(C36="Str",'Personal File'!$C$12,IF(C36="Dex",'Personal File'!$C$13,IF(C36="Con",'Personal File'!$C$14,IF(C36="Int",'Personal File'!$C$15,IF(C36="Wis",'Personal File'!$C$16,IF(C36="Cha",'Personal File'!$C$17))))))</f>
        <v>+2</v>
      </c>
      <c r="E36" s="100" t="str">
        <f t="shared" si="8"/>
        <v>Int (+2)</v>
      </c>
      <c r="F36" s="101" t="s">
        <v>53</v>
      </c>
      <c r="G36" s="101">
        <f t="shared" si="6"/>
        <v>4</v>
      </c>
      <c r="H36" s="334">
        <f t="shared" ca="1" si="2"/>
        <v>9</v>
      </c>
      <c r="I36" s="101">
        <f t="shared" ca="1" si="10"/>
        <v>13</v>
      </c>
      <c r="J36" s="102"/>
    </row>
    <row r="37" spans="1:10" ht="16.8">
      <c r="A37" s="128" t="s">
        <v>46</v>
      </c>
      <c r="B37" s="88">
        <v>0</v>
      </c>
      <c r="C37" s="129" t="s">
        <v>24</v>
      </c>
      <c r="D37" s="130" t="str">
        <f>IF(C37="Str",'Personal File'!$C$12,IF(C37="Dex",'Personal File'!$C$13,IF(C37="Con",'Personal File'!$C$14,IF(C37="Int",'Personal File'!$C$15,IF(C37="Wis",'Personal File'!$C$16,IF(C37="Cha",'Personal File'!$C$17))))))</f>
        <v>+0</v>
      </c>
      <c r="E37" s="131" t="str">
        <f t="shared" si="8"/>
        <v>Wis (+0)</v>
      </c>
      <c r="F37" s="109" t="s">
        <v>53</v>
      </c>
      <c r="G37" s="109">
        <f t="shared" si="6"/>
        <v>0</v>
      </c>
      <c r="H37" s="334">
        <f t="shared" ca="1" si="2"/>
        <v>9</v>
      </c>
      <c r="I37" s="109">
        <f t="shared" ca="1" si="10"/>
        <v>9</v>
      </c>
      <c r="J37" s="110"/>
    </row>
    <row r="38" spans="1:10" ht="16.8">
      <c r="A38" s="226" t="s">
        <v>69</v>
      </c>
      <c r="B38" s="122">
        <v>0</v>
      </c>
      <c r="C38" s="227" t="s">
        <v>25</v>
      </c>
      <c r="D38" s="228" t="str">
        <f>IF(C38="Str",'Personal File'!$C$12,IF(C38="Dex",'Personal File'!$C$13,IF(C38="Con",'Personal File'!$C$14,IF(C38="Int",'Personal File'!$C$15,IF(C38="Wis",'Personal File'!$C$16,IF(C38="Cha",'Personal File'!$C$17))))))</f>
        <v>+3</v>
      </c>
      <c r="E38" s="229" t="str">
        <f t="shared" si="8"/>
        <v>Dex (+3)</v>
      </c>
      <c r="F38" s="126" t="s">
        <v>53</v>
      </c>
      <c r="G38" s="126">
        <f t="shared" si="6"/>
        <v>3</v>
      </c>
      <c r="H38" s="334">
        <f t="shared" ca="1" si="2"/>
        <v>17</v>
      </c>
      <c r="I38" s="126">
        <f t="shared" ca="1" si="10"/>
        <v>20</v>
      </c>
      <c r="J38" s="127"/>
    </row>
    <row r="39" spans="1:10" ht="16.8">
      <c r="A39" s="136" t="s">
        <v>140</v>
      </c>
      <c r="B39" s="122">
        <v>0</v>
      </c>
      <c r="C39" s="137" t="s">
        <v>23</v>
      </c>
      <c r="D39" s="138" t="str">
        <f>IF(C39="Str",'Personal File'!$C$12,IF(C39="Dex",'Personal File'!$C$13,IF(C39="Con",'Personal File'!$C$14,IF(C39="Int",'Personal File'!$C$15,IF(C39="Wis",'Personal File'!$C$16,IF(C39="Cha",'Personal File'!$C$17))))))</f>
        <v>+2</v>
      </c>
      <c r="E39" s="139" t="str">
        <f t="shared" si="8"/>
        <v>Int (+2)</v>
      </c>
      <c r="F39" s="126" t="s">
        <v>53</v>
      </c>
      <c r="G39" s="126" t="s">
        <v>53</v>
      </c>
      <c r="H39" s="334">
        <f t="shared" ca="1" si="2"/>
        <v>18</v>
      </c>
      <c r="I39" s="126">
        <f t="shared" ca="1" si="10"/>
        <v>18</v>
      </c>
      <c r="J39" s="236"/>
    </row>
    <row r="40" spans="1:10" ht="16.8">
      <c r="A40" s="96" t="s">
        <v>47</v>
      </c>
      <c r="B40" s="97">
        <v>0</v>
      </c>
      <c r="C40" s="98" t="s">
        <v>23</v>
      </c>
      <c r="D40" s="99" t="str">
        <f>IF(C40="Str",'Personal File'!$C$12,IF(C40="Dex",'Personal File'!$C$13,IF(C40="Con",'Personal File'!$C$14,IF(C40="Int",'Personal File'!$C$15,IF(C40="Wis",'Personal File'!$C$16,IF(C40="Cha",'Personal File'!$C$17))))))</f>
        <v>+2</v>
      </c>
      <c r="E40" s="100" t="str">
        <f t="shared" si="8"/>
        <v>Int (+2)</v>
      </c>
      <c r="F40" s="101" t="s">
        <v>53</v>
      </c>
      <c r="G40" s="101">
        <f t="shared" si="6"/>
        <v>2</v>
      </c>
      <c r="H40" s="334">
        <f t="shared" ca="1" si="2"/>
        <v>5</v>
      </c>
      <c r="I40" s="101">
        <f t="shared" ca="1" si="10"/>
        <v>7</v>
      </c>
      <c r="J40" s="140"/>
    </row>
    <row r="41" spans="1:10" ht="16.8">
      <c r="A41" s="352" t="s">
        <v>48</v>
      </c>
      <c r="B41" s="97">
        <v>2</v>
      </c>
      <c r="C41" s="247" t="s">
        <v>24</v>
      </c>
      <c r="D41" s="248" t="str">
        <f>IF(C41="Str",'Personal File'!$C$12,IF(C41="Dex",'Personal File'!$C$13,IF(C41="Con",'Personal File'!$C$14,IF(C41="Int",'Personal File'!$C$15,IF(C41="Wis",'Personal File'!$C$16,IF(C41="Cha",'Personal File'!$C$17))))))</f>
        <v>+0</v>
      </c>
      <c r="E41" s="249" t="str">
        <f t="shared" si="8"/>
        <v>Wis (+0)</v>
      </c>
      <c r="F41" s="101" t="s">
        <v>74</v>
      </c>
      <c r="G41" s="101">
        <f t="shared" si="6"/>
        <v>4</v>
      </c>
      <c r="H41" s="334">
        <f t="shared" ca="1" si="2"/>
        <v>7</v>
      </c>
      <c r="I41" s="101">
        <f t="shared" ca="1" si="10"/>
        <v>11</v>
      </c>
      <c r="J41" s="102"/>
    </row>
    <row r="42" spans="1:10" ht="16.8">
      <c r="A42" s="352" t="s">
        <v>70</v>
      </c>
      <c r="B42" s="97">
        <v>2</v>
      </c>
      <c r="C42" s="247" t="s">
        <v>24</v>
      </c>
      <c r="D42" s="248" t="str">
        <f>IF(C42="Str",'Personal File'!$C$12,IF(C42="Dex",'Personal File'!$C$13,IF(C42="Con",'Personal File'!$C$14,IF(C42="Int",'Personal File'!$C$15,IF(C42="Wis",'Personal File'!$C$16,IF(C42="Cha",'Personal File'!$C$17))))))</f>
        <v>+0</v>
      </c>
      <c r="E42" s="249" t="str">
        <f t="shared" si="8"/>
        <v>Wis (+0)</v>
      </c>
      <c r="F42" s="101" t="s">
        <v>53</v>
      </c>
      <c r="G42" s="101">
        <f t="shared" si="6"/>
        <v>2</v>
      </c>
      <c r="H42" s="334">
        <f t="shared" ca="1" si="2"/>
        <v>14</v>
      </c>
      <c r="I42" s="101">
        <f t="shared" ca="1" si="10"/>
        <v>16</v>
      </c>
      <c r="J42" s="140" t="s">
        <v>197</v>
      </c>
    </row>
    <row r="43" spans="1:10" ht="16.8">
      <c r="A43" s="132" t="s">
        <v>13</v>
      </c>
      <c r="B43" s="88">
        <v>0</v>
      </c>
      <c r="C43" s="133" t="s">
        <v>26</v>
      </c>
      <c r="D43" s="134" t="str">
        <f>IF(C43="Str",'Personal File'!$C$12,IF(C43="Dex",'Personal File'!$C$13,IF(C43="Con",'Personal File'!$C$14,IF(C43="Int",'Personal File'!$C$15,IF(C43="Wis",'Personal File'!$C$16,IF(C43="Cha",'Personal File'!$C$17))))))</f>
        <v>+0</v>
      </c>
      <c r="E43" s="135" t="str">
        <f t="shared" si="8"/>
        <v>Str (+0)</v>
      </c>
      <c r="F43" s="109" t="s">
        <v>53</v>
      </c>
      <c r="G43" s="109">
        <f t="shared" si="6"/>
        <v>0</v>
      </c>
      <c r="H43" s="334">
        <f t="shared" ca="1" si="2"/>
        <v>4</v>
      </c>
      <c r="I43" s="109">
        <f t="shared" ca="1" si="10"/>
        <v>4</v>
      </c>
      <c r="J43" s="110"/>
    </row>
    <row r="44" spans="1:10" ht="16.8">
      <c r="A44" s="226" t="s">
        <v>49</v>
      </c>
      <c r="B44" s="122">
        <v>0</v>
      </c>
      <c r="C44" s="227" t="s">
        <v>25</v>
      </c>
      <c r="D44" s="228" t="str">
        <f>IF(C44="Str",'Personal File'!$C$12,IF(C44="Dex",'Personal File'!$C$13,IF(C44="Con",'Personal File'!$C$14,IF(C44="Int",'Personal File'!$C$15,IF(C44="Wis",'Personal File'!$C$16,IF(C44="Cha",'Personal File'!$C$17))))))</f>
        <v>+3</v>
      </c>
      <c r="E44" s="229" t="str">
        <f t="shared" si="8"/>
        <v>Dex (+3)</v>
      </c>
      <c r="F44" s="126" t="s">
        <v>53</v>
      </c>
      <c r="G44" s="126">
        <f t="shared" si="6"/>
        <v>3</v>
      </c>
      <c r="H44" s="334">
        <f t="shared" ca="1" si="2"/>
        <v>16</v>
      </c>
      <c r="I44" s="126">
        <f t="shared" ca="1" si="10"/>
        <v>19</v>
      </c>
      <c r="J44" s="127"/>
    </row>
    <row r="45" spans="1:10" ht="16.8">
      <c r="A45" s="238" t="s">
        <v>50</v>
      </c>
      <c r="B45" s="97">
        <v>4</v>
      </c>
      <c r="C45" s="239" t="s">
        <v>21</v>
      </c>
      <c r="D45" s="240" t="str">
        <f>IF(C45="Str",'Personal File'!$C$12,IF(C45="Dex",'Personal File'!$C$13,IF(C45="Con",'Personal File'!$C$14,IF(C45="Int",'Personal File'!$C$15,IF(C45="Wis",'Personal File'!$C$16,IF(C45="Cha",'Personal File'!$C$17))))))</f>
        <v>+0</v>
      </c>
      <c r="E45" s="241" t="str">
        <f t="shared" si="8"/>
        <v>Cha (+0)</v>
      </c>
      <c r="F45" s="101" t="s">
        <v>53</v>
      </c>
      <c r="G45" s="101">
        <f t="shared" si="6"/>
        <v>4</v>
      </c>
      <c r="H45" s="334">
        <f t="shared" ca="1" si="2"/>
        <v>9</v>
      </c>
      <c r="I45" s="101">
        <f t="shared" ca="1" si="10"/>
        <v>13</v>
      </c>
      <c r="J45" s="102"/>
    </row>
    <row r="46" spans="1:10" ht="17.399999999999999" thickBot="1">
      <c r="A46" s="327" t="s">
        <v>51</v>
      </c>
      <c r="B46" s="328">
        <v>4</v>
      </c>
      <c r="C46" s="329" t="s">
        <v>25</v>
      </c>
      <c r="D46" s="330" t="str">
        <f>IF(C46="Str",'Personal File'!$C$12,IF(C46="Dex",'Personal File'!$C$13,IF(C46="Con",'Personal File'!$C$14,IF(C46="Int",'Personal File'!$C$15,IF(C46="Wis",'Personal File'!$C$16,IF(C46="Cha",'Personal File'!$C$17))))))</f>
        <v>+3</v>
      </c>
      <c r="E46" s="331" t="str">
        <f t="shared" si="8"/>
        <v>Dex (+3)</v>
      </c>
      <c r="F46" s="332" t="s">
        <v>53</v>
      </c>
      <c r="G46" s="332">
        <f t="shared" si="6"/>
        <v>7</v>
      </c>
      <c r="H46" s="337">
        <f t="shared" ref="H46" ca="1" si="24">RANDBETWEEN(1,20)</f>
        <v>6</v>
      </c>
      <c r="I46" s="332">
        <f t="shared" ca="1" si="10"/>
        <v>13</v>
      </c>
      <c r="J46" s="333"/>
    </row>
    <row r="47" spans="1:10" ht="16.2" thickTop="1">
      <c r="B47" s="143">
        <f>SUM(B6:B46)+B42</f>
        <v>74</v>
      </c>
      <c r="E47" s="355">
        <f>SUM(E48:E52)</f>
        <v>74</v>
      </c>
    </row>
    <row r="48" spans="1:10">
      <c r="B48" s="143"/>
      <c r="E48" s="289">
        <f>4*(8+'Personal File'!$C$15)</f>
        <v>40</v>
      </c>
      <c r="F48" s="146" t="s">
        <v>116</v>
      </c>
    </row>
    <row r="49" spans="5:6">
      <c r="E49" s="351">
        <f>8+'Personal File'!$C$15</f>
        <v>10</v>
      </c>
      <c r="F49" s="146" t="s">
        <v>196</v>
      </c>
    </row>
    <row r="50" spans="5:6">
      <c r="E50" s="351">
        <f>2+'Personal File'!$C$15</f>
        <v>4</v>
      </c>
      <c r="F50" s="146" t="s">
        <v>200</v>
      </c>
    </row>
    <row r="51" spans="5:6">
      <c r="E51" s="351">
        <f>8+'Personal File'!$C$15</f>
        <v>10</v>
      </c>
      <c r="F51" s="146" t="s">
        <v>294</v>
      </c>
    </row>
    <row r="52" spans="5:6">
      <c r="E52" s="351">
        <f>8+'Personal File'!$C$15</f>
        <v>10</v>
      </c>
      <c r="F52" s="146" t="s">
        <v>312</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F6BE-4C33-4CAB-9C23-ADB2CC485239}">
  <dimension ref="A1:J25"/>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1.296875" style="402" bestFit="1" customWidth="1"/>
    <col min="2" max="2" width="6.19921875" style="402" bestFit="1" customWidth="1"/>
    <col min="3" max="3" width="13.59765625" style="403" bestFit="1" customWidth="1"/>
    <col min="4" max="4" width="11.296875" style="403" bestFit="1" customWidth="1"/>
    <col min="5" max="5" width="10.5" style="403" bestFit="1" customWidth="1"/>
    <col min="6" max="7" width="13.19921875" style="403" bestFit="1" customWidth="1"/>
    <col min="8" max="8" width="21.3984375" style="402" bestFit="1" customWidth="1"/>
    <col min="9" max="9" width="5.5" style="389" bestFit="1" customWidth="1"/>
    <col min="10" max="10" width="3.296875" style="389" bestFit="1" customWidth="1"/>
    <col min="11" max="16384" width="18.19921875" style="389"/>
  </cols>
  <sheetData>
    <row r="1" spans="1:10" ht="23.4" thickBot="1">
      <c r="A1" s="387" t="s">
        <v>283</v>
      </c>
      <c r="B1" s="388"/>
      <c r="C1" s="388"/>
      <c r="D1" s="388"/>
      <c r="E1" s="388"/>
      <c r="F1" s="388"/>
      <c r="G1" s="388"/>
      <c r="H1" s="388"/>
    </row>
    <row r="2" spans="1:10" s="346" customFormat="1" ht="16.8">
      <c r="A2" s="390" t="s">
        <v>76</v>
      </c>
      <c r="B2" s="391" t="s">
        <v>79</v>
      </c>
      <c r="C2" s="391" t="s">
        <v>205</v>
      </c>
      <c r="D2" s="392" t="s">
        <v>206</v>
      </c>
      <c r="E2" s="392" t="s">
        <v>207</v>
      </c>
      <c r="F2" s="391" t="s">
        <v>208</v>
      </c>
      <c r="G2" s="391" t="s">
        <v>209</v>
      </c>
      <c r="H2" s="391" t="s">
        <v>210</v>
      </c>
      <c r="I2" s="393" t="s">
        <v>211</v>
      </c>
      <c r="J2" s="357"/>
    </row>
    <row r="3" spans="1:10" s="396" customFormat="1" ht="16.8">
      <c r="A3" s="376" t="s">
        <v>238</v>
      </c>
      <c r="B3" s="394">
        <v>0</v>
      </c>
      <c r="C3" s="377" t="s">
        <v>235</v>
      </c>
      <c r="D3" s="378" t="s">
        <v>230</v>
      </c>
      <c r="E3" s="379" t="s">
        <v>215</v>
      </c>
      <c r="F3" s="380" t="s">
        <v>225</v>
      </c>
      <c r="G3" s="380" t="s">
        <v>252</v>
      </c>
      <c r="H3" s="380" t="s">
        <v>218</v>
      </c>
      <c r="I3" s="395">
        <v>272</v>
      </c>
    </row>
    <row r="4" spans="1:10" ht="16.8">
      <c r="A4" s="358" t="s">
        <v>212</v>
      </c>
      <c r="B4" s="397">
        <v>0</v>
      </c>
      <c r="C4" s="362" t="s">
        <v>213</v>
      </c>
      <c r="D4" s="359" t="s">
        <v>214</v>
      </c>
      <c r="E4" s="363" t="s">
        <v>215</v>
      </c>
      <c r="F4" s="363" t="s">
        <v>216</v>
      </c>
      <c r="G4" s="363" t="s">
        <v>217</v>
      </c>
      <c r="H4" s="361" t="s">
        <v>218</v>
      </c>
      <c r="I4" s="381">
        <v>196</v>
      </c>
    </row>
    <row r="5" spans="1:10" ht="16.8">
      <c r="A5" s="358" t="s">
        <v>239</v>
      </c>
      <c r="B5" s="397">
        <v>0</v>
      </c>
      <c r="C5" s="362" t="s">
        <v>213</v>
      </c>
      <c r="D5" s="364" t="s">
        <v>214</v>
      </c>
      <c r="E5" s="363" t="s">
        <v>215</v>
      </c>
      <c r="F5" s="363" t="s">
        <v>216</v>
      </c>
      <c r="G5" s="363" t="s">
        <v>226</v>
      </c>
      <c r="H5" s="361" t="s">
        <v>236</v>
      </c>
      <c r="I5" s="381">
        <v>42</v>
      </c>
    </row>
    <row r="6" spans="1:10" ht="16.8">
      <c r="A6" s="358" t="s">
        <v>240</v>
      </c>
      <c r="B6" s="397">
        <v>0</v>
      </c>
      <c r="C6" s="365" t="s">
        <v>213</v>
      </c>
      <c r="D6" s="359" t="s">
        <v>214</v>
      </c>
      <c r="E6" s="360" t="s">
        <v>215</v>
      </c>
      <c r="F6" s="361" t="s">
        <v>216</v>
      </c>
      <c r="G6" s="361" t="s">
        <v>217</v>
      </c>
      <c r="H6" s="361" t="s">
        <v>218</v>
      </c>
      <c r="I6" s="381">
        <v>269</v>
      </c>
    </row>
    <row r="7" spans="1:10" ht="16.8">
      <c r="A7" s="358" t="s">
        <v>241</v>
      </c>
      <c r="B7" s="397">
        <v>0</v>
      </c>
      <c r="C7" s="362" t="s">
        <v>223</v>
      </c>
      <c r="D7" s="364" t="s">
        <v>214</v>
      </c>
      <c r="E7" s="363" t="s">
        <v>215</v>
      </c>
      <c r="F7" s="363" t="s">
        <v>216</v>
      </c>
      <c r="G7" s="363" t="s">
        <v>217</v>
      </c>
      <c r="H7" s="361" t="s">
        <v>218</v>
      </c>
      <c r="I7" s="381">
        <v>219</v>
      </c>
    </row>
    <row r="8" spans="1:10" ht="16.8">
      <c r="A8" s="358" t="s">
        <v>219</v>
      </c>
      <c r="B8" s="397">
        <v>0</v>
      </c>
      <c r="C8" s="365" t="s">
        <v>220</v>
      </c>
      <c r="D8" s="359" t="s">
        <v>221</v>
      </c>
      <c r="E8" s="360" t="s">
        <v>215</v>
      </c>
      <c r="F8" s="361" t="s">
        <v>216</v>
      </c>
      <c r="G8" s="361" t="s">
        <v>222</v>
      </c>
      <c r="H8" s="361" t="s">
        <v>218</v>
      </c>
      <c r="I8" s="368">
        <v>217</v>
      </c>
    </row>
    <row r="9" spans="1:10" ht="16.8">
      <c r="A9" s="358" t="s">
        <v>242</v>
      </c>
      <c r="B9" s="397">
        <v>0</v>
      </c>
      <c r="C9" s="365" t="s">
        <v>229</v>
      </c>
      <c r="D9" s="359" t="s">
        <v>214</v>
      </c>
      <c r="E9" s="360" t="s">
        <v>215</v>
      </c>
      <c r="F9" s="361" t="s">
        <v>216</v>
      </c>
      <c r="G9" s="361" t="s">
        <v>217</v>
      </c>
      <c r="H9" s="361" t="s">
        <v>236</v>
      </c>
      <c r="I9" s="368">
        <v>78</v>
      </c>
    </row>
    <row r="10" spans="1:10" ht="16.8">
      <c r="A10" s="358" t="s">
        <v>243</v>
      </c>
      <c r="B10" s="397">
        <v>0</v>
      </c>
      <c r="C10" s="365" t="s">
        <v>229</v>
      </c>
      <c r="D10" s="359" t="s">
        <v>227</v>
      </c>
      <c r="E10" s="360" t="s">
        <v>215</v>
      </c>
      <c r="F10" s="361" t="s">
        <v>216</v>
      </c>
      <c r="G10" s="361" t="s">
        <v>217</v>
      </c>
      <c r="H10" s="361" t="s">
        <v>218</v>
      </c>
      <c r="I10" s="381">
        <v>232</v>
      </c>
    </row>
    <row r="11" spans="1:10" ht="16.8">
      <c r="A11" s="358" t="s">
        <v>244</v>
      </c>
      <c r="B11" s="397">
        <v>0</v>
      </c>
      <c r="C11" s="365" t="s">
        <v>229</v>
      </c>
      <c r="D11" s="359" t="s">
        <v>253</v>
      </c>
      <c r="E11" s="360" t="s">
        <v>215</v>
      </c>
      <c r="F11" s="361" t="s">
        <v>225</v>
      </c>
      <c r="G11" s="361" t="s">
        <v>233</v>
      </c>
      <c r="H11" s="361" t="s">
        <v>218</v>
      </c>
      <c r="I11" s="381">
        <v>248</v>
      </c>
    </row>
    <row r="12" spans="1:10" ht="16.8">
      <c r="A12" s="358" t="s">
        <v>245</v>
      </c>
      <c r="B12" s="397">
        <v>0</v>
      </c>
      <c r="C12" s="365" t="s">
        <v>229</v>
      </c>
      <c r="D12" s="359" t="s">
        <v>214</v>
      </c>
      <c r="E12" s="360" t="s">
        <v>215</v>
      </c>
      <c r="F12" s="361" t="s">
        <v>216</v>
      </c>
      <c r="G12" s="361" t="s">
        <v>217</v>
      </c>
      <c r="H12" s="361" t="s">
        <v>236</v>
      </c>
      <c r="I12" s="368">
        <v>195</v>
      </c>
    </row>
    <row r="13" spans="1:10" ht="16.8">
      <c r="A13" s="358" t="s">
        <v>146</v>
      </c>
      <c r="B13" s="397">
        <v>0</v>
      </c>
      <c r="C13" s="362" t="s">
        <v>234</v>
      </c>
      <c r="D13" s="359" t="s">
        <v>214</v>
      </c>
      <c r="E13" s="363" t="s">
        <v>215</v>
      </c>
      <c r="F13" s="363" t="s">
        <v>231</v>
      </c>
      <c r="G13" s="363" t="s">
        <v>252</v>
      </c>
      <c r="H13" s="361" t="s">
        <v>218</v>
      </c>
      <c r="I13" s="381">
        <v>216</v>
      </c>
    </row>
    <row r="14" spans="1:10" ht="16.8">
      <c r="A14" s="358" t="s">
        <v>83</v>
      </c>
      <c r="B14" s="397">
        <v>0</v>
      </c>
      <c r="C14" s="365" t="s">
        <v>234</v>
      </c>
      <c r="D14" s="359" t="s">
        <v>221</v>
      </c>
      <c r="E14" s="360" t="s">
        <v>215</v>
      </c>
      <c r="F14" s="361" t="s">
        <v>216</v>
      </c>
      <c r="G14" s="361" t="s">
        <v>226</v>
      </c>
      <c r="H14" s="361" t="s">
        <v>218</v>
      </c>
      <c r="I14" s="381">
        <v>235</v>
      </c>
    </row>
    <row r="15" spans="1:10" ht="16.8">
      <c r="A15" s="358" t="s">
        <v>246</v>
      </c>
      <c r="B15" s="397">
        <v>0</v>
      </c>
      <c r="C15" s="362" t="s">
        <v>234</v>
      </c>
      <c r="D15" s="364" t="s">
        <v>254</v>
      </c>
      <c r="E15" s="363" t="s">
        <v>215</v>
      </c>
      <c r="F15" s="363" t="s">
        <v>216</v>
      </c>
      <c r="G15" s="363" t="s">
        <v>232</v>
      </c>
      <c r="H15" s="361" t="s">
        <v>236</v>
      </c>
      <c r="I15" s="381">
        <v>190</v>
      </c>
    </row>
    <row r="16" spans="1:10" ht="16.8">
      <c r="A16" s="358" t="s">
        <v>247</v>
      </c>
      <c r="B16" s="397">
        <v>0</v>
      </c>
      <c r="C16" s="365" t="s">
        <v>234</v>
      </c>
      <c r="D16" s="359" t="s">
        <v>214</v>
      </c>
      <c r="E16" s="360" t="s">
        <v>215</v>
      </c>
      <c r="F16" s="361" t="s">
        <v>216</v>
      </c>
      <c r="G16" s="361" t="s">
        <v>226</v>
      </c>
      <c r="H16" s="361" t="s">
        <v>255</v>
      </c>
      <c r="I16" s="381">
        <v>108</v>
      </c>
      <c r="J16" s="357"/>
    </row>
    <row r="17" spans="1:9" ht="16.8">
      <c r="A17" s="358" t="s">
        <v>249</v>
      </c>
      <c r="B17" s="397">
        <v>0</v>
      </c>
      <c r="C17" s="362" t="s">
        <v>259</v>
      </c>
      <c r="D17" s="364" t="s">
        <v>214</v>
      </c>
      <c r="E17" s="363" t="s">
        <v>215</v>
      </c>
      <c r="F17" s="363" t="s">
        <v>260</v>
      </c>
      <c r="G17" s="363" t="s">
        <v>261</v>
      </c>
      <c r="H17" s="361" t="s">
        <v>218</v>
      </c>
      <c r="I17" s="381">
        <v>201</v>
      </c>
    </row>
    <row r="18" spans="1:9" ht="16.8">
      <c r="A18" s="358" t="s">
        <v>250</v>
      </c>
      <c r="B18" s="397">
        <v>0</v>
      </c>
      <c r="C18" s="369" t="s">
        <v>259</v>
      </c>
      <c r="D18" s="372" t="s">
        <v>214</v>
      </c>
      <c r="E18" s="370" t="s">
        <v>215</v>
      </c>
      <c r="F18" s="370" t="s">
        <v>151</v>
      </c>
      <c r="G18" s="370" t="s">
        <v>232</v>
      </c>
      <c r="H18" s="361" t="s">
        <v>218</v>
      </c>
      <c r="I18" s="381">
        <v>219</v>
      </c>
    </row>
    <row r="19" spans="1:9" ht="16.8">
      <c r="A19" s="358" t="s">
        <v>147</v>
      </c>
      <c r="B19" s="397">
        <v>0</v>
      </c>
      <c r="C19" s="369" t="s">
        <v>259</v>
      </c>
      <c r="D19" s="372" t="s">
        <v>214</v>
      </c>
      <c r="E19" s="370" t="s">
        <v>215</v>
      </c>
      <c r="F19" s="370" t="s">
        <v>257</v>
      </c>
      <c r="G19" s="370" t="s">
        <v>228</v>
      </c>
      <c r="H19" s="361" t="s">
        <v>218</v>
      </c>
      <c r="I19" s="381">
        <v>264</v>
      </c>
    </row>
    <row r="20" spans="1:9" ht="16.8">
      <c r="A20" s="366" t="s">
        <v>251</v>
      </c>
      <c r="B20" s="404">
        <v>0</v>
      </c>
      <c r="C20" s="373" t="s">
        <v>259</v>
      </c>
      <c r="D20" s="374" t="s">
        <v>237</v>
      </c>
      <c r="E20" s="375" t="s">
        <v>215</v>
      </c>
      <c r="F20" s="375" t="s">
        <v>224</v>
      </c>
      <c r="G20" s="375" t="s">
        <v>233</v>
      </c>
      <c r="H20" s="367" t="s">
        <v>218</v>
      </c>
      <c r="I20" s="371">
        <v>269</v>
      </c>
    </row>
    <row r="21" spans="1:9" ht="16.8">
      <c r="A21" s="382" t="s">
        <v>262</v>
      </c>
      <c r="B21" s="398">
        <v>1</v>
      </c>
      <c r="C21" s="369" t="s">
        <v>235</v>
      </c>
      <c r="D21" s="372" t="s">
        <v>230</v>
      </c>
      <c r="E21" s="370" t="s">
        <v>215</v>
      </c>
      <c r="F21" s="370" t="s">
        <v>216</v>
      </c>
      <c r="G21" s="370" t="s">
        <v>266</v>
      </c>
      <c r="H21" s="361" t="s">
        <v>218</v>
      </c>
      <c r="I21" s="399">
        <v>197</v>
      </c>
    </row>
    <row r="22" spans="1:9" ht="16.8">
      <c r="A22" s="382" t="s">
        <v>263</v>
      </c>
      <c r="B22" s="398">
        <v>1</v>
      </c>
      <c r="C22" s="369" t="s">
        <v>213</v>
      </c>
      <c r="D22" s="372" t="s">
        <v>237</v>
      </c>
      <c r="E22" s="370" t="s">
        <v>215</v>
      </c>
      <c r="F22" s="370" t="s">
        <v>225</v>
      </c>
      <c r="G22" s="370" t="s">
        <v>258</v>
      </c>
      <c r="H22" s="361" t="s">
        <v>218</v>
      </c>
      <c r="I22" s="399">
        <v>249</v>
      </c>
    </row>
    <row r="23" spans="1:9" ht="16.8">
      <c r="A23" s="382" t="s">
        <v>264</v>
      </c>
      <c r="B23" s="398">
        <v>1</v>
      </c>
      <c r="C23" s="369" t="s">
        <v>229</v>
      </c>
      <c r="D23" s="372" t="s">
        <v>221</v>
      </c>
      <c r="E23" s="370" t="s">
        <v>215</v>
      </c>
      <c r="F23" s="370" t="s">
        <v>216</v>
      </c>
      <c r="G23" s="370" t="s">
        <v>258</v>
      </c>
      <c r="H23" s="361" t="s">
        <v>218</v>
      </c>
      <c r="I23" s="399">
        <v>294</v>
      </c>
    </row>
    <row r="24" spans="1:9" ht="17.399999999999999" thickBot="1">
      <c r="A24" s="383" t="s">
        <v>265</v>
      </c>
      <c r="B24" s="400">
        <v>1</v>
      </c>
      <c r="C24" s="384" t="s">
        <v>235</v>
      </c>
      <c r="D24" s="385" t="s">
        <v>214</v>
      </c>
      <c r="E24" s="386" t="s">
        <v>215</v>
      </c>
      <c r="F24" s="386" t="s">
        <v>225</v>
      </c>
      <c r="G24" s="386" t="s">
        <v>256</v>
      </c>
      <c r="H24" s="386" t="s">
        <v>218</v>
      </c>
      <c r="I24" s="401">
        <v>226</v>
      </c>
    </row>
    <row r="25"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1EC9-ECEB-47A4-B92A-F46BEB4CA2F4}">
  <dimension ref="A1:Q21"/>
  <sheetViews>
    <sheetView showGridLines="0" workbookViewId="0"/>
  </sheetViews>
  <sheetFormatPr defaultColWidth="6.19921875" defaultRowHeight="16.8"/>
  <cols>
    <col min="1" max="1" width="20.69921875" style="522" bestFit="1" customWidth="1"/>
    <col min="2" max="2" width="6.19921875" style="522"/>
    <col min="3" max="3" width="8.8984375" style="522" bestFit="1" customWidth="1"/>
    <col min="4" max="4" width="4.09765625" style="522" bestFit="1" customWidth="1"/>
    <col min="5" max="5" width="6.296875" style="522" bestFit="1" customWidth="1"/>
    <col min="6" max="6" width="3.796875" style="522" customWidth="1"/>
    <col min="7" max="7" width="16.3984375" style="522" bestFit="1" customWidth="1"/>
    <col min="8" max="8" width="3.8984375" style="522" bestFit="1" customWidth="1"/>
    <col min="9" max="10" width="4.59765625" style="522" customWidth="1"/>
    <col min="11" max="11" width="4.09765625" style="522" bestFit="1" customWidth="1"/>
    <col min="12" max="19" width="3.8984375" style="522" bestFit="1" customWidth="1"/>
    <col min="20" max="16384" width="6.19921875" style="522"/>
  </cols>
  <sheetData>
    <row r="1" spans="1:17" ht="22.2" thickTop="1" thickBot="1">
      <c r="A1" s="433" t="s">
        <v>284</v>
      </c>
      <c r="B1" s="434"/>
      <c r="C1" s="434"/>
      <c r="D1" s="434"/>
      <c r="E1" s="435"/>
      <c r="F1" s="348"/>
      <c r="G1" s="348"/>
      <c r="H1" s="406" t="s">
        <v>267</v>
      </c>
      <c r="I1" s="407"/>
      <c r="J1" s="407"/>
      <c r="K1" s="407"/>
      <c r="L1" s="407"/>
      <c r="M1" s="407"/>
      <c r="N1" s="407"/>
      <c r="O1" s="407"/>
      <c r="P1" s="407"/>
      <c r="Q1" s="408"/>
    </row>
    <row r="2" spans="1:17" ht="18" thickTop="1" thickBot="1">
      <c r="A2" s="436" t="s">
        <v>76</v>
      </c>
      <c r="B2" s="437" t="s">
        <v>79</v>
      </c>
      <c r="C2" s="438" t="s">
        <v>285</v>
      </c>
      <c r="D2" s="438" t="s">
        <v>80</v>
      </c>
      <c r="E2" s="439" t="s">
        <v>81</v>
      </c>
      <c r="F2" s="348"/>
      <c r="G2" s="348"/>
      <c r="H2" s="409" t="s">
        <v>268</v>
      </c>
      <c r="I2" s="410" t="s">
        <v>269</v>
      </c>
      <c r="J2" s="410" t="s">
        <v>270</v>
      </c>
      <c r="K2" s="410" t="s">
        <v>271</v>
      </c>
      <c r="L2" s="411" t="s">
        <v>272</v>
      </c>
      <c r="M2" s="410" t="s">
        <v>273</v>
      </c>
      <c r="N2" s="410" t="s">
        <v>274</v>
      </c>
      <c r="O2" s="410" t="s">
        <v>275</v>
      </c>
      <c r="P2" s="411" t="s">
        <v>276</v>
      </c>
      <c r="Q2" s="412" t="s">
        <v>277</v>
      </c>
    </row>
    <row r="3" spans="1:17" ht="17.399999999999999" thickTop="1">
      <c r="A3" s="440" t="s">
        <v>250</v>
      </c>
      <c r="B3" s="441">
        <v>0</v>
      </c>
      <c r="C3" s="441">
        <v>0</v>
      </c>
      <c r="D3" s="442">
        <f>10+B3+C3+'Personal File'!$C$15</f>
        <v>12</v>
      </c>
      <c r="E3" s="443" t="s">
        <v>319</v>
      </c>
      <c r="F3" s="348"/>
      <c r="G3" s="413" t="s">
        <v>278</v>
      </c>
      <c r="H3" s="414">
        <v>3</v>
      </c>
      <c r="I3" s="415">
        <v>1</v>
      </c>
      <c r="J3" s="416">
        <v>0</v>
      </c>
      <c r="K3" s="416">
        <v>0</v>
      </c>
      <c r="L3" s="416">
        <v>0</v>
      </c>
      <c r="M3" s="416">
        <v>0</v>
      </c>
      <c r="N3" s="416">
        <v>0</v>
      </c>
      <c r="O3" s="416">
        <v>0</v>
      </c>
      <c r="P3" s="416">
        <v>0</v>
      </c>
      <c r="Q3" s="417">
        <v>0</v>
      </c>
    </row>
    <row r="4" spans="1:17">
      <c r="A4" s="440" t="s">
        <v>219</v>
      </c>
      <c r="B4" s="441">
        <v>0</v>
      </c>
      <c r="C4" s="441">
        <v>0</v>
      </c>
      <c r="D4" s="442">
        <f>10+B4+C4+'Personal File'!$C$15</f>
        <v>12</v>
      </c>
      <c r="E4" s="443" t="s">
        <v>103</v>
      </c>
      <c r="F4" s="348"/>
      <c r="G4" s="418" t="s">
        <v>279</v>
      </c>
      <c r="H4" s="419">
        <v>0</v>
      </c>
      <c r="I4" s="420">
        <v>1</v>
      </c>
      <c r="J4" s="421">
        <v>1</v>
      </c>
      <c r="K4" s="421">
        <v>0</v>
      </c>
      <c r="L4" s="421">
        <v>0</v>
      </c>
      <c r="M4" s="421">
        <v>0</v>
      </c>
      <c r="N4" s="421">
        <v>0</v>
      </c>
      <c r="O4" s="421">
        <v>0</v>
      </c>
      <c r="P4" s="421">
        <v>0</v>
      </c>
      <c r="Q4" s="422">
        <v>0</v>
      </c>
    </row>
    <row r="5" spans="1:17" ht="17.399999999999999" thickBot="1">
      <c r="A5" s="444" t="s">
        <v>248</v>
      </c>
      <c r="B5" s="445">
        <v>0</v>
      </c>
      <c r="C5" s="445">
        <v>0</v>
      </c>
      <c r="D5" s="446">
        <f>10+B5+C5+'Personal File'!$C$15</f>
        <v>12</v>
      </c>
      <c r="E5" s="447" t="s">
        <v>103</v>
      </c>
      <c r="F5" s="348"/>
      <c r="G5" s="423" t="s">
        <v>280</v>
      </c>
      <c r="H5" s="424">
        <f t="shared" ref="H5:I5" si="0">SUM(H3:H4)</f>
        <v>3</v>
      </c>
      <c r="I5" s="425">
        <f t="shared" si="0"/>
        <v>2</v>
      </c>
      <c r="J5" s="426">
        <v>0</v>
      </c>
      <c r="K5" s="426">
        <v>0</v>
      </c>
      <c r="L5" s="426">
        <v>0</v>
      </c>
      <c r="M5" s="426">
        <v>0</v>
      </c>
      <c r="N5" s="426">
        <v>0</v>
      </c>
      <c r="O5" s="426">
        <v>0</v>
      </c>
      <c r="P5" s="426">
        <v>0</v>
      </c>
      <c r="Q5" s="427">
        <v>0</v>
      </c>
    </row>
    <row r="6" spans="1:17" ht="17.399999999999999" thickBot="1">
      <c r="A6" s="440" t="s">
        <v>263</v>
      </c>
      <c r="B6" s="441">
        <v>1</v>
      </c>
      <c r="C6" s="441">
        <v>0</v>
      </c>
      <c r="D6" s="442">
        <f>10+B6+C6+'Personal File'!$C$15</f>
        <v>13</v>
      </c>
      <c r="E6" s="443" t="s">
        <v>319</v>
      </c>
      <c r="F6" s="348"/>
      <c r="G6" s="428" t="s">
        <v>281</v>
      </c>
      <c r="H6" s="429">
        <f>10+LEFT(H2,1)+'Personal File'!$C$15</f>
        <v>12</v>
      </c>
      <c r="I6" s="430">
        <f>10+LEFT(I2,1)+'Personal File'!$C$15</f>
        <v>13</v>
      </c>
      <c r="J6" s="431">
        <f>10+LEFT(J2,1)+'Personal File'!$C$15</f>
        <v>14</v>
      </c>
      <c r="K6" s="431">
        <f>10+LEFT(K2,1)+'Personal File'!$C$15</f>
        <v>15</v>
      </c>
      <c r="L6" s="431">
        <f>10+LEFT(L2,1)+'Personal File'!$C$15</f>
        <v>16</v>
      </c>
      <c r="M6" s="431">
        <f>10+LEFT(M2,1)+'Personal File'!$C$15</f>
        <v>17</v>
      </c>
      <c r="N6" s="431">
        <f>10+LEFT(N2,1)+'Personal File'!$C$15</f>
        <v>18</v>
      </c>
      <c r="O6" s="431">
        <f>10+LEFT(O2,1)+'Personal File'!$C$15</f>
        <v>19</v>
      </c>
      <c r="P6" s="431">
        <f>10+LEFT(P2,1)+'Personal File'!$C$15</f>
        <v>20</v>
      </c>
      <c r="Q6" s="432">
        <f>10+LEFT(Q2,1)+'Personal File'!$C$15</f>
        <v>21</v>
      </c>
    </row>
    <row r="7" spans="1:17" ht="18" thickTop="1" thickBot="1">
      <c r="A7" s="448" t="s">
        <v>262</v>
      </c>
      <c r="B7" s="449">
        <v>1</v>
      </c>
      <c r="C7" s="449">
        <v>0</v>
      </c>
      <c r="D7" s="450">
        <f>10+B7+C7+'Personal File'!$C$15</f>
        <v>13</v>
      </c>
      <c r="E7" s="451" t="s">
        <v>103</v>
      </c>
      <c r="F7" s="348"/>
      <c r="G7" s="287"/>
      <c r="H7" s="287"/>
      <c r="I7" s="287" t="s">
        <v>282</v>
      </c>
      <c r="J7" s="341">
        <f>'Personal File'!E4</f>
        <v>1</v>
      </c>
      <c r="K7" s="287"/>
      <c r="L7" s="287"/>
      <c r="M7" s="287"/>
      <c r="N7" s="287"/>
      <c r="O7" s="287"/>
      <c r="P7" s="287"/>
      <c r="Q7" s="287"/>
    </row>
    <row r="8" spans="1:17" ht="18" thickTop="1" thickBot="1"/>
    <row r="9" spans="1:17" ht="24" thickTop="1" thickBot="1">
      <c r="A9" s="523" t="s">
        <v>153</v>
      </c>
      <c r="B9" s="434"/>
      <c r="C9" s="434"/>
      <c r="D9" s="434"/>
      <c r="E9" s="435"/>
      <c r="G9" s="525" t="s">
        <v>308</v>
      </c>
      <c r="H9" s="521"/>
      <c r="I9" s="521"/>
      <c r="J9" s="521"/>
      <c r="K9" s="521"/>
      <c r="L9" s="521"/>
      <c r="O9" s="526" t="s">
        <v>310</v>
      </c>
      <c r="P9" s="524">
        <v>1</v>
      </c>
    </row>
    <row r="10" spans="1:17" ht="18" thickTop="1" thickBot="1">
      <c r="A10" s="436" t="s">
        <v>76</v>
      </c>
      <c r="B10" s="258" t="s">
        <v>79</v>
      </c>
      <c r="C10" s="438" t="s">
        <v>144</v>
      </c>
      <c r="D10" s="438" t="s">
        <v>80</v>
      </c>
      <c r="E10" s="265" t="s">
        <v>81</v>
      </c>
      <c r="G10" s="504" t="s">
        <v>309</v>
      </c>
      <c r="H10" s="505" t="s">
        <v>268</v>
      </c>
      <c r="I10" s="505" t="s">
        <v>269</v>
      </c>
      <c r="J10" s="506" t="s">
        <v>270</v>
      </c>
      <c r="K10" s="506" t="s">
        <v>271</v>
      </c>
      <c r="L10" s="507" t="s">
        <v>272</v>
      </c>
    </row>
    <row r="11" spans="1:17">
      <c r="A11" s="253" t="s">
        <v>83</v>
      </c>
      <c r="B11" s="259">
        <v>0</v>
      </c>
      <c r="C11" s="254" t="s">
        <v>145</v>
      </c>
      <c r="D11" s="254">
        <f>10+B11+C11+'Personal File'!$C$15</f>
        <v>13</v>
      </c>
      <c r="E11" s="262" t="s">
        <v>319</v>
      </c>
      <c r="G11" s="527">
        <v>1</v>
      </c>
      <c r="H11" s="528" t="s">
        <v>93</v>
      </c>
      <c r="I11" s="528" t="s">
        <v>74</v>
      </c>
      <c r="J11" s="508"/>
      <c r="K11" s="508"/>
      <c r="L11" s="509"/>
    </row>
    <row r="12" spans="1:17">
      <c r="A12" s="255" t="s">
        <v>146</v>
      </c>
      <c r="B12" s="260">
        <v>0</v>
      </c>
      <c r="C12" s="191" t="s">
        <v>145</v>
      </c>
      <c r="D12" s="191">
        <f>10+B12+C12+'Personal File'!$C$15</f>
        <v>13</v>
      </c>
      <c r="E12" s="263" t="s">
        <v>103</v>
      </c>
      <c r="G12" s="510">
        <v>2</v>
      </c>
      <c r="H12" s="511">
        <v>5</v>
      </c>
      <c r="I12" s="511">
        <v>2</v>
      </c>
      <c r="J12" s="512"/>
      <c r="K12" s="512"/>
      <c r="L12" s="513"/>
    </row>
    <row r="13" spans="1:17">
      <c r="A13" s="255" t="s">
        <v>147</v>
      </c>
      <c r="B13" s="260">
        <v>0</v>
      </c>
      <c r="C13" s="191" t="s">
        <v>53</v>
      </c>
      <c r="D13" s="191">
        <f>10+B13+C13+'Personal File'!$C$15</f>
        <v>12</v>
      </c>
      <c r="E13" s="263" t="s">
        <v>103</v>
      </c>
      <c r="G13" s="510">
        <v>3</v>
      </c>
      <c r="H13" s="511">
        <v>5</v>
      </c>
      <c r="I13" s="511">
        <v>3</v>
      </c>
      <c r="J13" s="514">
        <v>1</v>
      </c>
      <c r="K13" s="512"/>
      <c r="L13" s="513"/>
    </row>
    <row r="14" spans="1:17" ht="17.399999999999999" thickBot="1">
      <c r="A14" s="256" t="s">
        <v>148</v>
      </c>
      <c r="B14" s="261">
        <v>1</v>
      </c>
      <c r="C14" s="252" t="s">
        <v>53</v>
      </c>
      <c r="D14" s="252">
        <f>10+B14+C14+'Personal File'!$C$15</f>
        <v>13</v>
      </c>
      <c r="E14" s="264" t="s">
        <v>319</v>
      </c>
      <c r="G14" s="510">
        <v>4</v>
      </c>
      <c r="H14" s="511">
        <v>6</v>
      </c>
      <c r="I14" s="511">
        <v>3</v>
      </c>
      <c r="J14" s="514">
        <v>2</v>
      </c>
      <c r="K14" s="512"/>
      <c r="L14" s="513"/>
    </row>
    <row r="15" spans="1:17" ht="17.399999999999999" thickTop="1">
      <c r="G15" s="510">
        <v>5</v>
      </c>
      <c r="H15" s="511">
        <v>6</v>
      </c>
      <c r="I15" s="511">
        <v>4</v>
      </c>
      <c r="J15" s="514">
        <v>2</v>
      </c>
      <c r="K15" s="514">
        <v>1</v>
      </c>
      <c r="L15" s="513"/>
    </row>
    <row r="16" spans="1:17">
      <c r="G16" s="510">
        <v>6</v>
      </c>
      <c r="H16" s="511">
        <v>7</v>
      </c>
      <c r="I16" s="511">
        <v>4</v>
      </c>
      <c r="J16" s="514">
        <v>3</v>
      </c>
      <c r="K16" s="514">
        <v>2</v>
      </c>
      <c r="L16" s="513"/>
    </row>
    <row r="17" spans="7:12">
      <c r="G17" s="510">
        <v>7</v>
      </c>
      <c r="H17" s="511">
        <v>7</v>
      </c>
      <c r="I17" s="511">
        <v>5</v>
      </c>
      <c r="J17" s="514">
        <v>3</v>
      </c>
      <c r="K17" s="514">
        <v>2</v>
      </c>
      <c r="L17" s="520">
        <v>1</v>
      </c>
    </row>
    <row r="18" spans="7:12">
      <c r="G18" s="510">
        <v>8</v>
      </c>
      <c r="H18" s="511">
        <v>8</v>
      </c>
      <c r="I18" s="511">
        <v>5</v>
      </c>
      <c r="J18" s="514">
        <v>4</v>
      </c>
      <c r="K18" s="514">
        <v>3</v>
      </c>
      <c r="L18" s="520">
        <v>2</v>
      </c>
    </row>
    <row r="19" spans="7:12">
      <c r="G19" s="510">
        <v>9</v>
      </c>
      <c r="H19" s="511">
        <v>8</v>
      </c>
      <c r="I19" s="511">
        <v>5</v>
      </c>
      <c r="J19" s="514">
        <v>4</v>
      </c>
      <c r="K19" s="514">
        <v>3</v>
      </c>
      <c r="L19" s="520">
        <v>2</v>
      </c>
    </row>
    <row r="20" spans="7:12" ht="17.399999999999999" thickBot="1">
      <c r="G20" s="515">
        <v>10</v>
      </c>
      <c r="H20" s="516">
        <v>9</v>
      </c>
      <c r="I20" s="517">
        <v>5</v>
      </c>
      <c r="J20" s="518">
        <v>5</v>
      </c>
      <c r="K20" s="518">
        <v>4</v>
      </c>
      <c r="L20" s="519">
        <v>3</v>
      </c>
    </row>
    <row r="21" spans="7:12" ht="17.399999999999999" thickTop="1"/>
  </sheetData>
  <conditionalFormatting sqref="E5:E7">
    <cfRule type="cellIs" dxfId="10" priority="224" operator="equal">
      <formula>"þ"</formula>
    </cfRule>
  </conditionalFormatting>
  <conditionalFormatting sqref="E3:E4">
    <cfRule type="cellIs" dxfId="9" priority="247" operator="equal">
      <formula>"þ"</formula>
    </cfRule>
  </conditionalFormatting>
  <conditionalFormatting sqref="E11:E14">
    <cfRule type="cellIs" dxfId="8" priority="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showGridLines="0" workbookViewId="0"/>
  </sheetViews>
  <sheetFormatPr defaultColWidth="10.59765625" defaultRowHeight="16.8"/>
  <cols>
    <col min="1" max="1" width="31.5" style="79" bestFit="1" customWidth="1"/>
    <col min="2" max="2" width="2.59765625" style="77" customWidth="1"/>
    <col min="3" max="3" width="26.3984375" style="78" bestFit="1" customWidth="1"/>
    <col min="4" max="16384" width="10.59765625" style="78"/>
  </cols>
  <sheetData>
    <row r="1" spans="1:3" ht="24" thickTop="1" thickBot="1">
      <c r="A1" s="222" t="s">
        <v>73</v>
      </c>
      <c r="C1" s="326" t="s">
        <v>117</v>
      </c>
    </row>
    <row r="2" spans="1:3">
      <c r="A2" s="221" t="s">
        <v>121</v>
      </c>
      <c r="C2" s="290" t="s">
        <v>297</v>
      </c>
    </row>
    <row r="3" spans="1:3" ht="17.399999999999999" thickBot="1">
      <c r="A3" s="257" t="s">
        <v>202</v>
      </c>
      <c r="C3" s="474" t="str">
        <f>CONCATENATE("Trap Sense +",1)</f>
        <v>Trap Sense +1</v>
      </c>
    </row>
    <row r="4" spans="1:3" ht="18" thickTop="1" thickBot="1">
      <c r="C4" s="353" t="s">
        <v>311</v>
      </c>
    </row>
    <row r="5" spans="1:3" ht="24" thickTop="1" thickBot="1">
      <c r="A5" s="223" t="s">
        <v>71</v>
      </c>
      <c r="C5" s="353" t="s">
        <v>198</v>
      </c>
    </row>
    <row r="6" spans="1:3" ht="17.399999999999999" thickBot="1">
      <c r="A6" s="80" t="s">
        <v>101</v>
      </c>
      <c r="C6" s="291" t="s">
        <v>118</v>
      </c>
    </row>
    <row r="7" spans="1:3" ht="18" thickTop="1" thickBot="1">
      <c r="A7" s="292" t="s">
        <v>122</v>
      </c>
    </row>
    <row r="8" spans="1:3" ht="24" thickTop="1" thickBot="1">
      <c r="A8" s="84" t="s">
        <v>100</v>
      </c>
      <c r="C8" s="405" t="s">
        <v>203</v>
      </c>
    </row>
    <row r="9" spans="1:3" ht="18" thickTop="1" thickBot="1">
      <c r="C9" s="221" t="s">
        <v>298</v>
      </c>
    </row>
    <row r="10" spans="1:3" ht="24" thickTop="1" thickBot="1">
      <c r="A10" s="225" t="s">
        <v>59</v>
      </c>
      <c r="C10" s="356" t="s">
        <v>204</v>
      </c>
    </row>
    <row r="11" spans="1:3" ht="17.399999999999999" thickBot="1">
      <c r="A11" s="81" t="s">
        <v>120</v>
      </c>
    </row>
    <row r="12" spans="1:3" ht="24" thickTop="1" thickBot="1">
      <c r="A12" s="83" t="s">
        <v>119</v>
      </c>
      <c r="C12" s="224" t="s">
        <v>84</v>
      </c>
    </row>
    <row r="13" spans="1:3" ht="17.399999999999999" thickTop="1">
      <c r="C13" s="82" t="s">
        <v>91</v>
      </c>
    </row>
    <row r="14" spans="1:3">
      <c r="C14" s="85" t="s">
        <v>85</v>
      </c>
    </row>
    <row r="15" spans="1:3" ht="17.399999999999999" thickBot="1">
      <c r="C15" s="86" t="s">
        <v>86</v>
      </c>
    </row>
    <row r="16"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workbookViewId="0"/>
  </sheetViews>
  <sheetFormatPr defaultColWidth="13" defaultRowHeight="15.6"/>
  <cols>
    <col min="1" max="1" width="20.8984375" style="26" bestFit="1" customWidth="1"/>
    <col min="2" max="2" width="8.5" style="26" bestFit="1" customWidth="1"/>
    <col min="3" max="3" width="4.296875" style="26" bestFit="1" customWidth="1"/>
    <col min="4" max="4" width="6.296875" style="26" bestFit="1" customWidth="1"/>
    <col min="5" max="5" width="8.09765625" style="26" bestFit="1" customWidth="1"/>
    <col min="6" max="6" width="8.3984375" style="26" bestFit="1" customWidth="1"/>
    <col min="7" max="7" width="4.69921875" style="26" bestFit="1" customWidth="1"/>
    <col min="8" max="8" width="5.69921875" style="26" bestFit="1" customWidth="1"/>
    <col min="9" max="9" width="5.59765625" style="26" bestFit="1" customWidth="1"/>
    <col min="10" max="10" width="6.296875" style="26" bestFit="1" customWidth="1"/>
    <col min="11" max="11" width="23.796875" style="26" bestFit="1" customWidth="1"/>
    <col min="12" max="12" width="3.3984375" style="21" customWidth="1"/>
    <col min="13" max="13" width="5.796875" style="205" bestFit="1" customWidth="1"/>
    <col min="14" max="14" width="7.69921875" style="26" bestFit="1" customWidth="1"/>
    <col min="15" max="16384" width="13" style="21"/>
  </cols>
  <sheetData>
    <row r="1" spans="1:14" ht="23.4" thickBot="1">
      <c r="A1" s="19" t="s">
        <v>14</v>
      </c>
      <c r="B1" s="19"/>
      <c r="C1" s="19"/>
      <c r="D1" s="19"/>
      <c r="E1" s="19"/>
      <c r="F1" s="19"/>
      <c r="G1" s="19"/>
      <c r="H1" s="19"/>
      <c r="I1" s="19"/>
      <c r="J1" s="19"/>
      <c r="K1" s="19"/>
    </row>
    <row r="2" spans="1:14" ht="16.8" thickTop="1" thickBot="1">
      <c r="A2" s="44" t="s">
        <v>0</v>
      </c>
      <c r="B2" s="45" t="s">
        <v>1</v>
      </c>
      <c r="C2" s="45" t="s">
        <v>16</v>
      </c>
      <c r="D2" s="45" t="s">
        <v>17</v>
      </c>
      <c r="E2" s="46" t="s">
        <v>55</v>
      </c>
      <c r="F2" s="45" t="s">
        <v>15</v>
      </c>
      <c r="G2" s="45" t="s">
        <v>18</v>
      </c>
      <c r="H2" s="47" t="s">
        <v>72</v>
      </c>
      <c r="I2" s="529" t="s">
        <v>75</v>
      </c>
      <c r="J2" s="47" t="s">
        <v>65</v>
      </c>
      <c r="K2" s="48" t="s">
        <v>63</v>
      </c>
      <c r="M2" s="206" t="s">
        <v>97</v>
      </c>
    </row>
    <row r="3" spans="1:14">
      <c r="A3" s="211" t="s">
        <v>124</v>
      </c>
      <c r="B3" s="6" t="s">
        <v>125</v>
      </c>
      <c r="C3" s="7" t="str">
        <f>'Personal File'!$C$12</f>
        <v>+0</v>
      </c>
      <c r="D3" s="549">
        <v>0</v>
      </c>
      <c r="E3" s="295" t="s">
        <v>128</v>
      </c>
      <c r="F3" s="8" t="s">
        <v>149</v>
      </c>
      <c r="G3" s="9">
        <v>1</v>
      </c>
      <c r="H3" s="203">
        <f>'Personal File'!$B$10+'Personal File'!$C$12+D3</f>
        <v>3</v>
      </c>
      <c r="I3" s="530">
        <f t="shared" ref="I3:I5" ca="1" si="0">RANDBETWEEN(1,20)</f>
        <v>8</v>
      </c>
      <c r="J3" s="204">
        <f t="shared" ref="J3" ca="1" si="1">I3+H3</f>
        <v>11</v>
      </c>
      <c r="K3" s="16"/>
      <c r="M3" s="207">
        <v>10</v>
      </c>
    </row>
    <row r="4" spans="1:14">
      <c r="A4" s="293" t="s">
        <v>126</v>
      </c>
      <c r="B4" s="276" t="s">
        <v>88</v>
      </c>
      <c r="C4" s="294" t="str">
        <f>'Personal File'!$C$12</f>
        <v>+0</v>
      </c>
      <c r="D4" s="550">
        <v>0</v>
      </c>
      <c r="E4" s="295" t="s">
        <v>128</v>
      </c>
      <c r="F4" s="296" t="s">
        <v>129</v>
      </c>
      <c r="G4" s="277">
        <v>0.5</v>
      </c>
      <c r="H4" s="300">
        <f>'Personal File'!$B$10+'Personal File'!$C$12+D4</f>
        <v>3</v>
      </c>
      <c r="I4" s="531">
        <f t="shared" ca="1" si="0"/>
        <v>17</v>
      </c>
      <c r="J4" s="301">
        <f t="shared" ref="J4:J5" ca="1" si="2">I4+H4</f>
        <v>20</v>
      </c>
      <c r="K4" s="302"/>
      <c r="M4" s="278">
        <v>2</v>
      </c>
    </row>
    <row r="5" spans="1:14">
      <c r="A5" s="293" t="s">
        <v>127</v>
      </c>
      <c r="B5" s="276" t="s">
        <v>88</v>
      </c>
      <c r="C5" s="294" t="str">
        <f>'Personal File'!$C$12</f>
        <v>+0</v>
      </c>
      <c r="D5" s="550">
        <v>0</v>
      </c>
      <c r="E5" s="295" t="s">
        <v>128</v>
      </c>
      <c r="F5" s="296" t="s">
        <v>129</v>
      </c>
      <c r="G5" s="277">
        <v>0.5</v>
      </c>
      <c r="H5" s="300">
        <f>'Personal File'!$B$10+'Personal File'!$C$12+D5</f>
        <v>3</v>
      </c>
      <c r="I5" s="531">
        <f t="shared" ca="1" si="0"/>
        <v>19</v>
      </c>
      <c r="J5" s="301">
        <f t="shared" ca="1" si="2"/>
        <v>22</v>
      </c>
      <c r="K5" s="302"/>
      <c r="M5" s="278">
        <v>2</v>
      </c>
    </row>
    <row r="6" spans="1:14" ht="16.2" thickBot="1">
      <c r="A6" s="10" t="s">
        <v>95</v>
      </c>
      <c r="B6" s="11" t="s">
        <v>88</v>
      </c>
      <c r="C6" s="12" t="str">
        <f>'Personal File'!$C$12</f>
        <v>+0</v>
      </c>
      <c r="D6" s="551">
        <v>0</v>
      </c>
      <c r="E6" s="13" t="s">
        <v>96</v>
      </c>
      <c r="F6" s="14" t="s">
        <v>87</v>
      </c>
      <c r="G6" s="15">
        <v>0</v>
      </c>
      <c r="H6" s="17">
        <f>'Personal File'!$B$10+'Personal File'!$C$12+D6</f>
        <v>3</v>
      </c>
      <c r="I6" s="532">
        <f t="shared" ref="I6" ca="1" si="3">RANDBETWEEN(1,20)</f>
        <v>17</v>
      </c>
      <c r="J6" s="49">
        <f t="shared" ref="J6" ca="1" si="4">I6+H6</f>
        <v>20</v>
      </c>
      <c r="K6" s="18" t="s">
        <v>85</v>
      </c>
      <c r="M6" s="217" t="s">
        <v>77</v>
      </c>
    </row>
    <row r="7" spans="1:14" ht="6" customHeight="1" thickTop="1" thickBot="1">
      <c r="I7" s="50"/>
      <c r="J7" s="50"/>
      <c r="M7" s="210"/>
    </row>
    <row r="8" spans="1:14" ht="16.8" thickTop="1" thickBot="1">
      <c r="A8" s="44" t="s">
        <v>3</v>
      </c>
      <c r="B8" s="45" t="s">
        <v>4</v>
      </c>
      <c r="C8" s="45" t="s">
        <v>16</v>
      </c>
      <c r="D8" s="45" t="s">
        <v>17</v>
      </c>
      <c r="E8" s="46" t="s">
        <v>55</v>
      </c>
      <c r="F8" s="45" t="s">
        <v>5</v>
      </c>
      <c r="G8" s="45" t="s">
        <v>18</v>
      </c>
      <c r="H8" s="47" t="s">
        <v>72</v>
      </c>
      <c r="I8" s="529" t="s">
        <v>75</v>
      </c>
      <c r="J8" s="47" t="s">
        <v>65</v>
      </c>
      <c r="K8" s="48" t="s">
        <v>63</v>
      </c>
      <c r="M8" s="206" t="s">
        <v>97</v>
      </c>
    </row>
    <row r="9" spans="1:14">
      <c r="A9" s="464" t="s">
        <v>104</v>
      </c>
      <c r="B9" s="465" t="s">
        <v>77</v>
      </c>
      <c r="C9" s="466" t="s">
        <v>77</v>
      </c>
      <c r="D9" s="552">
        <v>0</v>
      </c>
      <c r="E9" s="467" t="s">
        <v>77</v>
      </c>
      <c r="F9" s="468" t="s">
        <v>77</v>
      </c>
      <c r="G9" s="469" t="s">
        <v>77</v>
      </c>
      <c r="H9" s="470">
        <f>'Personal File'!$B$10+'Personal File'!$C$13+D9</f>
        <v>6</v>
      </c>
      <c r="I9" s="533">
        <f t="shared" ref="I9:I11" ca="1" si="5">RANDBETWEEN(1,20)</f>
        <v>16</v>
      </c>
      <c r="J9" s="471">
        <f t="shared" ref="J9" ca="1" si="6">I9+H9</f>
        <v>22</v>
      </c>
      <c r="K9" s="472" t="s">
        <v>85</v>
      </c>
      <c r="L9" s="216"/>
      <c r="M9" s="473" t="s">
        <v>77</v>
      </c>
    </row>
    <row r="10" spans="1:14" ht="18.600000000000001">
      <c r="A10" s="539" t="s">
        <v>316</v>
      </c>
      <c r="B10" s="540"/>
      <c r="C10" s="541" t="s">
        <v>77</v>
      </c>
      <c r="D10" s="553">
        <v>0</v>
      </c>
      <c r="E10" s="542" t="s">
        <v>313</v>
      </c>
      <c r="F10" s="543" t="s">
        <v>114</v>
      </c>
      <c r="G10" s="544">
        <v>5</v>
      </c>
      <c r="H10" s="545">
        <f>'Personal File'!$B$10+'Personal File'!$C$13+D10</f>
        <v>6</v>
      </c>
      <c r="I10" s="533">
        <f t="shared" ca="1" si="5"/>
        <v>8</v>
      </c>
      <c r="J10" s="545">
        <f t="shared" ref="J10" ca="1" si="7">I10+H10</f>
        <v>14</v>
      </c>
      <c r="K10" s="546" t="s">
        <v>314</v>
      </c>
      <c r="L10" s="216"/>
      <c r="M10" s="547" t="s">
        <v>77</v>
      </c>
    </row>
    <row r="11" spans="1:14" s="218" customFormat="1">
      <c r="A11" s="293" t="s">
        <v>123</v>
      </c>
      <c r="B11" s="276" t="s">
        <v>125</v>
      </c>
      <c r="C11" s="294">
        <v>0</v>
      </c>
      <c r="D11" s="550">
        <v>0</v>
      </c>
      <c r="E11" s="295" t="s">
        <v>150</v>
      </c>
      <c r="F11" s="296" t="s">
        <v>151</v>
      </c>
      <c r="G11" s="277">
        <v>1</v>
      </c>
      <c r="H11" s="297">
        <v>2</v>
      </c>
      <c r="I11" s="533">
        <f t="shared" ca="1" si="5"/>
        <v>3</v>
      </c>
      <c r="J11" s="297">
        <f t="shared" ref="J11:J12" ca="1" si="8">I11+H11</f>
        <v>5</v>
      </c>
      <c r="K11" s="298"/>
      <c r="L11" s="216"/>
      <c r="M11" s="278">
        <v>30</v>
      </c>
      <c r="N11" s="237"/>
    </row>
    <row r="12" spans="1:14" ht="16.2" thickBot="1">
      <c r="A12" s="10"/>
      <c r="B12" s="11"/>
      <c r="C12" s="72"/>
      <c r="D12" s="554"/>
      <c r="E12" s="11"/>
      <c r="F12" s="72"/>
      <c r="G12" s="15"/>
      <c r="H12" s="49"/>
      <c r="I12" s="534">
        <f t="shared" ref="I12" ca="1" si="9">RANDBETWEEN(1,20)</f>
        <v>1</v>
      </c>
      <c r="J12" s="49">
        <f t="shared" ca="1" si="8"/>
        <v>1</v>
      </c>
      <c r="K12" s="299"/>
      <c r="L12" s="216"/>
      <c r="M12" s="209" t="s">
        <v>77</v>
      </c>
    </row>
    <row r="13" spans="1:14" ht="6" customHeight="1" thickTop="1" thickBot="1">
      <c r="D13" s="51"/>
      <c r="E13" s="51"/>
      <c r="G13" s="43"/>
      <c r="H13" s="43"/>
      <c r="I13" s="50"/>
      <c r="J13" s="43"/>
      <c r="M13" s="210"/>
    </row>
    <row r="14" spans="1:14" ht="16.8" thickTop="1" thickBot="1">
      <c r="A14" s="44" t="s">
        <v>57</v>
      </c>
      <c r="B14" s="45" t="s">
        <v>8</v>
      </c>
      <c r="C14" s="45" t="s">
        <v>25</v>
      </c>
      <c r="D14" s="45" t="s">
        <v>65</v>
      </c>
      <c r="E14" s="45" t="s">
        <v>66</v>
      </c>
      <c r="F14" s="45" t="s">
        <v>67</v>
      </c>
      <c r="G14" s="45" t="s">
        <v>18</v>
      </c>
      <c r="H14" s="52" t="s">
        <v>63</v>
      </c>
      <c r="I14" s="53"/>
      <c r="J14" s="53"/>
      <c r="K14" s="54"/>
      <c r="M14" s="206" t="s">
        <v>97</v>
      </c>
    </row>
    <row r="15" spans="1:14">
      <c r="A15" s="267" t="s">
        <v>288</v>
      </c>
      <c r="B15" s="268">
        <v>4</v>
      </c>
      <c r="C15" s="269">
        <f>4+2</f>
        <v>6</v>
      </c>
      <c r="D15" s="268">
        <f>-2+2</f>
        <v>0</v>
      </c>
      <c r="E15" s="270">
        <f>0.2-0.1</f>
        <v>0.1</v>
      </c>
      <c r="F15" s="271" t="s">
        <v>114</v>
      </c>
      <c r="G15" s="452">
        <v>6.25</v>
      </c>
      <c r="H15" s="272"/>
      <c r="I15" s="273"/>
      <c r="J15" s="273"/>
      <c r="K15" s="274"/>
      <c r="M15" s="275">
        <v>1100</v>
      </c>
      <c r="N15" s="216"/>
    </row>
    <row r="16" spans="1:14">
      <c r="A16" s="454" t="s">
        <v>263</v>
      </c>
      <c r="B16" s="455" t="s">
        <v>305</v>
      </c>
      <c r="C16" s="456" t="s">
        <v>77</v>
      </c>
      <c r="D16" s="455" t="s">
        <v>77</v>
      </c>
      <c r="E16" s="457" t="s">
        <v>77</v>
      </c>
      <c r="F16" s="458" t="s">
        <v>77</v>
      </c>
      <c r="G16" s="459" t="s">
        <v>77</v>
      </c>
      <c r="H16" s="460"/>
      <c r="I16" s="461"/>
      <c r="J16" s="461"/>
      <c r="K16" s="462"/>
      <c r="M16" s="463" t="s">
        <v>77</v>
      </c>
      <c r="N16" s="216"/>
    </row>
    <row r="17" spans="1:14" ht="16.2" thickBot="1">
      <c r="A17" s="10"/>
      <c r="B17" s="11"/>
      <c r="C17" s="55"/>
      <c r="D17" s="11"/>
      <c r="E17" s="251"/>
      <c r="F17" s="11"/>
      <c r="G17" s="15"/>
      <c r="H17" s="56"/>
      <c r="I17" s="57"/>
      <c r="J17" s="57"/>
      <c r="K17" s="58"/>
      <c r="M17" s="209"/>
    </row>
    <row r="18" spans="1:14" ht="6.75" customHeight="1" thickTop="1" thickBot="1">
      <c r="M18" s="210"/>
    </row>
    <row r="19" spans="1:14" ht="16.8" thickTop="1" thickBot="1">
      <c r="A19" s="59"/>
      <c r="B19" s="43"/>
      <c r="D19" s="60" t="s">
        <v>58</v>
      </c>
      <c r="E19" s="61"/>
      <c r="F19" s="52" t="s">
        <v>2</v>
      </c>
      <c r="G19" s="45" t="s">
        <v>18</v>
      </c>
      <c r="H19" s="47" t="s">
        <v>72</v>
      </c>
      <c r="I19" s="52" t="s">
        <v>63</v>
      </c>
      <c r="J19" s="53"/>
      <c r="K19" s="54"/>
      <c r="M19" s="206" t="s">
        <v>97</v>
      </c>
    </row>
    <row r="20" spans="1:14">
      <c r="A20" s="59"/>
      <c r="B20" s="242"/>
      <c r="D20" s="62" t="s">
        <v>130</v>
      </c>
      <c r="E20" s="63"/>
      <c r="F20" s="64">
        <v>20</v>
      </c>
      <c r="G20" s="9">
        <f>F20*3/(2*20)</f>
        <v>1.5</v>
      </c>
      <c r="H20" s="65" t="s">
        <v>53</v>
      </c>
      <c r="I20" s="66"/>
      <c r="J20" s="67"/>
      <c r="K20" s="68"/>
      <c r="M20" s="312">
        <f>F20/20</f>
        <v>1</v>
      </c>
    </row>
    <row r="21" spans="1:14" ht="16.2" thickBot="1">
      <c r="A21" s="59"/>
      <c r="B21" s="242"/>
      <c r="D21" s="69"/>
      <c r="E21" s="70"/>
      <c r="F21" s="71"/>
      <c r="G21" s="15"/>
      <c r="H21" s="72"/>
      <c r="I21" s="73"/>
      <c r="J21" s="74"/>
      <c r="K21" s="58"/>
      <c r="M21" s="209"/>
    </row>
    <row r="22" spans="1:14" ht="16.8" thickTop="1" thickBot="1">
      <c r="B22" s="21"/>
    </row>
    <row r="23" spans="1:14" ht="16.8" thickTop="1" thickBot="1">
      <c r="B23" s="21"/>
      <c r="D23" s="60" t="s">
        <v>94</v>
      </c>
      <c r="E23" s="53"/>
      <c r="F23" s="53"/>
      <c r="G23" s="75" t="s">
        <v>2</v>
      </c>
      <c r="H23" s="75" t="s">
        <v>79</v>
      </c>
      <c r="I23" s="75" t="s">
        <v>90</v>
      </c>
      <c r="J23" s="76" t="s">
        <v>63</v>
      </c>
      <c r="K23" s="54"/>
      <c r="M23" s="206" t="s">
        <v>97</v>
      </c>
    </row>
    <row r="24" spans="1:14">
      <c r="B24" s="21"/>
      <c r="D24" s="193"/>
      <c r="E24" s="194"/>
      <c r="F24" s="194"/>
      <c r="G24" s="195"/>
      <c r="H24" s="195"/>
      <c r="I24" s="195"/>
      <c r="J24" s="196"/>
      <c r="K24" s="197"/>
      <c r="L24" s="198"/>
      <c r="M24" s="208"/>
      <c r="N24" s="21"/>
    </row>
    <row r="25" spans="1:14" ht="16.2" thickBot="1">
      <c r="A25" s="21"/>
      <c r="B25" s="21"/>
      <c r="D25" s="199"/>
      <c r="E25" s="200"/>
      <c r="F25" s="200"/>
      <c r="G25" s="11"/>
      <c r="H25" s="11"/>
      <c r="I25" s="11"/>
      <c r="J25" s="201"/>
      <c r="K25" s="202"/>
      <c r="M25" s="209"/>
      <c r="N25" s="50"/>
    </row>
    <row r="26" spans="1:14" ht="16.2" thickTop="1">
      <c r="A26" s="21"/>
      <c r="B26" s="21"/>
    </row>
    <row r="27" spans="1:14">
      <c r="A27" s="21"/>
      <c r="B27" s="21"/>
    </row>
    <row r="28" spans="1:14">
      <c r="A28" s="21"/>
      <c r="B28" s="21"/>
    </row>
    <row r="29" spans="1:14">
      <c r="A29" s="21"/>
      <c r="B29" s="21"/>
    </row>
    <row r="30" spans="1:14">
      <c r="A30" s="21"/>
      <c r="B30" s="21"/>
    </row>
    <row r="31" spans="1:14">
      <c r="A31" s="21"/>
      <c r="B31" s="21"/>
    </row>
  </sheetData>
  <sortState xmlns:xlrd2="http://schemas.microsoft.com/office/spreadsheetml/2017/richdata2" ref="D21:K35">
    <sortCondition ref="I21:I35"/>
    <sortCondition ref="D21:D35"/>
  </sortState>
  <phoneticPr fontId="0" type="noConversion"/>
  <conditionalFormatting sqref="I6">
    <cfRule type="cellIs" dxfId="7" priority="13" operator="equal">
      <formula>20</formula>
    </cfRule>
    <cfRule type="cellIs" dxfId="6" priority="14" operator="equal">
      <formula>1</formula>
    </cfRule>
  </conditionalFormatting>
  <conditionalFormatting sqref="I12">
    <cfRule type="cellIs" dxfId="5" priority="9" operator="equal">
      <formula>20</formula>
    </cfRule>
    <cfRule type="cellIs" dxfId="4" priority="10" operator="equal">
      <formula>1</formula>
    </cfRule>
  </conditionalFormatting>
  <conditionalFormatting sqref="I3:I5">
    <cfRule type="cellIs" dxfId="3" priority="3" operator="equal">
      <formula>20</formula>
    </cfRule>
    <cfRule type="cellIs" dxfId="2" priority="4" operator="equal">
      <formula>1</formula>
    </cfRule>
  </conditionalFormatting>
  <conditionalFormatting sqref="I9: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2"/>
  <sheetViews>
    <sheetView showGridLines="0" workbookViewId="0"/>
  </sheetViews>
  <sheetFormatPr defaultColWidth="8.59765625" defaultRowHeight="15.6"/>
  <cols>
    <col min="1" max="1" width="19.59765625" style="26" bestFit="1" customWidth="1"/>
    <col min="2" max="2" width="4.69921875" style="26" bestFit="1" customWidth="1"/>
    <col min="3" max="3" width="4.3984375" style="43" bestFit="1" customWidth="1"/>
    <col min="4" max="5" width="22.3984375" style="21" customWidth="1"/>
    <col min="6" max="6" width="2.3984375" style="21" customWidth="1"/>
    <col min="7" max="7" width="7.296875" style="21" bestFit="1" customWidth="1"/>
    <col min="8" max="16384" width="8.59765625" style="21"/>
  </cols>
  <sheetData>
    <row r="1" spans="1:7" ht="23.4" thickBot="1">
      <c r="A1" s="19" t="s">
        <v>60</v>
      </c>
      <c r="B1" s="19"/>
      <c r="C1" s="20"/>
      <c r="D1" s="19"/>
      <c r="E1" s="19"/>
    </row>
    <row r="2" spans="1:7" s="26" customFormat="1" ht="16.8" thickTop="1" thickBot="1">
      <c r="A2" s="22" t="s">
        <v>61</v>
      </c>
      <c r="B2" s="22" t="s">
        <v>2</v>
      </c>
      <c r="C2" s="23" t="s">
        <v>18</v>
      </c>
      <c r="D2" s="24" t="s">
        <v>62</v>
      </c>
      <c r="E2" s="25" t="s">
        <v>63</v>
      </c>
      <c r="G2" s="243" t="s">
        <v>97</v>
      </c>
    </row>
    <row r="3" spans="1:7">
      <c r="A3" s="477" t="s">
        <v>299</v>
      </c>
      <c r="B3" s="30">
        <v>1</v>
      </c>
      <c r="C3" s="478" t="s">
        <v>304</v>
      </c>
      <c r="D3" s="500" t="s">
        <v>303</v>
      </c>
      <c r="E3" s="31"/>
      <c r="G3" s="480">
        <v>500</v>
      </c>
    </row>
    <row r="4" spans="1:7">
      <c r="A4" s="477" t="s">
        <v>300</v>
      </c>
      <c r="B4" s="30">
        <v>1</v>
      </c>
      <c r="C4" s="478">
        <v>1</v>
      </c>
      <c r="D4" s="479"/>
      <c r="E4" s="31"/>
      <c r="G4" s="480">
        <v>750</v>
      </c>
    </row>
    <row r="5" spans="1:7" ht="16.2" thickBot="1">
      <c r="A5" s="33" t="s">
        <v>92</v>
      </c>
      <c r="B5" s="34">
        <v>1</v>
      </c>
      <c r="C5" s="35">
        <v>1</v>
      </c>
      <c r="D5" s="36"/>
      <c r="E5" s="37"/>
      <c r="G5" s="245">
        <v>2</v>
      </c>
    </row>
    <row r="6" spans="1:7" ht="24" thickTop="1" thickBot="1">
      <c r="A6" s="19" t="s">
        <v>64</v>
      </c>
      <c r="B6" s="19"/>
      <c r="C6" s="38"/>
      <c r="D6" s="19"/>
      <c r="E6" s="39"/>
      <c r="G6" s="38"/>
    </row>
    <row r="7" spans="1:7" ht="16.8" thickTop="1" thickBot="1">
      <c r="A7" s="22" t="s">
        <v>61</v>
      </c>
      <c r="B7" s="22" t="s">
        <v>2</v>
      </c>
      <c r="C7" s="23" t="s">
        <v>18</v>
      </c>
      <c r="D7" s="24" t="s">
        <v>62</v>
      </c>
      <c r="E7" s="25" t="s">
        <v>63</v>
      </c>
      <c r="G7" s="243" t="s">
        <v>97</v>
      </c>
    </row>
    <row r="8" spans="1:7">
      <c r="A8" s="40" t="s">
        <v>133</v>
      </c>
      <c r="B8" s="27">
        <v>1</v>
      </c>
      <c r="C8" s="41">
        <v>0.5</v>
      </c>
      <c r="D8" s="42"/>
      <c r="E8" s="28"/>
      <c r="G8" s="246">
        <v>1</v>
      </c>
    </row>
    <row r="9" spans="1:7">
      <c r="A9" s="320" t="s">
        <v>152</v>
      </c>
      <c r="B9" s="321">
        <v>1</v>
      </c>
      <c r="C9" s="322">
        <v>3</v>
      </c>
      <c r="D9" s="323"/>
      <c r="E9" s="324"/>
      <c r="G9" s="325">
        <v>11</v>
      </c>
    </row>
    <row r="10" spans="1:7">
      <c r="A10" s="320" t="s">
        <v>290</v>
      </c>
      <c r="B10" s="321">
        <v>1</v>
      </c>
      <c r="C10" s="322">
        <v>15</v>
      </c>
      <c r="D10" s="323"/>
      <c r="E10" s="324"/>
      <c r="G10" s="325">
        <v>75</v>
      </c>
    </row>
    <row r="11" spans="1:7">
      <c r="A11" s="320" t="s">
        <v>291</v>
      </c>
      <c r="B11" s="321">
        <v>1</v>
      </c>
      <c r="C11" s="322">
        <v>1</v>
      </c>
      <c r="D11" s="323"/>
      <c r="E11" s="324"/>
      <c r="G11" s="325">
        <v>15</v>
      </c>
    </row>
    <row r="12" spans="1:7">
      <c r="A12" s="29" t="s">
        <v>134</v>
      </c>
      <c r="B12" s="30">
        <v>1</v>
      </c>
      <c r="C12" s="32">
        <v>0</v>
      </c>
      <c r="D12" s="192"/>
      <c r="E12" s="31"/>
      <c r="G12" s="244">
        <v>1</v>
      </c>
    </row>
    <row r="13" spans="1:7">
      <c r="A13" s="29" t="s">
        <v>136</v>
      </c>
      <c r="B13" s="30">
        <v>5</v>
      </c>
      <c r="C13" s="32">
        <f>B13*(5*0.05)</f>
        <v>1.25</v>
      </c>
      <c r="D13" s="192"/>
      <c r="E13" s="31"/>
      <c r="G13" s="244">
        <f>B13</f>
        <v>5</v>
      </c>
    </row>
    <row r="14" spans="1:7">
      <c r="A14" s="29" t="s">
        <v>135</v>
      </c>
      <c r="B14" s="30">
        <v>1</v>
      </c>
      <c r="C14" s="32">
        <f>B14</f>
        <v>1</v>
      </c>
      <c r="D14" s="192"/>
      <c r="E14" s="31"/>
      <c r="G14" s="244">
        <f>B14*4</f>
        <v>4</v>
      </c>
    </row>
    <row r="15" spans="1:7">
      <c r="A15" s="29" t="s">
        <v>286</v>
      </c>
      <c r="B15" s="30">
        <v>1</v>
      </c>
      <c r="C15" s="32">
        <v>0</v>
      </c>
      <c r="D15" s="192"/>
      <c r="E15" s="31"/>
      <c r="G15" s="314">
        <v>0.05</v>
      </c>
    </row>
    <row r="16" spans="1:7">
      <c r="A16" s="29" t="s">
        <v>287</v>
      </c>
      <c r="B16" s="30">
        <v>1</v>
      </c>
      <c r="C16" s="32">
        <v>0</v>
      </c>
      <c r="D16" s="192"/>
      <c r="E16" s="31"/>
      <c r="G16" s="244">
        <v>8</v>
      </c>
    </row>
    <row r="17" spans="1:7">
      <c r="A17" s="29" t="s">
        <v>137</v>
      </c>
      <c r="B17" s="30">
        <v>5</v>
      </c>
      <c r="C17" s="32">
        <v>0</v>
      </c>
      <c r="D17" s="192"/>
      <c r="E17" s="31"/>
      <c r="G17" s="244">
        <f>100*B17</f>
        <v>500</v>
      </c>
    </row>
    <row r="18" spans="1:7">
      <c r="A18" s="29" t="s">
        <v>315</v>
      </c>
      <c r="B18" s="30">
        <v>1</v>
      </c>
      <c r="C18" s="32">
        <v>2</v>
      </c>
      <c r="D18" s="192"/>
      <c r="E18" s="31"/>
      <c r="G18" s="480" t="s">
        <v>77</v>
      </c>
    </row>
    <row r="19" spans="1:7">
      <c r="A19" s="29" t="s">
        <v>89</v>
      </c>
      <c r="B19" s="30">
        <v>45</v>
      </c>
      <c r="C19" s="313">
        <f>B19*0.01</f>
        <v>0.45</v>
      </c>
      <c r="D19" s="192"/>
      <c r="E19" s="31"/>
      <c r="G19" s="244">
        <f>B19</f>
        <v>45</v>
      </c>
    </row>
    <row r="20" spans="1:7">
      <c r="A20" s="29" t="s">
        <v>138</v>
      </c>
      <c r="B20" s="30">
        <v>9</v>
      </c>
      <c r="C20" s="313">
        <f>B20*0.0075</f>
        <v>6.7500000000000004E-2</v>
      </c>
      <c r="D20" s="192"/>
      <c r="E20" s="31"/>
      <c r="G20" s="314">
        <f>B20/20</f>
        <v>0.45</v>
      </c>
    </row>
    <row r="21" spans="1:7">
      <c r="A21" s="29" t="s">
        <v>139</v>
      </c>
      <c r="B21" s="30">
        <v>10</v>
      </c>
      <c r="C21" s="313">
        <f>B21*0.005</f>
        <v>0.05</v>
      </c>
      <c r="D21" s="192"/>
      <c r="E21" s="31"/>
      <c r="G21" s="314">
        <f>B21/100</f>
        <v>0.1</v>
      </c>
    </row>
    <row r="22" spans="1:7">
      <c r="A22" s="29" t="s">
        <v>132</v>
      </c>
      <c r="B22" s="30">
        <v>1</v>
      </c>
      <c r="C22" s="313">
        <v>1.25</v>
      </c>
      <c r="D22" s="192"/>
      <c r="E22" s="31"/>
      <c r="G22" s="314">
        <v>0.05</v>
      </c>
    </row>
    <row r="23" spans="1:7" ht="16.2" thickBot="1">
      <c r="A23" s="33" t="s">
        <v>131</v>
      </c>
      <c r="B23" s="34">
        <v>1</v>
      </c>
      <c r="C23" s="35">
        <v>1</v>
      </c>
      <c r="D23" s="36"/>
      <c r="E23" s="37"/>
      <c r="G23" s="245">
        <v>30</v>
      </c>
    </row>
    <row r="24" spans="1:7" ht="22.8" thickTop="1" thickBot="1">
      <c r="A24" s="481"/>
      <c r="B24" s="481"/>
      <c r="C24" s="481"/>
      <c r="D24" s="482" t="s">
        <v>301</v>
      </c>
      <c r="E24" s="483"/>
      <c r="F24" s="341"/>
      <c r="G24" s="341">
        <v>2000</v>
      </c>
    </row>
    <row r="25" spans="1:7" ht="16.8" thickTop="1" thickBot="1">
      <c r="A25" s="22" t="s">
        <v>61</v>
      </c>
      <c r="B25" s="22" t="s">
        <v>2</v>
      </c>
      <c r="C25" s="23" t="s">
        <v>18</v>
      </c>
      <c r="D25" s="24" t="s">
        <v>62</v>
      </c>
      <c r="E25" s="25" t="s">
        <v>63</v>
      </c>
      <c r="F25" s="341"/>
      <c r="G25" s="243" t="s">
        <v>97</v>
      </c>
    </row>
    <row r="26" spans="1:7">
      <c r="A26" s="484"/>
      <c r="B26" s="485"/>
      <c r="C26" s="486"/>
      <c r="D26" s="487"/>
      <c r="E26" s="488"/>
      <c r="F26" s="341"/>
      <c r="G26" s="489"/>
    </row>
    <row r="27" spans="1:7">
      <c r="A27" s="490"/>
      <c r="B27" s="491"/>
      <c r="C27" s="478"/>
      <c r="D27" s="492"/>
      <c r="E27" s="493"/>
      <c r="F27"/>
      <c r="G27" s="480"/>
    </row>
    <row r="28" spans="1:7">
      <c r="A28" s="490"/>
      <c r="B28" s="491"/>
      <c r="C28" s="478"/>
      <c r="D28" s="492"/>
      <c r="E28" s="493"/>
      <c r="F28"/>
      <c r="G28" s="480"/>
    </row>
    <row r="29" spans="1:7">
      <c r="A29" s="490"/>
      <c r="B29" s="491"/>
      <c r="C29" s="478"/>
      <c r="D29" s="492"/>
      <c r="E29" s="493"/>
      <c r="F29"/>
      <c r="G29" s="480"/>
    </row>
    <row r="30" spans="1:7">
      <c r="A30" s="490"/>
      <c r="B30" s="491"/>
      <c r="C30" s="478"/>
      <c r="D30" s="492"/>
      <c r="E30" s="493"/>
      <c r="F30"/>
      <c r="G30" s="480"/>
    </row>
    <row r="31" spans="1:7">
      <c r="A31" s="490"/>
      <c r="B31" s="491"/>
      <c r="C31" s="478"/>
      <c r="D31" s="492"/>
      <c r="E31" s="493"/>
      <c r="F31"/>
      <c r="G31" s="480"/>
    </row>
    <row r="32" spans="1:7">
      <c r="A32" s="490"/>
      <c r="B32" s="491"/>
      <c r="C32" s="478"/>
      <c r="D32" s="492"/>
      <c r="E32" s="493"/>
      <c r="F32"/>
      <c r="G32" s="480"/>
    </row>
    <row r="33" spans="1:7">
      <c r="A33" s="490"/>
      <c r="B33" s="491"/>
      <c r="C33" s="478"/>
      <c r="D33" s="492"/>
      <c r="E33" s="493"/>
      <c r="F33"/>
      <c r="G33" s="480"/>
    </row>
    <row r="34" spans="1:7">
      <c r="A34" s="490"/>
      <c r="B34" s="491"/>
      <c r="C34" s="478"/>
      <c r="D34" s="492"/>
      <c r="E34" s="493"/>
      <c r="F34"/>
      <c r="G34" s="480"/>
    </row>
    <row r="35" spans="1:7">
      <c r="A35" s="490"/>
      <c r="B35" s="491"/>
      <c r="C35" s="478"/>
      <c r="D35" s="492"/>
      <c r="E35" s="493"/>
      <c r="F35"/>
      <c r="G35" s="480"/>
    </row>
    <row r="36" spans="1:7">
      <c r="A36" s="490"/>
      <c r="B36" s="491"/>
      <c r="C36" s="478"/>
      <c r="D36" s="492"/>
      <c r="E36" s="493"/>
      <c r="F36"/>
      <c r="G36" s="480"/>
    </row>
    <row r="37" spans="1:7">
      <c r="A37" s="490"/>
      <c r="B37" s="491"/>
      <c r="C37" s="478"/>
      <c r="D37" s="492"/>
      <c r="E37" s="493"/>
      <c r="F37"/>
      <c r="G37" s="480"/>
    </row>
    <row r="38" spans="1:7">
      <c r="A38" s="490"/>
      <c r="B38" s="491"/>
      <c r="C38" s="478"/>
      <c r="D38" s="492"/>
      <c r="E38" s="493"/>
      <c r="F38"/>
      <c r="G38" s="480"/>
    </row>
    <row r="39" spans="1:7" ht="16.2" thickBot="1">
      <c r="A39" s="494"/>
      <c r="B39" s="495"/>
      <c r="C39" s="496"/>
      <c r="D39" s="497"/>
      <c r="E39" s="498"/>
      <c r="F39" s="341"/>
      <c r="G39" s="499"/>
    </row>
    <row r="40" spans="1:7" ht="16.8" thickTop="1" thickBot="1">
      <c r="A40" s="502" t="s">
        <v>302</v>
      </c>
      <c r="B40" s="503">
        <f>C40/250</f>
        <v>0</v>
      </c>
      <c r="C40" s="23">
        <f>SUM(C26:C39)</f>
        <v>0</v>
      </c>
    </row>
    <row r="41" spans="1:7">
      <c r="E41" s="142" t="s">
        <v>307</v>
      </c>
      <c r="F41" s="198"/>
      <c r="G41" s="501">
        <f>SUM(G3:G39,Martial!M3:M25)</f>
        <v>5092.6499999999996</v>
      </c>
    </row>
    <row r="42" spans="1:7">
      <c r="E42" s="287" t="s">
        <v>306</v>
      </c>
      <c r="F42" s="341"/>
      <c r="G42" s="501">
        <v>9000</v>
      </c>
    </row>
  </sheetData>
  <sortState xmlns:xlrd2="http://schemas.microsoft.com/office/spreadsheetml/2017/richdata2" ref="A54:D66">
    <sortCondition ref="A54:A66"/>
  </sortState>
  <phoneticPr fontId="0" type="noConversion"/>
  <hyperlinks>
    <hyperlink ref="D3" r:id="rId1" xr:uid="{E6BCA904-4C8A-4EB1-B935-2F1AD3DBC9A9}"/>
  </hyperlinks>
  <printOptions gridLinesSet="0"/>
  <pageMargins left="0.62" right="0.33" top="0.5" bottom="0.63" header="0.5" footer="0.5"/>
  <pageSetup orientation="portrait" horizontalDpi="120" verticalDpi="144" r:id="rId2"/>
  <headerFooter alignWithMargins="0"/>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53F1-AFCF-4263-8F99-8AA77722313A}">
  <dimension ref="A1:C17"/>
  <sheetViews>
    <sheetView showGridLines="0" workbookViewId="0"/>
  </sheetViews>
  <sheetFormatPr defaultColWidth="9" defaultRowHeight="15.6"/>
  <cols>
    <col min="1" max="1" width="62.796875" style="156" bestFit="1" customWidth="1"/>
    <col min="2" max="2" width="9.5" style="349" customWidth="1"/>
    <col min="3" max="3" width="6.3984375" style="156" customWidth="1"/>
    <col min="4" max="16384" width="9" style="156"/>
  </cols>
  <sheetData>
    <row r="1" spans="1:3">
      <c r="A1" s="287" t="s">
        <v>180</v>
      </c>
      <c r="B1" s="338" t="str">
        <f>'Personal File'!A1</f>
        <v>Saradette</v>
      </c>
      <c r="C1" s="339" t="s">
        <v>181</v>
      </c>
    </row>
    <row r="2" spans="1:3">
      <c r="A2" s="340" t="s">
        <v>190</v>
      </c>
      <c r="B2" s="341" t="s">
        <v>182</v>
      </c>
      <c r="C2" s="342">
        <v>0.2</v>
      </c>
    </row>
    <row r="3" spans="1:3">
      <c r="A3" s="340" t="s">
        <v>191</v>
      </c>
      <c r="B3" s="341" t="s">
        <v>195</v>
      </c>
      <c r="C3" s="342">
        <v>0.16</v>
      </c>
    </row>
    <row r="4" spans="1:3">
      <c r="A4" s="340" t="s">
        <v>192</v>
      </c>
      <c r="B4" s="341" t="s">
        <v>182</v>
      </c>
      <c r="C4" s="342">
        <v>0.2</v>
      </c>
    </row>
    <row r="5" spans="1:3">
      <c r="A5" s="340" t="s">
        <v>193</v>
      </c>
      <c r="B5" s="341" t="s">
        <v>195</v>
      </c>
      <c r="C5" s="342">
        <v>0.16</v>
      </c>
    </row>
    <row r="6" spans="1:3">
      <c r="A6" s="340" t="s">
        <v>194</v>
      </c>
      <c r="B6" s="341" t="s">
        <v>182</v>
      </c>
      <c r="C6" s="342">
        <v>0.2</v>
      </c>
    </row>
    <row r="7" spans="1:3">
      <c r="A7" s="287" t="s">
        <v>54</v>
      </c>
      <c r="B7" s="338"/>
      <c r="C7" s="339">
        <f>SUM(C2:C6)</f>
        <v>0.92000000000000015</v>
      </c>
    </row>
    <row r="8" spans="1:3">
      <c r="A8" s="287"/>
      <c r="B8" s="338"/>
      <c r="C8" s="339"/>
    </row>
    <row r="9" spans="1:3">
      <c r="A9" s="287" t="s">
        <v>183</v>
      </c>
      <c r="B9" s="343">
        <v>0</v>
      </c>
      <c r="C9" s="344"/>
    </row>
    <row r="10" spans="1:3">
      <c r="A10" s="287" t="s">
        <v>184</v>
      </c>
      <c r="B10" s="343">
        <v>5000</v>
      </c>
      <c r="C10" s="344"/>
    </row>
    <row r="11" spans="1:3">
      <c r="A11" s="287" t="s">
        <v>185</v>
      </c>
      <c r="B11" s="343">
        <f>IF(B9=0,B10*C7,(B10*C7*(1-(B9/4))))</f>
        <v>4600.0000000000009</v>
      </c>
      <c r="C11" s="344"/>
    </row>
    <row r="12" spans="1:3">
      <c r="A12" s="287" t="s">
        <v>186</v>
      </c>
      <c r="B12" s="345">
        <v>0</v>
      </c>
      <c r="C12" s="346"/>
    </row>
    <row r="13" spans="1:3">
      <c r="A13" s="287" t="s">
        <v>54</v>
      </c>
      <c r="B13" s="347">
        <f>SUM(B11:B12)</f>
        <v>4600.0000000000009</v>
      </c>
      <c r="C13" s="344"/>
    </row>
    <row r="14" spans="1:3">
      <c r="A14" s="287" t="s">
        <v>187</v>
      </c>
      <c r="B14" s="343">
        <v>9999</v>
      </c>
      <c r="C14" s="344"/>
    </row>
    <row r="15" spans="1:3">
      <c r="A15" s="287" t="s">
        <v>188</v>
      </c>
      <c r="B15" s="347">
        <f>SUM(B13:B14)</f>
        <v>14599</v>
      </c>
      <c r="C15" s="344"/>
    </row>
    <row r="17" spans="1:1">
      <c r="A17" s="34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Spellbook</vt:lpstr>
      <vt:lpstr>Spells</vt:lpstr>
      <vt:lpstr>Feats</vt:lpstr>
      <vt:lpstr>Martial</vt:lpstr>
      <vt:lpstr>Equipment</vt:lpstr>
      <vt:lpstr>XP Awards</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2020-03-17T21:50:18Z</dcterms:modified>
</cp:coreProperties>
</file>