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A\Jue\FoL\PCs\"/>
    </mc:Choice>
  </mc:AlternateContent>
  <xr:revisionPtr revIDLastSave="0" documentId="13_ncr:1_{B302C065-8AD9-4C37-BDC6-875CFBB5A21D}" xr6:coauthVersionLast="45" xr6:coauthVersionMax="45" xr10:uidLastSave="{00000000-0000-0000-0000-000000000000}"/>
  <bookViews>
    <workbookView xWindow="1116" yWindow="1116" windowWidth="20496" windowHeight="1161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File'!$A$1:$H$24</definedName>
    <definedName name="_xlnm.Print_Area" localSheetId="1">Skills!$A$1:$K$31</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4" l="1"/>
  <c r="C34" i="19" l="1"/>
  <c r="B10" i="4" l="1"/>
  <c r="G32" i="19" l="1"/>
  <c r="K3" i="6" l="1"/>
  <c r="B3" i="15" l="1"/>
  <c r="D3" i="15"/>
  <c r="E3" i="15" s="1"/>
  <c r="H3" i="15"/>
  <c r="G3" i="15" l="1"/>
  <c r="I3" i="15" s="1"/>
  <c r="I12" i="6"/>
  <c r="H12" i="6"/>
  <c r="J12" i="6" l="1"/>
  <c r="F4" i="25"/>
  <c r="G46" i="19" l="1"/>
  <c r="C46" i="19"/>
  <c r="C4" i="25" l="1"/>
  <c r="C5" i="25"/>
  <c r="F5" i="25" s="1"/>
  <c r="C6" i="25"/>
  <c r="C7" i="25"/>
  <c r="C8" i="25"/>
  <c r="C9" i="25"/>
  <c r="G45" i="19" l="1"/>
  <c r="C45" i="19"/>
  <c r="C44" i="19"/>
  <c r="C4" i="24"/>
  <c r="C5" i="24"/>
  <c r="C6" i="24"/>
  <c r="C7" i="24"/>
  <c r="C8" i="24"/>
  <c r="C9" i="24"/>
  <c r="C49" i="19" l="1"/>
  <c r="C30" i="19"/>
  <c r="G26" i="19"/>
  <c r="C26" i="19"/>
  <c r="G21" i="6" l="1"/>
  <c r="G28" i="19" l="1"/>
  <c r="C28" i="19"/>
  <c r="G27" i="19"/>
  <c r="C27" i="19"/>
  <c r="C35" i="19" s="1"/>
  <c r="B35" i="19" s="1"/>
  <c r="H26" i="15" l="1"/>
  <c r="H28" i="15" l="1"/>
  <c r="H13" i="15"/>
  <c r="B46" i="15"/>
  <c r="B4" i="15"/>
  <c r="B5" i="15"/>
  <c r="I10" i="6" l="1"/>
  <c r="C3" i="20" l="1"/>
  <c r="H14" i="15" l="1"/>
  <c r="H12" i="15"/>
  <c r="I9" i="6" l="1"/>
  <c r="D15" i="6" l="1"/>
  <c r="E15" i="6"/>
  <c r="C15" i="6"/>
  <c r="H5" i="23" l="1"/>
  <c r="I5" i="23"/>
  <c r="J7" i="23"/>
  <c r="H27" i="15" l="1"/>
  <c r="H35" i="15" l="1"/>
  <c r="H41" i="15"/>
  <c r="H40" i="15"/>
  <c r="C7" i="21" l="1"/>
  <c r="B11" i="21" s="1"/>
  <c r="B13" i="21" s="1"/>
  <c r="B15" i="21" s="1"/>
  <c r="B1" i="21" l="1"/>
  <c r="G20" i="19" l="1"/>
  <c r="G19" i="19"/>
  <c r="G13" i="19" l="1"/>
  <c r="G20" i="6"/>
  <c r="C19" i="19" l="1"/>
  <c r="C20" i="19"/>
  <c r="C13" i="19"/>
  <c r="E13" i="4" s="1"/>
  <c r="M20" i="6"/>
  <c r="H31" i="15" l="1"/>
  <c r="H34" i="15"/>
  <c r="H44" i="15"/>
  <c r="H43" i="15"/>
  <c r="H42" i="15"/>
  <c r="H39" i="15"/>
  <c r="H38" i="15"/>
  <c r="H37" i="15"/>
  <c r="H36" i="15"/>
  <c r="H33" i="15"/>
  <c r="H32" i="15"/>
  <c r="H30" i="15"/>
  <c r="H29" i="15"/>
  <c r="H25" i="15"/>
  <c r="H24" i="15"/>
  <c r="H23" i="15"/>
  <c r="H22" i="15"/>
  <c r="H21" i="15"/>
  <c r="H20" i="15"/>
  <c r="H19" i="15"/>
  <c r="H18" i="15"/>
  <c r="H17" i="15"/>
  <c r="H16" i="15"/>
  <c r="H15" i="15"/>
  <c r="H11" i="15"/>
  <c r="H10" i="15"/>
  <c r="H9" i="15"/>
  <c r="H8" i="15"/>
  <c r="H7" i="15"/>
  <c r="G12" i="19"/>
  <c r="G50" i="19" s="1"/>
  <c r="I5" i="6" l="1"/>
  <c r="I4" i="6"/>
  <c r="I3" i="6" l="1"/>
  <c r="I11" i="6" l="1"/>
  <c r="I6" i="6" l="1"/>
  <c r="H6" i="15" l="1"/>
  <c r="H4" i="15" l="1"/>
  <c r="H5" i="15" l="1"/>
  <c r="C12" i="4" l="1"/>
  <c r="C3" i="6" l="1"/>
  <c r="C5" i="6"/>
  <c r="C6" i="6"/>
  <c r="C4" i="6"/>
  <c r="H4" i="6"/>
  <c r="J4" i="6" s="1"/>
  <c r="H5" i="6"/>
  <c r="J5" i="6" s="1"/>
  <c r="H3" i="6"/>
  <c r="J3" i="6" s="1"/>
  <c r="H6" i="6"/>
  <c r="J6" i="6" s="1"/>
  <c r="D9" i="15"/>
  <c r="E9" i="15" l="1"/>
  <c r="G9" i="15"/>
  <c r="I9" i="15" s="1"/>
  <c r="C14" i="4"/>
  <c r="E14" i="4" s="1"/>
  <c r="D10" i="15" l="1"/>
  <c r="C13" i="4"/>
  <c r="C15" i="4"/>
  <c r="C16" i="4"/>
  <c r="D5" i="15" s="1"/>
  <c r="C17" i="4"/>
  <c r="E52" i="15" l="1"/>
  <c r="D28" i="15"/>
  <c r="D13" i="15"/>
  <c r="E51" i="15"/>
  <c r="H10" i="6"/>
  <c r="J10" i="6" s="1"/>
  <c r="H11" i="6"/>
  <c r="J11" i="6" s="1"/>
  <c r="E15" i="4"/>
  <c r="E17" i="4" s="1"/>
  <c r="E16" i="4" s="1"/>
  <c r="D12" i="15"/>
  <c r="D14" i="15"/>
  <c r="E50" i="15"/>
  <c r="D7" i="23"/>
  <c r="D6" i="23"/>
  <c r="D5" i="23"/>
  <c r="D3" i="23"/>
  <c r="D4" i="23"/>
  <c r="N6" i="23"/>
  <c r="D11" i="23"/>
  <c r="P6" i="23"/>
  <c r="Q6" i="23"/>
  <c r="J6" i="23"/>
  <c r="D13" i="23"/>
  <c r="O6" i="23"/>
  <c r="K6" i="23"/>
  <c r="M6" i="23"/>
  <c r="D12" i="23"/>
  <c r="H6" i="23"/>
  <c r="D14" i="23"/>
  <c r="I6" i="23"/>
  <c r="L6" i="23"/>
  <c r="D27" i="15"/>
  <c r="E49" i="15"/>
  <c r="E48" i="15"/>
  <c r="E47" i="15"/>
  <c r="D8" i="15"/>
  <c r="D18" i="15"/>
  <c r="D16" i="15"/>
  <c r="E10" i="15"/>
  <c r="G10" i="15"/>
  <c r="I10" i="15" s="1"/>
  <c r="D4" i="15"/>
  <c r="H9" i="6"/>
  <c r="J9" i="6" s="1"/>
  <c r="D7" i="15"/>
  <c r="E5" i="15"/>
  <c r="G5" i="15"/>
  <c r="I5" i="15" s="1"/>
  <c r="D17" i="15"/>
  <c r="D6" i="15"/>
  <c r="D11" i="15"/>
  <c r="D15" i="15"/>
  <c r="B11" i="4"/>
  <c r="H45" i="15"/>
  <c r="E13" i="15" l="1"/>
  <c r="G13" i="15"/>
  <c r="I13" i="15" s="1"/>
  <c r="E28" i="15"/>
  <c r="G28" i="15"/>
  <c r="I28" i="15" s="1"/>
  <c r="E46" i="15"/>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3" i="15" l="1"/>
  <c r="E33" i="15" l="1"/>
  <c r="G33" i="15"/>
  <c r="D39" i="15"/>
  <c r="D22" i="15"/>
  <c r="D41" i="15"/>
  <c r="D38" i="15"/>
  <c r="D43" i="15"/>
  <c r="D40" i="15"/>
  <c r="D42" i="15"/>
  <c r="D35" i="15"/>
  <c r="D44" i="15"/>
  <c r="D31" i="15"/>
  <c r="D37" i="15"/>
  <c r="D45" i="15"/>
  <c r="D36" i="15"/>
  <c r="D34" i="15"/>
  <c r="G34" i="15" s="1"/>
  <c r="I34" i="15" s="1"/>
  <c r="D32" i="15"/>
  <c r="D30" i="15"/>
  <c r="D29" i="15"/>
  <c r="D26" i="15"/>
  <c r="D25" i="15"/>
  <c r="D24" i="15"/>
  <c r="D23" i="15"/>
  <c r="D21" i="15"/>
  <c r="D20" i="15"/>
  <c r="D19" i="15"/>
  <c r="I33" i="15" l="1"/>
  <c r="E19" i="15"/>
  <c r="G19" i="15"/>
  <c r="E21" i="15"/>
  <c r="G21" i="15"/>
  <c r="E24" i="15"/>
  <c r="G24" i="15"/>
  <c r="E26" i="15"/>
  <c r="G26" i="15"/>
  <c r="E30" i="15"/>
  <c r="G30" i="15"/>
  <c r="E34" i="15"/>
  <c r="E45" i="15"/>
  <c r="G45" i="15"/>
  <c r="E31" i="15"/>
  <c r="G31" i="15"/>
  <c r="E35" i="15"/>
  <c r="G35" i="15"/>
  <c r="E40" i="15"/>
  <c r="G40" i="15"/>
  <c r="E41" i="15"/>
  <c r="G41" i="15"/>
  <c r="E22" i="15"/>
  <c r="G22" i="15"/>
  <c r="E20" i="15"/>
  <c r="G20" i="15"/>
  <c r="E23" i="15"/>
  <c r="G23" i="15"/>
  <c r="E25" i="15"/>
  <c r="G25" i="15"/>
  <c r="E29" i="15"/>
  <c r="G29" i="15"/>
  <c r="E32" i="15"/>
  <c r="G32" i="15"/>
  <c r="E36" i="15"/>
  <c r="G36" i="15"/>
  <c r="E37" i="15"/>
  <c r="G37" i="15"/>
  <c r="E44" i="15"/>
  <c r="G44" i="15"/>
  <c r="E42" i="15"/>
  <c r="G42" i="15"/>
  <c r="E43" i="15"/>
  <c r="G43" i="15"/>
  <c r="E38" i="15"/>
  <c r="E39" i="15"/>
  <c r="G39" i="15"/>
  <c r="I39" i="15" l="1"/>
  <c r="I38" i="15"/>
  <c r="I43" i="15"/>
  <c r="I42" i="15"/>
  <c r="I44" i="15"/>
  <c r="I37" i="15"/>
  <c r="I36" i="15"/>
  <c r="I32" i="15"/>
  <c r="I29" i="15"/>
  <c r="I25" i="15"/>
  <c r="I23" i="15"/>
  <c r="I20" i="15"/>
  <c r="I22" i="15"/>
  <c r="I41" i="15"/>
  <c r="I40" i="15"/>
  <c r="I35" i="15"/>
  <c r="I31" i="15"/>
  <c r="I45" i="15"/>
  <c r="I30"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0" authorId="0" shapeId="0" xr:uid="{1C1111AF-ED32-40F9-8655-1A0248A328A7}">
      <text>
        <r>
          <rPr>
            <i/>
            <sz val="12"/>
            <color indexed="81"/>
            <rFont val="Times New Roman"/>
            <family val="1"/>
          </rPr>
          <t>aid +1</t>
        </r>
      </text>
    </comment>
    <comment ref="E11" authorId="0" shapeId="0" xr:uid="{A441238D-4FDA-4296-B363-CF94D2CA0FF5}">
      <text>
        <r>
          <rPr>
            <sz val="12"/>
            <color indexed="81"/>
            <rFont val="Times New Roman"/>
            <family val="1"/>
          </rPr>
          <t>Next level at 28,000 XPs</t>
        </r>
      </text>
    </comment>
    <comment ref="B12" authorId="0" shapeId="0" xr:uid="{CEB3CA34-01A8-4213-B6F2-29329644AF1F}">
      <text>
        <r>
          <rPr>
            <i/>
            <sz val="12"/>
            <color indexed="81"/>
            <rFont val="Times New Roman"/>
            <family val="1"/>
          </rPr>
          <t>bull’s strength +4</t>
        </r>
      </text>
    </comment>
    <comment ref="E12" authorId="0" shapeId="0" xr:uid="{9F90969E-A873-48D2-ADE1-84BF5E2AFE6E}">
      <text>
        <r>
          <rPr>
            <sz val="12"/>
            <color indexed="81"/>
            <rFont val="Times New Roman"/>
            <family val="1"/>
          </rPr>
          <t>See PHB 162</t>
        </r>
      </text>
    </comment>
    <comment ref="E14" authorId="0" shapeId="0" xr:uid="{00000000-0006-0000-0000-00000A000000}">
      <text>
        <r>
          <rPr>
            <sz val="12"/>
            <color indexed="81"/>
            <rFont val="Times New Roman"/>
            <family val="1"/>
          </rPr>
          <t>[(4 * 6 Rogue) * 75%]
[(1 * 4 Illusionist) * 75%]
[(1 * 6 Artificer) * 75%]
+ (6 * 1 Con)</t>
        </r>
      </text>
    </comment>
    <comment ref="E15" authorId="0" shapeId="0" xr:uid="{00000000-0006-0000-0000-00000B000000}">
      <text>
        <r>
          <rPr>
            <sz val="12"/>
            <color indexed="81"/>
            <rFont val="Times New Roman"/>
            <family val="1"/>
          </rPr>
          <t>+1 Small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24" authorId="0" shapeId="0" xr:uid="{00000000-0006-0000-0100-000004000000}">
      <text>
        <r>
          <rPr>
            <sz val="12"/>
            <color indexed="81"/>
            <rFont val="Times New Roman"/>
            <family val="1"/>
          </rPr>
          <t>Small +4</t>
        </r>
      </text>
    </comment>
    <comment ref="F29" authorId="0" shapeId="0" xr:uid="{00000000-0006-0000-0100-000005000000}">
      <text>
        <r>
          <rPr>
            <sz val="12"/>
            <color indexed="81"/>
            <rFont val="Times New Roman"/>
            <family val="1"/>
          </rPr>
          <t>Gnome +2</t>
        </r>
      </text>
    </comment>
    <comment ref="F30" authorId="0" shapeId="0" xr:uid="{00000000-0006-0000-0100-000006000000}">
      <text>
        <r>
          <rPr>
            <sz val="12"/>
            <color indexed="81"/>
            <rFont val="Times New Roman"/>
            <family val="1"/>
          </rPr>
          <t>Gnome (Small) +4</t>
        </r>
      </text>
    </comment>
    <comment ref="F40" authorId="0" shapeId="0" xr:uid="{00000000-0006-0000-0100-000008000000}">
      <text>
        <r>
          <rPr>
            <sz val="12"/>
            <color indexed="81"/>
            <rFont val="Times New Roman"/>
            <family val="1"/>
          </rPr>
          <t>Gnome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6" authorId="0" shapeId="0" xr:uid="{47DAA3D4-1DB3-4B6A-B9C3-0C9E6BBCD0FB}">
      <text>
        <r>
          <rPr>
            <sz val="12"/>
            <color indexed="81"/>
            <rFont val="Times New Roman"/>
            <family val="1"/>
          </rPr>
          <t>Prism, lens, or monocle</t>
        </r>
      </text>
    </comment>
    <comment ref="D17" authorId="0" shapeId="0" xr:uid="{39EF3187-CFDF-4836-9710-2EEB3E1D4867}">
      <text>
        <r>
          <rPr>
            <sz val="12"/>
            <color indexed="81"/>
            <rFont val="Times New Roman"/>
            <family val="1"/>
          </rPr>
          <t>Miniature cloak</t>
        </r>
      </text>
    </comment>
    <comment ref="D21" authorId="0" shapeId="0" xr:uid="{0A0D8C7D-2B74-4BD4-A3FB-88DDAB2DDC73}">
      <text>
        <r>
          <rPr>
            <sz val="12"/>
            <color indexed="81"/>
            <rFont val="Times New Roman"/>
            <family val="1"/>
          </rPr>
          <t>Tiny bell and a piece of fine silver wire</t>
        </r>
      </text>
    </comment>
    <comment ref="D23" authorId="0" shapeId="0" xr:uid="{C0738328-B02A-430E-8040-9F4B23601A5E}">
      <text>
        <r>
          <rPr>
            <sz val="12"/>
            <color indexed="81"/>
            <rFont val="Times New Roman"/>
            <family val="1"/>
          </rPr>
          <t>Cured leather</t>
        </r>
      </text>
    </comment>
    <comment ref="D24" authorId="0" shapeId="0" xr:uid="{BA56E4EF-C195-4856-874B-B96295CA43F9}">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8"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67C07365-DB61-4133-823D-DAA4BAB1BECB}">
      <text>
        <r>
          <rPr>
            <sz val="12"/>
            <color indexed="81"/>
            <rFont val="Times New Roman"/>
            <family val="1"/>
          </rPr>
          <t>Inspire Courage +2</t>
        </r>
      </text>
    </comment>
    <comment ref="D4" authorId="0" shapeId="0" xr:uid="{03BAAA34-98D1-4D37-AA44-926FC29E6094}">
      <text>
        <r>
          <rPr>
            <sz val="12"/>
            <color indexed="81"/>
            <rFont val="Times New Roman"/>
            <family val="1"/>
          </rPr>
          <t>Inspire Courage +2</t>
        </r>
      </text>
    </comment>
    <comment ref="D5" authorId="0" shapeId="0" xr:uid="{0351A3E8-1FAA-4D86-A600-35235296F2A3}">
      <text>
        <r>
          <rPr>
            <sz val="12"/>
            <color indexed="81"/>
            <rFont val="Times New Roman"/>
            <family val="1"/>
          </rPr>
          <t>Inspire Courage +2</t>
        </r>
      </text>
    </comment>
    <comment ref="D6" authorId="0" shapeId="0" xr:uid="{B8C71726-CE0B-459B-9BB3-00F0BA249612}">
      <text>
        <r>
          <rPr>
            <sz val="12"/>
            <color indexed="81"/>
            <rFont val="Times New Roman"/>
            <family val="1"/>
          </rPr>
          <t>Inspire Courage +2</t>
        </r>
      </text>
    </comment>
    <comment ref="D14" authorId="0" shapeId="0" xr:uid="{00000000-0006-0000-0600-000001000000}">
      <text>
        <r>
          <rPr>
            <sz val="12"/>
            <color indexed="81"/>
            <rFont val="Times New Roman"/>
            <family val="1"/>
          </rPr>
          <t>Balance, Climb, Escape Artist, Hide, Jump, Move Silently, Sleight of Hand, Tumble.</t>
        </r>
      </text>
    </comment>
    <comment ref="A16"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4"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1 charge:  Heals 2d8 points of damage.
2 charges:  Heals 3d8 points of damage.
3 charges:  Heals 4d8 points of damage.
Prerequisites:  Craft Wondrous Item, cure moderate wounds.
Cost to Create:  500 gp, 40 XP, 1 day.
MIC 110</t>
        </r>
      </text>
    </comment>
    <comment ref="A5"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23"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List>
</comments>
</file>

<file path=xl/sharedStrings.xml><?xml version="1.0" encoding="utf-8"?>
<sst xmlns="http://schemas.openxmlformats.org/spreadsheetml/2006/main" count="710" uniqueCount="389">
  <si>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</si>
  <si>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</si>
  <si>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</si>
  <si>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</si>
  <si>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</si>
  <si>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</si>
  <si>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</si>
  <si>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</si>
  <si>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</si>
  <si>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</si>
  <si>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</si>
  <si>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</si>
  <si>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</si>
  <si>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</si>
  <si>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</si>
  <si>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</si>
  <si>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</si>
  <si>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</si>
  <si>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</si>
  <si>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</si>
  <si>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</si>
  <si>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</si>
  <si>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</si>
  <si>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</si>
  <si>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</si>
  <si>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</si>
  <si>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</si>
  <si>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</si>
  <si>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</si>
  <si>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</si>
  <si>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</si>
  <si>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</si>
  <si>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</si>
  <si>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</si>
  <si>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</si>
  <si>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</si>
  <si>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</si>
  <si>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</si>
  <si>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</si>
  <si>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</si>
  <si>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</si>
  <si>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</si>
  <si>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</si>
  <si>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</si>
  <si>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</si>
  <si>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</si>
  <si>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</si>
  <si>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</si>
  <si>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</si>
  <si>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</si>
  <si>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</si>
  <si>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</si>
  <si>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</si>
  <si>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</si>
  <si>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</si>
  <si>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</si>
  <si>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</si>
  <si>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</si>
  <si>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</si>
  <si>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</si>
  <si>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</si>
  <si>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</si>
  <si>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</si>
  <si>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</si>
  <si>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</si>
  <si>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</si>
  <si>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</si>
  <si>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</si>
  <si>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</si>
  <si>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</si>
  <si>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</si>
  <si>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</si>
  <si>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</si>
  <si>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</si>
  <si>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</si>
  <si>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</si>
  <si>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</si>
  <si>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Gnome</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</si>
  <si>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</si>
  <si>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</si>
  <si>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</si>
  <si>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</si>
  <si>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</si>
  <si>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</si>
  <si>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</si>
  <si>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</si>
  <si>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</si>
  <si>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</si>
  <si>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</si>
  <si>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</si>
  <si>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</si>
  <si>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</si>
  <si>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</si>
  <si>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</si>
  <si>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</si>
  <si>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</si>
  <si>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</si>
  <si>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</si>
  <si>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</si>
  <si>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</si>
  <si>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</si>
  <si>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</si>
  <si>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</si>
  <si>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</si>
  <si>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</si>
  <si>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</si>
  <si>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</si>
  <si>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</si>
  <si>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</si>
  <si>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</si>
  <si>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</si>
  <si>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</si>
  <si>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</si>
  <si>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</si>
  <si>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</si>
  <si>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</si>
  <si>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</si>
  <si>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</si>
  <si>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</si>
  <si>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</si>
  <si>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</si>
  <si>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</si>
  <si>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</si>
  <si>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</si>
  <si>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</si>
  <si>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</si>
  <si>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</si>
  <si>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</si>
  <si>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</si>
  <si>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</si>
  <si>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Sapphires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</si>
  <si>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</si>
  <si>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</si>
  <si>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</si>
  <si>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</si>
  <si>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</si>
  <si>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</si>
  <si>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</si>
  <si>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</si>
  <si>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</si>
  <si>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</si>
  <si>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</si>
  <si>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</si>
  <si>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</si>
  <si>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</si>
  <si>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</si>
  <si>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</si>
  <si>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</si>
  <si>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</si>
  <si>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</si>
  <si>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</si>
  <si>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</si>
  <si>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</si>
  <si>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</si>
  <si>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</si>
  <si>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</si>
  <si>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</si>
  <si>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</si>
  <si>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</si>
  <si>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</si>
  <si>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</si>
  <si>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</si>
  <si>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</si>
  <si>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</si>
  <si>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</si>
  <si>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</si>
  <si>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</si>
  <si>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</si>
  <si>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</si>
  <si>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</si>
  <si>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</si>
  <si>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</si>
  <si>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</si>
  <si>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</si>
  <si>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</si>
  <si>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</si>
  <si>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</si>
  <si>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</si>
  <si>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</si>
  <si>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</si>
  <si>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</si>
  <si>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</si>
  <si>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</si>
  <si>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</si>
  <si>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</si>
  <si>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Good</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</si>
  <si>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</si>
  <si>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</si>
  <si>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</si>
  <si>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</si>
  <si>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</si>
  <si>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</si>
  <si>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</si>
  <si>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</si>
  <si>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</si>
  <si>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</si>
  <si>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</si>
  <si>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</si>
  <si>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</si>
  <si>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</si>
  <si>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</si>
  <si>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</si>
  <si>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</si>
  <si>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</si>
  <si>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</si>
  <si>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</si>
  <si>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</si>
  <si>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</si>
  <si>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</si>
  <si>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</si>
  <si>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</si>
  <si>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</si>
  <si>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</si>
  <si>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</si>
  <si>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</si>
  <si>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</si>
  <si>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</si>
  <si>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</si>
  <si>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</si>
  <si>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</si>
  <si>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</si>
  <si>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</si>
  <si>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</si>
  <si>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</si>
  <si>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</si>
  <si>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</si>
  <si>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</si>
  <si>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</si>
  <si>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</si>
  <si>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</si>
  <si>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</si>
  <si>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</si>
  <si>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</si>
  <si>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</si>
  <si>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</si>
  <si>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</si>
  <si>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</si>
  <si>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</si>
  <si>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</si>
  <si>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</si>
  <si>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</si>
  <si>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</si>
  <si>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</si>
  <si>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</si>
  <si>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</si>
  <si>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</si>
  <si>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</si>
  <si>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</si>
  <si>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</si>
  <si>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</si>
  <si>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</si>
  <si>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</si>
  <si>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</si>
  <si>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</si>
  <si>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</si>
  <si>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</si>
  <si>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</si>
  <si>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</si>
  <si>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</si>
  <si>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</si>
  <si>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</si>
  <si>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</si>
  <si>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</si>
  <si>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</si>
  <si>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</si>
  <si>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</si>
  <si>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</si>
  <si>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</si>
  <si>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</si>
  <si>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</si>
  <si>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</si>
  <si>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</si>
  <si>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Effective Caster Level:</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</si>
  <si>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</si>
  <si>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</si>
  <si>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</si>
  <si>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</si>
  <si>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</si>
  <si>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</si>
  <si>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</si>
  <si>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</si>
  <si>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</si>
  <si>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</si>
  <si>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</si>
  <si>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</si>
  <si>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</si>
  <si>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</si>
  <si>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</si>
  <si>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</si>
  <si>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</si>
  <si>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</si>
  <si>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</si>
  <si>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</si>
  <si>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</si>
  <si>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</si>
  <si>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</si>
  <si>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</si>
  <si>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</si>
  <si>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</si>
  <si>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</si>
  <si>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r>
      <t>15</t>
    </r>
    <r>
      <rPr>
        <vertAlign val="superscript"/>
        <sz val="12"/>
        <rFont val="Times New Roman"/>
        <family val="1"/>
      </rPr>
      <t>o</t>
    </r>
    <r>
      <rPr>
        <sz val="12"/>
        <rFont val="Times New Roman"/>
        <family val="1"/>
      </rPr>
      <t xml:space="preserve"> cone</t>
    </r>
  </si>
  <si>
    <t>50 charges (Launch Item)</t>
  </si>
  <si>
    <t>Pump (Sabot Launcher)</t>
  </si>
  <si>
    <t>Sabot Launcher</t>
  </si>
  <si>
    <t>Craft:  Trapmaking</t>
  </si>
  <si>
    <t>Knowledge:  Metallurgy</t>
  </si>
  <si>
    <t>Artificer 1</t>
  </si>
  <si>
    <t>6th:  Skill Focus – Metalworking</t>
  </si>
  <si>
    <t>50’</t>
  </si>
  <si>
    <t>Artificer Abilities</t>
  </si>
  <si>
    <t>Item 1:  Sabot Launcher</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</si>
  <si>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</si>
  <si>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</si>
  <si>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</si>
  <si>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</si>
  <si>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</si>
  <si>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</si>
  <si>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</si>
  <si>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</si>
  <si>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</si>
  <si>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</si>
  <si>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</si>
  <si>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</si>
  <si>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</si>
  <si>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</si>
  <si>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</si>
  <si>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</si>
  <si>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</si>
  <si>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</si>
  <si>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</si>
  <si>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</si>
  <si>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</si>
  <si>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</si>
  <si>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</si>
  <si>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</si>
  <si>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</si>
  <si>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</si>
  <si>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</si>
  <si>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</si>
  <si>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</si>
  <si>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</si>
  <si>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</si>
  <si>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</si>
  <si>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</si>
  <si>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</si>
  <si>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</si>
  <si>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</si>
  <si>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</si>
  <si>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</si>
  <si>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</si>
  <si>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</si>
  <si>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1d6</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</si>
  <si>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</si>
  <si>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</si>
  <si>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</si>
  <si>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</si>
  <si>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</si>
  <si>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</si>
  <si>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</si>
  <si>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</si>
  <si>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</si>
  <si>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</si>
  <si>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</si>
  <si>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</si>
  <si>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</si>
  <si>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</si>
  <si>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</si>
  <si>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</si>
  <si>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</si>
  <si>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</si>
  <si>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</si>
  <si>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</si>
  <si>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Unidentified Ring</t>
  </si>
  <si>
    <t>?</t>
  </si>
  <si>
    <t>ID: Ω01</t>
  </si>
  <si>
    <t>Directions to Tapestry Shop</t>
  </si>
  <si>
    <t>Found on half-orc wererat</t>
  </si>
  <si>
    <t>Ornate Dagger</t>
  </si>
  <si>
    <t>Possibly MW</t>
  </si>
  <si>
    <r>
      <t xml:space="preserve">Ring of </t>
    </r>
    <r>
      <rPr>
        <i/>
        <sz val="12"/>
        <rFont val="Times New Roman"/>
        <family val="1"/>
      </rPr>
      <t>Undetectable Alignment</t>
    </r>
  </si>
  <si>
    <t>Assorted Jewelry</t>
  </si>
  <si>
    <t>For male humanoid</t>
  </si>
  <si>
    <t>Oil of Magic Weapon +2</t>
  </si>
  <si>
    <t>þ</t>
  </si>
  <si>
    <t>Acid Flasks</t>
  </si>
  <si>
    <t>Ninja Gear</t>
  </si>
  <si>
    <t>Climbing gear, ninja-to, shurikens (10), acid flasks (2)</t>
  </si>
  <si>
    <t>Dagger, Iron</t>
  </si>
  <si>
    <t>Dagger,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</si>
</sst>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8">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b/>
      <sz val="12"/>
      <color rgb="FF6600FF"/>
      <name val="Times New Roman"/>
      <family val="1"/>
    </font>
    <font>
      <vertAlign val="superscript"/>
      <sz val="12"/>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
      <i/>
      <sz val="12"/>
      <name val="Times New Roman"/>
      <family val="1"/>
    </font>
  </fonts>
  <fills count="15">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FFFF00"/>
        <bgColor indexed="64"/>
      </patternFill>
    </fill>
  </fills>
  <borders count="173">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672">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Border="1" applyAlignment="1">
      <alignment vertical="center"/>
    </xf>
    <xf numFmtId="0" fontId="2" fillId="0" borderId="78" xfId="0" applyFont="1" applyFill="1" applyBorder="1" applyAlignment="1">
      <alignment horizontal="center" vertical="center"/>
    </xf>
    <xf numFmtId="0" fontId="2" fillId="0" borderId="78" xfId="0" quotePrefix="1" applyFont="1" applyFill="1" applyBorder="1" applyAlignment="1">
      <alignment horizontal="center" vertical="center" wrapText="1"/>
    </xf>
    <xf numFmtId="0" fontId="2" fillId="0" borderId="78" xfId="0" applyFont="1" applyFill="1" applyBorder="1" applyAlignment="1">
      <alignment horizontal="center" vertical="center" shrinkToFit="1"/>
    </xf>
    <xf numFmtId="164" fontId="2" fillId="0" borderId="78" xfId="0" applyNumberFormat="1" applyFont="1" applyFill="1" applyBorder="1" applyAlignment="1">
      <alignment horizontal="center" vertical="center"/>
    </xf>
    <xf numFmtId="0" fontId="2" fillId="0" borderId="81" xfId="0" applyFont="1" applyFill="1" applyBorder="1" applyAlignment="1">
      <alignment horizontal="center" vertical="center"/>
    </xf>
    <xf numFmtId="0" fontId="2" fillId="0" borderId="82" xfId="0" applyFont="1" applyFill="1" applyBorder="1" applyAlignment="1">
      <alignment horizontal="center" vertical="center"/>
    </xf>
    <xf numFmtId="0" fontId="5" fillId="0" borderId="82" xfId="0" quotePrefix="1" applyFont="1" applyFill="1" applyBorder="1" applyAlignment="1">
      <alignment horizontal="center" vertical="center" wrapText="1"/>
    </xf>
    <xf numFmtId="49" fontId="2" fillId="0" borderId="82" xfId="2" applyNumberFormat="1" applyFont="1" applyFill="1" applyBorder="1" applyAlignment="1">
      <alignment horizontal="center" vertical="center"/>
    </xf>
    <xf numFmtId="0" fontId="2" fillId="0" borderId="82" xfId="0" applyFont="1" applyFill="1" applyBorder="1" applyAlignment="1">
      <alignment horizontal="center" vertical="center" shrinkToFit="1"/>
    </xf>
    <xf numFmtId="164" fontId="2" fillId="0" borderId="82" xfId="0" applyNumberFormat="1" applyFont="1" applyFill="1" applyBorder="1" applyAlignment="1">
      <alignment horizontal="center" vertical="center"/>
    </xf>
    <xf numFmtId="0" fontId="2" fillId="0" borderId="80" xfId="0" quotePrefix="1" applyFont="1" applyBorder="1" applyAlignment="1">
      <alignment horizontal="center" vertical="center"/>
    </xf>
    <xf numFmtId="1" fontId="5" fillId="0" borderId="83" xfId="0" applyNumberFormat="1" applyFont="1" applyFill="1" applyBorder="1" applyAlignment="1">
      <alignment horizontal="center" vertical="center"/>
    </xf>
    <xf numFmtId="0" fontId="2" fillId="0" borderId="100" xfId="0" quotePrefix="1" applyFont="1" applyFill="1" applyBorder="1" applyAlignment="1">
      <alignment horizontal="center" vertical="center"/>
    </xf>
    <xf numFmtId="0" fontId="3" fillId="0" borderId="0" xfId="0" applyFont="1" applyBorder="1" applyAlignment="1">
      <alignment horizontal="centerContinuous" vertical="center"/>
    </xf>
    <xf numFmtId="164" fontId="3" fillId="0" borderId="0" xfId="0" applyNumberFormat="1" applyFont="1" applyBorder="1" applyAlignment="1">
      <alignment horizontal="centerContinuous" vertical="center"/>
    </xf>
    <xf numFmtId="0" fontId="5" fillId="0" borderId="0" xfId="0" applyFont="1" applyBorder="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Border="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Fill="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Fill="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2" fillId="0" borderId="87" xfId="0" applyFont="1" applyFill="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Border="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1" fontId="2" fillId="0" borderId="83" xfId="0" applyNumberFormat="1" applyFont="1" applyFill="1" applyBorder="1" applyAlignment="1">
      <alignment horizontal="center" vertical="center"/>
    </xf>
    <xf numFmtId="0" fontId="2" fillId="0" borderId="0" xfId="0" applyFont="1" applyBorder="1" applyAlignment="1">
      <alignment horizontal="center" vertical="center"/>
    </xf>
    <xf numFmtId="0" fontId="5" fillId="0" borderId="0" xfId="0" applyFont="1" applyBorder="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Fill="1" applyBorder="1" applyAlignment="1">
      <alignment horizontal="centerContinuous" vertical="center"/>
    </xf>
    <xf numFmtId="0" fontId="18" fillId="0" borderId="0" xfId="0" applyFont="1" applyBorder="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Fill="1" applyBorder="1" applyAlignment="1">
      <alignment horizontal="centerContinuous" vertical="center"/>
    </xf>
    <xf numFmtId="0" fontId="2" fillId="0" borderId="93" xfId="0" applyFont="1" applyFill="1" applyBorder="1" applyAlignment="1">
      <alignment horizontal="centerContinuous" vertical="center"/>
    </xf>
    <xf numFmtId="0" fontId="2" fillId="0" borderId="79" xfId="0" applyFont="1" applyFill="1" applyBorder="1" applyAlignment="1">
      <alignment horizontal="centerContinuous" vertical="center"/>
    </xf>
    <xf numFmtId="49" fontId="2" fillId="0" borderId="79" xfId="0" applyNumberFormat="1" applyFont="1" applyFill="1" applyBorder="1" applyAlignment="1">
      <alignment horizontal="center" vertical="center"/>
    </xf>
    <xf numFmtId="49" fontId="2" fillId="0" borderId="79" xfId="0" applyNumberFormat="1" applyFont="1" applyFill="1" applyBorder="1" applyAlignment="1">
      <alignment horizontal="centerContinuous" vertical="center"/>
    </xf>
    <xf numFmtId="49" fontId="2" fillId="0" borderId="94" xfId="0" applyNumberFormat="1" applyFont="1" applyFill="1" applyBorder="1" applyAlignment="1">
      <alignment horizontal="centerContinuous" vertical="center"/>
    </xf>
    <xf numFmtId="0" fontId="2" fillId="0" borderId="95" xfId="0" applyFont="1" applyFill="1" applyBorder="1" applyAlignment="1">
      <alignment horizontal="centerContinuous" vertical="center"/>
    </xf>
    <xf numFmtId="0" fontId="2" fillId="0" borderId="96" xfId="0" applyFont="1" applyFill="1" applyBorder="1" applyAlignment="1">
      <alignment horizontal="centerContinuous" vertical="center"/>
    </xf>
    <xf numFmtId="0" fontId="5" fillId="0" borderId="97" xfId="0" applyFont="1" applyFill="1" applyBorder="1" applyAlignment="1">
      <alignment horizontal="centerContinuous" vertical="center"/>
    </xf>
    <xf numFmtId="0" fontId="5" fillId="0" borderId="83" xfId="0" applyFont="1" applyFill="1" applyBorder="1" applyAlignment="1">
      <alignment horizontal="centerContinuous" vertical="center"/>
    </xf>
    <xf numFmtId="49" fontId="2" fillId="0" borderId="82" xfId="0" applyNumberFormat="1" applyFont="1" applyFill="1" applyBorder="1" applyAlignment="1">
      <alignment horizontal="center" vertical="center"/>
    </xf>
    <xf numFmtId="49" fontId="2" fillId="0" borderId="83" xfId="0" applyNumberFormat="1" applyFont="1" applyFill="1" applyBorder="1" applyAlignment="1">
      <alignment horizontal="centerContinuous" vertical="center"/>
    </xf>
    <xf numFmtId="49" fontId="2" fillId="0" borderId="86" xfId="0" applyNumberFormat="1" applyFont="1" applyFill="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34" xfId="0" applyFont="1" applyFill="1" applyBorder="1" applyAlignment="1">
      <alignment horizontal="centerContinuous" vertical="center"/>
    </xf>
    <xf numFmtId="0" fontId="7" fillId="0" borderId="53" xfId="0" applyFont="1" applyFill="1" applyBorder="1" applyAlignment="1">
      <alignment horizontal="centerContinuous" vertical="center"/>
    </xf>
    <xf numFmtId="0" fontId="7" fillId="0" borderId="74" xfId="0" applyFont="1" applyFill="1" applyBorder="1" applyAlignment="1">
      <alignment horizontal="centerContinuous" vertical="center"/>
    </xf>
    <xf numFmtId="0" fontId="7" fillId="0" borderId="54" xfId="0" applyFont="1" applyFill="1" applyBorder="1" applyAlignment="1">
      <alignment horizontal="centerContinuous" vertical="center"/>
    </xf>
    <xf numFmtId="0" fontId="7" fillId="0" borderId="46" xfId="0" applyFont="1" applyFill="1" applyBorder="1" applyAlignment="1">
      <alignment horizontal="centerContinuous" vertical="center"/>
    </xf>
    <xf numFmtId="0" fontId="7" fillId="0" borderId="74" xfId="0" quotePrefix="1" applyFont="1" applyFill="1" applyBorder="1" applyAlignment="1">
      <alignment horizontal="centerContinuous" vertical="center"/>
    </xf>
    <xf numFmtId="0" fontId="7" fillId="0" borderId="54" xfId="0" quotePrefix="1" applyFont="1" applyFill="1" applyBorder="1" applyAlignment="1">
      <alignment horizontal="centerContinuous" vertical="center"/>
    </xf>
    <xf numFmtId="0" fontId="7" fillId="0" borderId="25" xfId="0" applyFont="1" applyFill="1" applyBorder="1" applyAlignment="1">
      <alignment horizontal="center" vertical="center"/>
    </xf>
    <xf numFmtId="0" fontId="7" fillId="0" borderId="25" xfId="0" applyNumberFormat="1" applyFont="1" applyFill="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13" fillId="0" borderId="26" xfId="0" applyNumberFormat="1" applyFont="1" applyFill="1" applyBorder="1" applyAlignment="1">
      <alignment horizontal="center" vertical="center"/>
    </xf>
    <xf numFmtId="0" fontId="41" fillId="0" borderId="56" xfId="0" applyFont="1" applyFill="1" applyBorder="1" applyAlignment="1">
      <alignment vertical="center"/>
    </xf>
    <xf numFmtId="0" fontId="6" fillId="0" borderId="57" xfId="0" applyFont="1" applyFill="1" applyBorder="1" applyAlignment="1">
      <alignment horizontal="center" vertical="center"/>
    </xf>
    <xf numFmtId="0" fontId="7" fillId="0" borderId="57" xfId="0" applyFont="1" applyFill="1" applyBorder="1" applyAlignment="1">
      <alignment horizontal="center" vertical="center"/>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0" fontId="11"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NumberFormat="1" applyFont="1" applyFill="1" applyBorder="1" applyAlignment="1">
      <alignment horizontal="center" vertical="center"/>
    </xf>
    <xf numFmtId="0" fontId="19" fillId="0" borderId="0" xfId="0" applyFont="1" applyBorder="1" applyAlignment="1">
      <alignment vertical="center"/>
    </xf>
    <xf numFmtId="0" fontId="32" fillId="0" borderId="0" xfId="0" applyFont="1" applyBorder="1" applyAlignment="1">
      <alignment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xf>
    <xf numFmtId="0" fontId="30" fillId="0" borderId="0" xfId="0" applyFont="1" applyBorder="1" applyAlignment="1">
      <alignment vertical="center"/>
    </xf>
    <xf numFmtId="0" fontId="29" fillId="0" borderId="0" xfId="0" applyFont="1" applyBorder="1" applyAlignment="1">
      <alignment vertical="center"/>
    </xf>
    <xf numFmtId="0" fontId="31" fillId="0" borderId="0" xfId="0" applyFont="1" applyBorder="1" applyAlignment="1">
      <alignment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24" fillId="0" borderId="26" xfId="0" applyNumberFormat="1" applyFont="1" applyFill="1" applyBorder="1" applyAlignment="1">
      <alignment horizontal="center" vertical="center"/>
    </xf>
    <xf numFmtId="0" fontId="11" fillId="0" borderId="1" xfId="0" applyFont="1" applyFill="1" applyBorder="1" applyAlignment="1">
      <alignment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14" fillId="8" borderId="1" xfId="0" applyFont="1" applyFill="1" applyBorder="1" applyAlignment="1">
      <alignment vertical="center"/>
    </xf>
    <xf numFmtId="0" fontId="7" fillId="8" borderId="25" xfId="0" applyNumberFormat="1" applyFont="1" applyFill="1" applyBorder="1" applyAlignment="1">
      <alignment horizontal="center" vertical="center"/>
    </xf>
    <xf numFmtId="49" fontId="23" fillId="8" borderId="25" xfId="0" applyNumberFormat="1" applyFont="1" applyFill="1" applyBorder="1" applyAlignment="1">
      <alignment horizontal="center" vertical="center"/>
    </xf>
    <xf numFmtId="0" fontId="23" fillId="8" borderId="26" xfId="0" applyNumberFormat="1" applyFont="1" applyFill="1" applyBorder="1" applyAlignment="1">
      <alignment horizontal="center" vertical="center"/>
    </xf>
    <xf numFmtId="0" fontId="14" fillId="8" borderId="26"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8" fillId="0" borderId="26" xfId="0" applyNumberFormat="1" applyFont="1" applyFill="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NumberFormat="1" applyFont="1" applyFill="1" applyBorder="1" applyAlignment="1">
      <alignment horizontal="center" vertical="center"/>
    </xf>
    <xf numFmtId="0" fontId="11" fillId="8" borderId="26" xfId="0"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5" fillId="0" borderId="0" xfId="0" applyFont="1" applyBorder="1" applyAlignment="1">
      <alignment horizontal="left" vertical="center"/>
    </xf>
    <xf numFmtId="0" fontId="5" fillId="0" borderId="0" xfId="0" applyNumberFormat="1" applyFont="1" applyBorder="1" applyAlignment="1">
      <alignment horizontal="left" vertical="center"/>
    </xf>
    <xf numFmtId="0" fontId="4" fillId="0" borderId="0" xfId="0" applyFont="1" applyBorder="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1"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Fill="1" applyBorder="1" applyAlignment="1">
      <alignment horizontal="center" vertical="center"/>
    </xf>
    <xf numFmtId="0" fontId="7" fillId="0" borderId="0" xfId="0" applyFont="1" applyBorder="1" applyAlignment="1">
      <alignment horizontal="left" vertical="center"/>
    </xf>
    <xf numFmtId="0" fontId="6" fillId="4" borderId="11" xfId="0" applyFont="1" applyFill="1" applyBorder="1" applyAlignment="1">
      <alignment horizontal="right" vertical="center"/>
    </xf>
    <xf numFmtId="49" fontId="7" fillId="0" borderId="24" xfId="0" applyNumberFormat="1" applyFont="1" applyBorder="1" applyAlignment="1">
      <alignment horizontal="centerContinuous" vertical="center"/>
    </xf>
    <xf numFmtId="0" fontId="2" fillId="0" borderId="99" xfId="0" applyFont="1" applyBorder="1" applyAlignment="1">
      <alignment horizontal="centerContinuous" vertical="center"/>
    </xf>
    <xf numFmtId="0" fontId="8" fillId="2" borderId="14" xfId="0" applyFont="1" applyFill="1" applyBorder="1" applyAlignment="1">
      <alignment horizontal="right" vertical="center"/>
    </xf>
    <xf numFmtId="0" fontId="26" fillId="0" borderId="15" xfId="0" applyNumberFormat="1" applyFont="1" applyBorder="1" applyAlignment="1">
      <alignment horizontal="center"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6" fillId="0" borderId="28" xfId="0"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Fill="1" applyBorder="1" applyAlignment="1">
      <alignment horizontal="center" vertical="center"/>
    </xf>
    <xf numFmtId="0" fontId="2" fillId="0" borderId="38" xfId="0" applyFont="1" applyBorder="1" applyAlignment="1">
      <alignment horizontal="left" vertical="center"/>
    </xf>
    <xf numFmtId="0" fontId="2" fillId="0" borderId="103" xfId="0" applyFont="1" applyFill="1" applyBorder="1" applyAlignment="1">
      <alignment horizontal="centerContinuous" vertical="center" shrinkToFit="1"/>
    </xf>
    <xf numFmtId="0" fontId="21" fillId="0" borderId="104" xfId="0" applyFont="1" applyFill="1" applyBorder="1" applyAlignment="1">
      <alignment horizontal="centerContinuous" vertical="center"/>
    </xf>
    <xf numFmtId="0" fontId="2" fillId="0" borderId="105" xfId="0" applyFont="1" applyFill="1" applyBorder="1" applyAlignment="1">
      <alignment horizontal="center" vertical="center"/>
    </xf>
    <xf numFmtId="0" fontId="2" fillId="0" borderId="106" xfId="0" applyFont="1" applyFill="1" applyBorder="1" applyAlignment="1">
      <alignment horizontal="centerContinuous" vertical="center"/>
    </xf>
    <xf numFmtId="0" fontId="2" fillId="0" borderId="107" xfId="0" applyFont="1" applyFill="1" applyBorder="1" applyAlignment="1">
      <alignment horizontal="centerContinuous" vertical="center"/>
    </xf>
    <xf numFmtId="0" fontId="2" fillId="0" borderId="0" xfId="0" applyFont="1" applyBorder="1" applyAlignment="1">
      <alignment vertical="center"/>
    </xf>
    <xf numFmtId="0" fontId="2" fillId="0" borderId="96" xfId="0" applyFont="1" applyFill="1" applyBorder="1" applyAlignment="1">
      <alignment horizontal="centerContinuous" vertical="center" shrinkToFit="1"/>
    </xf>
    <xf numFmtId="0" fontId="21" fillId="0" borderId="86" xfId="0" applyFont="1" applyFill="1" applyBorder="1" applyAlignment="1">
      <alignment horizontal="centerContinuous" vertical="center"/>
    </xf>
    <xf numFmtId="0" fontId="2" fillId="0" borderId="83" xfId="0" applyFont="1" applyFill="1" applyBorder="1" applyAlignment="1">
      <alignment horizontal="centerContinuous" vertical="center"/>
    </xf>
    <xf numFmtId="0" fontId="2" fillId="0" borderId="84" xfId="0" applyFont="1" applyFill="1" applyBorder="1" applyAlignment="1">
      <alignment horizontal="centerContinuous" vertical="center"/>
    </xf>
    <xf numFmtId="1" fontId="5" fillId="0" borderId="106" xfId="0" applyNumberFormat="1" applyFont="1" applyFill="1" applyBorder="1" applyAlignment="1">
      <alignment horizontal="center" vertical="center"/>
    </xf>
    <xf numFmtId="1" fontId="2" fillId="0" borderId="106" xfId="0" applyNumberFormat="1" applyFont="1" applyBorder="1" applyAlignment="1">
      <alignment horizontal="center" vertical="center"/>
    </xf>
    <xf numFmtId="1" fontId="5" fillId="0" borderId="0" xfId="0" applyNumberFormat="1" applyFont="1" applyBorder="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Fill="1" applyBorder="1" applyAlignment="1">
      <alignment horizontal="center" vertical="center"/>
    </xf>
    <xf numFmtId="1" fontId="2" fillId="0" borderId="74" xfId="0" applyNumberFormat="1" applyFont="1" applyFill="1" applyBorder="1" applyAlignment="1">
      <alignment horizontal="center" vertical="center"/>
    </xf>
    <xf numFmtId="1" fontId="2" fillId="0" borderId="46" xfId="0" applyNumberFormat="1" applyFont="1" applyFill="1" applyBorder="1" applyAlignment="1">
      <alignment horizontal="center" vertical="center"/>
    </xf>
    <xf numFmtId="1" fontId="5" fillId="0" borderId="0" xfId="0" applyNumberFormat="1" applyFont="1" applyBorder="1" applyAlignment="1">
      <alignment horizontal="center" vertical="center"/>
    </xf>
    <xf numFmtId="0" fontId="2" fillId="0" borderId="77" xfId="0" applyFont="1" applyFill="1" applyBorder="1" applyAlignment="1">
      <alignment horizontal="center" vertical="center"/>
    </xf>
    <xf numFmtId="0" fontId="47" fillId="0" borderId="1" xfId="0" applyFont="1" applyFill="1" applyBorder="1" applyAlignment="1">
      <alignment vertical="center"/>
    </xf>
    <xf numFmtId="0" fontId="6" fillId="0" borderId="25" xfId="0" applyFont="1" applyFill="1" applyBorder="1" applyAlignment="1">
      <alignment horizontal="center" vertical="center"/>
    </xf>
    <xf numFmtId="0" fontId="48" fillId="0" borderId="1" xfId="0" applyFont="1" applyFill="1" applyBorder="1" applyAlignment="1">
      <alignment vertical="center"/>
    </xf>
    <xf numFmtId="0" fontId="10" fillId="0" borderId="26" xfId="0" applyNumberFormat="1" applyFont="1" applyFill="1" applyBorder="1" applyAlignment="1">
      <alignment horizontal="center" vertical="center"/>
    </xf>
    <xf numFmtId="0" fontId="2" fillId="0" borderId="0" xfId="0" applyFont="1" applyFill="1" applyBorder="1" applyAlignment="1">
      <alignment horizontal="center" vertical="center"/>
    </xf>
    <xf numFmtId="1" fontId="2" fillId="8" borderId="46" xfId="0" applyNumberFormat="1" applyFont="1" applyFill="1" applyBorder="1" applyAlignment="1">
      <alignment horizontal="center" vertical="center"/>
    </xf>
    <xf numFmtId="0" fontId="5" fillId="0" borderId="0" xfId="0" applyFont="1" applyFill="1" applyBorder="1" applyAlignment="1">
      <alignment vertical="center"/>
    </xf>
    <xf numFmtId="0" fontId="9" fillId="0" borderId="3" xfId="0" quotePrefix="1" applyFont="1" applyFill="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Fill="1" applyBorder="1" applyAlignment="1">
      <alignment horizontal="centerContinuous" vertical="center"/>
    </xf>
    <xf numFmtId="0" fontId="40" fillId="0" borderId="31" xfId="0" applyFont="1" applyFill="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Fill="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Fill="1" applyBorder="1" applyAlignment="1">
      <alignment horizontal="center" vertical="center"/>
    </xf>
    <xf numFmtId="0" fontId="7" fillId="8" borderId="27" xfId="0" quotePrefix="1" applyNumberFormat="1" applyFont="1" applyFill="1" applyBorder="1" applyAlignment="1">
      <alignment horizontal="center" vertical="center"/>
    </xf>
    <xf numFmtId="0" fontId="5" fillId="0" borderId="0" xfId="0"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4" fillId="6" borderId="26" xfId="0" applyNumberFormat="1" applyFont="1" applyFill="1" applyBorder="1" applyAlignment="1">
      <alignment horizontal="center" vertical="center"/>
    </xf>
    <xf numFmtId="3" fontId="5" fillId="0" borderId="0" xfId="0" applyNumberFormat="1" applyFont="1" applyBorder="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NumberFormat="1" applyFont="1" applyFill="1" applyBorder="1" applyAlignment="1">
      <alignment horizontal="center" vertical="center"/>
    </xf>
    <xf numFmtId="0" fontId="22" fillId="6" borderId="26" xfId="0" applyNumberFormat="1"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Fill="1" applyBorder="1" applyAlignment="1">
      <alignment horizontal="center" vertical="center"/>
    </xf>
    <xf numFmtId="0" fontId="7" fillId="0" borderId="73" xfId="0" applyFont="1" applyFill="1" applyBorder="1" applyAlignment="1">
      <alignment horizontal="center" vertical="center"/>
    </xf>
    <xf numFmtId="49" fontId="7" fillId="0" borderId="13"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8" xfId="0" applyFont="1" applyFill="1" applyBorder="1" applyAlignment="1">
      <alignment horizontal="center" vertical="center"/>
    </xf>
    <xf numFmtId="0" fontId="27" fillId="0" borderId="46" xfId="0" applyFont="1" applyFill="1" applyBorder="1" applyAlignment="1">
      <alignment horizontal="centerContinuous" vertical="center" shrinkToFit="1"/>
    </xf>
    <xf numFmtId="0" fontId="54" fillId="9" borderId="115" xfId="0" applyFont="1" applyFill="1" applyBorder="1" applyAlignment="1">
      <alignment horizontal="centerContinuous" vertical="center"/>
    </xf>
    <xf numFmtId="0" fontId="7" fillId="0" borderId="51" xfId="0" applyFont="1" applyFill="1" applyBorder="1" applyAlignment="1">
      <alignment horizontal="centerContinuous" vertical="center"/>
    </xf>
    <xf numFmtId="0" fontId="7" fillId="0" borderId="26" xfId="0" applyFont="1" applyFill="1" applyBorder="1" applyAlignment="1">
      <alignment horizontal="centerContinuous" vertical="center"/>
    </xf>
    <xf numFmtId="0" fontId="7" fillId="0" borderId="45" xfId="0" applyFont="1" applyFill="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2"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8" xfId="0" applyFont="1" applyFill="1" applyBorder="1" applyAlignment="1">
      <alignment horizontal="center" vertical="center" shrinkToFit="1"/>
    </xf>
    <xf numFmtId="0" fontId="2" fillId="0" borderId="116" xfId="0" applyFont="1" applyFill="1" applyBorder="1" applyAlignment="1">
      <alignment horizontal="center" vertical="center"/>
    </xf>
    <xf numFmtId="0" fontId="2" fillId="0" borderId="116" xfId="0" quotePrefix="1" applyFont="1" applyFill="1" applyBorder="1" applyAlignment="1">
      <alignment horizontal="center" vertical="center"/>
    </xf>
    <xf numFmtId="9" fontId="2" fillId="0" borderId="116" xfId="0" applyNumberFormat="1" applyFont="1" applyFill="1" applyBorder="1" applyAlignment="1">
      <alignment horizontal="center" vertical="center"/>
    </xf>
    <xf numFmtId="49" fontId="2" fillId="0" borderId="116" xfId="0" quotePrefix="1" applyNumberFormat="1" applyFont="1" applyFill="1" applyBorder="1" applyAlignment="1">
      <alignment horizontal="center" vertical="center"/>
    </xf>
    <xf numFmtId="164" fontId="2" fillId="0" borderId="110" xfId="0" applyNumberFormat="1" applyFont="1" applyFill="1" applyBorder="1" applyAlignment="1">
      <alignment horizontal="centerContinuous" vertical="center"/>
    </xf>
    <xf numFmtId="164" fontId="2" fillId="0" borderId="109" xfId="0" applyNumberFormat="1" applyFont="1" applyFill="1" applyBorder="1" applyAlignment="1">
      <alignment horizontal="centerContinuous" vertical="center"/>
    </xf>
    <xf numFmtId="0" fontId="5" fillId="0" borderId="111" xfId="0" quotePrefix="1" applyFont="1" applyFill="1" applyBorder="1" applyAlignment="1">
      <alignment horizontal="centerContinuous" vertical="center"/>
    </xf>
    <xf numFmtId="1" fontId="2" fillId="0" borderId="117" xfId="0" applyNumberFormat="1" applyFont="1" applyFill="1" applyBorder="1" applyAlignment="1">
      <alignment horizontal="center" vertical="center"/>
    </xf>
    <xf numFmtId="0" fontId="2" fillId="0" borderId="75" xfId="0" applyFont="1" applyFill="1" applyBorder="1" applyAlignment="1">
      <alignment horizontal="center" vertical="center"/>
    </xf>
    <xf numFmtId="164" fontId="2" fillId="0" borderId="75" xfId="0" applyNumberFormat="1" applyFont="1" applyFill="1" applyBorder="1" applyAlignment="1">
      <alignment horizontal="center" vertical="center"/>
    </xf>
    <xf numFmtId="1" fontId="2" fillId="0" borderId="34" xfId="0" applyNumberFormat="1" applyFont="1" applyFill="1" applyBorder="1" applyAlignment="1">
      <alignment horizontal="center" vertical="center"/>
    </xf>
    <xf numFmtId="1" fontId="7" fillId="0" borderId="28" xfId="0" applyNumberFormat="1" applyFont="1" applyFill="1" applyBorder="1" applyAlignment="1">
      <alignment horizontal="center" vertical="center"/>
    </xf>
    <xf numFmtId="1" fontId="7" fillId="0" borderId="12" xfId="0" applyNumberFormat="1" applyFont="1" applyFill="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4" fillId="0" borderId="0" xfId="0" applyFont="1" applyAlignment="1">
      <alignment horizontal="right" vertical="center"/>
    </xf>
    <xf numFmtId="0" fontId="2" fillId="0" borderId="0" xfId="0" applyFont="1" applyAlignment="1">
      <alignment horizontal="left" vertical="center"/>
    </xf>
    <xf numFmtId="49" fontId="5" fillId="0" borderId="0" xfId="0" applyNumberFormat="1" applyFont="1" applyBorder="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4" xfId="0" applyFont="1" applyFill="1" applyBorder="1" applyAlignment="1">
      <alignment horizontal="centerContinuous" vertical="center"/>
    </xf>
    <xf numFmtId="0" fontId="2" fillId="0" borderId="112" xfId="0" applyFont="1" applyFill="1" applyBorder="1" applyAlignment="1">
      <alignment horizontal="center" vertical="center"/>
    </xf>
    <xf numFmtId="0" fontId="2" fillId="0" borderId="75" xfId="0" quotePrefix="1" applyFont="1" applyFill="1" applyBorder="1" applyAlignment="1">
      <alignment horizontal="center" vertical="center" wrapText="1"/>
    </xf>
    <xf numFmtId="49" fontId="2" fillId="0" borderId="75" xfId="2" applyNumberFormat="1" applyFont="1" applyFill="1" applyBorder="1" applyAlignment="1">
      <alignment horizontal="center" vertical="center"/>
    </xf>
    <xf numFmtId="0" fontId="2" fillId="0" borderId="75" xfId="0" applyFont="1" applyFill="1" applyBorder="1" applyAlignment="1">
      <alignment horizontal="center" vertical="center" shrinkToFit="1"/>
    </xf>
    <xf numFmtId="1" fontId="2" fillId="0" borderId="76" xfId="0" applyNumberFormat="1" applyFont="1" applyFill="1" applyBorder="1" applyAlignment="1">
      <alignment horizontal="center" vertical="center"/>
    </xf>
    <xf numFmtId="0" fontId="2" fillId="0" borderId="113" xfId="0" quotePrefix="1" applyFont="1" applyFill="1" applyBorder="1" applyAlignment="1">
      <alignment horizontal="center" vertical="center"/>
    </xf>
    <xf numFmtId="0" fontId="2" fillId="0" borderId="100" xfId="0" applyFont="1" applyFill="1" applyBorder="1" applyAlignment="1">
      <alignment horizontal="center" vertical="center"/>
    </xf>
    <xf numFmtId="1" fontId="5" fillId="0" borderId="76" xfId="0" applyNumberFormat="1" applyFont="1" applyFill="1" applyBorder="1" applyAlignment="1">
      <alignment horizontal="center" vertical="center"/>
    </xf>
    <xf numFmtId="1" fontId="2" fillId="0" borderId="76" xfId="0" applyNumberFormat="1" applyFont="1" applyBorder="1" applyAlignment="1">
      <alignment horizontal="center" vertical="center"/>
    </xf>
    <xf numFmtId="0" fontId="2" fillId="0" borderId="113" xfId="0" quotePrefix="1" applyFont="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NumberFormat="1" applyFont="1" applyFill="1" applyBorder="1" applyAlignment="1">
      <alignment horizontal="center" vertical="center"/>
    </xf>
    <xf numFmtId="0" fontId="8" fillId="6" borderId="26"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0" fontId="7" fillId="6" borderId="27" xfId="0" quotePrefix="1" applyFont="1" applyFill="1" applyBorder="1" applyAlignment="1">
      <alignment horizontal="center" vertical="center"/>
    </xf>
    <xf numFmtId="0" fontId="10" fillId="0" borderId="1" xfId="0" applyFont="1" applyFill="1" applyBorder="1" applyAlignment="1">
      <alignment vertical="center"/>
    </xf>
    <xf numFmtId="49"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2" fontId="2" fillId="0" borderId="53" xfId="0" applyNumberFormat="1" applyFont="1" applyFill="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0" fontId="12" fillId="3" borderId="36"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xf>
    <xf numFmtId="0" fontId="43" fillId="0" borderId="57" xfId="0" applyFont="1" applyFill="1" applyBorder="1" applyAlignment="1">
      <alignment horizontal="center" vertical="center"/>
    </xf>
    <xf numFmtId="1" fontId="7" fillId="0" borderId="57" xfId="0" applyNumberFormat="1" applyFont="1" applyFill="1" applyBorder="1" applyAlignment="1">
      <alignment horizontal="center" vertical="center"/>
    </xf>
    <xf numFmtId="49" fontId="7" fillId="0" borderId="57" xfId="0" applyNumberFormat="1" applyFont="1" applyFill="1" applyBorder="1" applyAlignment="1">
      <alignment horizontal="center" vertical="center"/>
    </xf>
    <xf numFmtId="0" fontId="2" fillId="0" borderId="120" xfId="0" applyFont="1" applyFill="1" applyBorder="1" applyAlignment="1">
      <alignment horizontal="center" vertical="center" shrinkToFit="1"/>
    </xf>
    <xf numFmtId="0" fontId="2" fillId="0" borderId="121" xfId="0" applyFont="1" applyBorder="1" applyAlignment="1">
      <alignment horizontal="center" vertical="center" shrinkToFit="1"/>
    </xf>
    <xf numFmtId="164" fontId="5" fillId="0" borderId="122" xfId="0" applyNumberFormat="1" applyFont="1" applyBorder="1" applyAlignment="1">
      <alignment horizontal="center" vertical="center" shrinkToFit="1"/>
    </xf>
    <xf numFmtId="0" fontId="2" fillId="0" borderId="122" xfId="0" applyFont="1" applyBorder="1" applyAlignment="1">
      <alignment horizontal="left" vertical="center"/>
    </xf>
    <xf numFmtId="0" fontId="5" fillId="0" borderId="123"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NumberFormat="1"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NumberFormat="1" applyFont="1" applyFill="1" applyBorder="1" applyAlignment="1">
      <alignment horizontal="center" vertical="center"/>
    </xf>
    <xf numFmtId="0" fontId="13" fillId="6" borderId="45" xfId="0" applyNumberFormat="1"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NumberFormat="1" applyFont="1" applyFill="1" applyBorder="1" applyAlignment="1">
      <alignment horizontal="center" vertical="center"/>
    </xf>
    <xf numFmtId="0" fontId="44" fillId="11" borderId="26" xfId="0" applyNumberFormat="1" applyFont="1" applyFill="1" applyBorder="1" applyAlignment="1">
      <alignment horizontal="center" vertical="center"/>
    </xf>
    <xf numFmtId="0" fontId="44" fillId="11" borderId="57" xfId="0" applyNumberFormat="1" applyFont="1" applyFill="1" applyBorder="1" applyAlignment="1">
      <alignment horizontal="center" vertical="center"/>
    </xf>
    <xf numFmtId="0" fontId="44" fillId="11" borderId="13" xfId="0" applyNumberFormat="1" applyFont="1" applyFill="1" applyBorder="1" applyAlignment="1">
      <alignment horizontal="center" vertical="center"/>
    </xf>
    <xf numFmtId="0" fontId="44" fillId="11" borderId="44" xfId="0" applyNumberFormat="1" applyFont="1" applyFill="1" applyBorder="1" applyAlignment="1">
      <alignment horizontal="center" vertical="center"/>
    </xf>
    <xf numFmtId="0" fontId="4" fillId="0" borderId="0" xfId="0" applyFont="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4"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43" fillId="11" borderId="35"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22" fillId="6" borderId="1" xfId="0" applyFont="1" applyFill="1" applyBorder="1" applyAlignment="1">
      <alignment vertical="center"/>
    </xf>
    <xf numFmtId="0" fontId="52" fillId="0" borderId="114"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39" fillId="0" borderId="54" xfId="0" quotePrefix="1" applyFont="1" applyFill="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1" xfId="5" applyFont="1" applyFill="1" applyBorder="1" applyAlignment="1">
      <alignment horizontal="center" shrinkToFit="1"/>
    </xf>
    <xf numFmtId="0" fontId="63" fillId="0" borderId="8" xfId="5" applyFont="1" applyFill="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applyAlignment="1"/>
    <xf numFmtId="0" fontId="12" fillId="9" borderId="125" xfId="5" applyFont="1" applyFill="1" applyBorder="1" applyAlignment="1">
      <alignment horizontal="centerContinuous" vertical="center"/>
    </xf>
    <xf numFmtId="0" fontId="12" fillId="9" borderId="126" xfId="5" applyFont="1" applyFill="1" applyBorder="1" applyAlignment="1">
      <alignment horizontal="center" vertical="center"/>
    </xf>
    <xf numFmtId="0" fontId="21" fillId="9" borderId="126" xfId="5" applyFont="1" applyFill="1" applyBorder="1" applyAlignment="1">
      <alignment horizontal="center" vertical="center"/>
    </xf>
    <xf numFmtId="0" fontId="12" fillId="9" borderId="127" xfId="5" applyFont="1" applyFill="1" applyBorder="1" applyAlignment="1">
      <alignment horizontal="centerContinuous" vertical="center"/>
    </xf>
    <xf numFmtId="0" fontId="7" fillId="0" borderId="13" xfId="5" applyFont="1" applyBorder="1" applyAlignment="1">
      <alignment horizontal="center"/>
    </xf>
    <xf numFmtId="0" fontId="7" fillId="0" borderId="128" xfId="5" applyFont="1" applyBorder="1" applyAlignment="1">
      <alignment horizontal="center" vertical="center"/>
    </xf>
    <xf numFmtId="0" fontId="4" fillId="0" borderId="0" xfId="5" applyFont="1" applyAlignment="1"/>
    <xf numFmtId="0" fontId="7" fillId="0" borderId="25" xfId="5" applyFont="1" applyBorder="1" applyAlignment="1">
      <alignment horizontal="center"/>
    </xf>
    <xf numFmtId="0" fontId="7" fillId="0" borderId="25" xfId="5" applyFont="1" applyFill="1" applyBorder="1" applyAlignment="1">
      <alignment horizontal="center"/>
    </xf>
    <xf numFmtId="0" fontId="7" fillId="0" borderId="27" xfId="5" applyFont="1" applyFill="1" applyBorder="1" applyAlignment="1">
      <alignment horizontal="center" vertical="center"/>
    </xf>
    <xf numFmtId="0" fontId="7" fillId="0" borderId="44" xfId="5" applyFont="1" applyFill="1" applyBorder="1" applyAlignment="1">
      <alignment horizontal="center"/>
    </xf>
    <xf numFmtId="0" fontId="7" fillId="0" borderId="33" xfId="5" applyFont="1" applyFill="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9" xfId="0" applyFont="1" applyBorder="1" applyAlignment="1">
      <alignment horizontal="centerContinuous" vertical="center"/>
    </xf>
    <xf numFmtId="0" fontId="2" fillId="0" borderId="130" xfId="0" applyFont="1" applyBorder="1" applyAlignment="1">
      <alignment horizontal="centerContinuous" vertical="center"/>
    </xf>
    <xf numFmtId="0" fontId="2" fillId="0" borderId="102" xfId="0" applyFont="1" applyBorder="1" applyAlignment="1">
      <alignment horizontal="centerContinuous"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12" fillId="9" borderId="132" xfId="0" applyFont="1" applyFill="1" applyBorder="1" applyAlignment="1">
      <alignment horizontal="centerContinuous" vertical="center"/>
    </xf>
    <xf numFmtId="0" fontId="12" fillId="9" borderId="133" xfId="0" applyFont="1" applyFill="1" applyBorder="1" applyAlignment="1">
      <alignment horizontal="center" vertical="center"/>
    </xf>
    <xf numFmtId="0" fontId="4" fillId="0" borderId="134" xfId="0" applyFont="1" applyBorder="1" applyAlignment="1">
      <alignment horizontal="right"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66" fillId="8" borderId="136" xfId="0" applyFont="1" applyFill="1" applyBorder="1" applyAlignment="1">
      <alignment horizontal="center" vertical="center"/>
    </xf>
    <xf numFmtId="0" fontId="66" fillId="8" borderId="137" xfId="0" applyFont="1" applyFill="1" applyBorder="1" applyAlignment="1">
      <alignment horizontal="center" vertical="center"/>
    </xf>
    <xf numFmtId="0" fontId="67" fillId="0" borderId="138"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9" xfId="0" applyFont="1" applyBorder="1" applyAlignment="1">
      <alignment horizontal="right" vertical="center"/>
    </xf>
    <xf numFmtId="0" fontId="69" fillId="9" borderId="140" xfId="0" applyFont="1" applyFill="1" applyBorder="1" applyAlignment="1">
      <alignment horizontal="center" vertical="center"/>
    </xf>
    <xf numFmtId="0" fontId="69" fillId="9" borderId="141" xfId="0" applyFont="1" applyFill="1" applyBorder="1" applyAlignment="1">
      <alignment horizontal="center" vertical="center"/>
    </xf>
    <xf numFmtId="0" fontId="70" fillId="8" borderId="141" xfId="0" applyFont="1" applyFill="1" applyBorder="1" applyAlignment="1">
      <alignment horizontal="center" vertical="center"/>
    </xf>
    <xf numFmtId="0" fontId="70" fillId="8" borderId="142" xfId="0" applyFont="1" applyFill="1" applyBorder="1" applyAlignment="1">
      <alignment horizontal="center" vertical="center"/>
    </xf>
    <xf numFmtId="0" fontId="4" fillId="0" borderId="143" xfId="0" applyFont="1" applyBorder="1" applyAlignment="1">
      <alignment horizontal="right" vertical="center"/>
    </xf>
    <xf numFmtId="1" fontId="69" fillId="9" borderId="144" xfId="0" applyNumberFormat="1" applyFont="1" applyFill="1" applyBorder="1" applyAlignment="1">
      <alignment horizontal="center" vertical="center"/>
    </xf>
    <xf numFmtId="1" fontId="69" fillId="9" borderId="145"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1" fontId="69" fillId="8" borderId="146"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7"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49" fontId="7" fillId="0" borderId="44" xfId="0" applyNumberFormat="1"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6" xfId="0" applyNumberFormat="1" applyFont="1" applyFill="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4" xfId="0" applyFont="1" applyBorder="1" applyAlignment="1">
      <alignment horizontal="center" shrinkToFit="1"/>
    </xf>
    <xf numFmtId="0" fontId="2" fillId="0" borderId="55" xfId="0" applyFont="1" applyBorder="1" applyAlignment="1">
      <alignment horizontal="center" vertic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8"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50"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75" fillId="0" borderId="153" xfId="0" applyFont="1" applyBorder="1" applyAlignment="1">
      <alignment horizontal="center"/>
    </xf>
    <xf numFmtId="0" fontId="0" fillId="8" borderId="122" xfId="0" applyFill="1" applyBorder="1" applyAlignment="1">
      <alignment horizontal="center"/>
    </xf>
    <xf numFmtId="0" fontId="0" fillId="8" borderId="123" xfId="0" applyFill="1" applyBorder="1" applyAlignment="1">
      <alignment horizontal="center"/>
    </xf>
    <xf numFmtId="0" fontId="0" fillId="0" borderId="138"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5"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Fill="1" applyBorder="1" applyAlignment="1">
      <alignment horizontal="center"/>
    </xf>
    <xf numFmtId="0" fontId="74" fillId="0" borderId="0" xfId="0" applyFont="1" applyAlignment="1">
      <alignment horizontal="centerContinuous" vertical="center"/>
    </xf>
    <xf numFmtId="0" fontId="7" fillId="0" borderId="0" xfId="0" applyFont="1" applyFill="1" applyBorder="1" applyAlignment="1">
      <alignment vertical="center"/>
    </xf>
    <xf numFmtId="0" fontId="55" fillId="0" borderId="58" xfId="0" applyFont="1" applyBorder="1" applyAlignment="1">
      <alignment horizontal="centerContinuous" vertical="center"/>
    </xf>
    <xf numFmtId="0" fontId="7" fillId="0" borderId="0" xfId="0" applyFont="1" applyFill="1" applyBorder="1" applyAlignment="1">
      <alignment horizontal="center"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77" fillId="0" borderId="154" xfId="0" applyFont="1" applyBorder="1" applyAlignment="1">
      <alignment horizontal="center"/>
    </xf>
    <xf numFmtId="49" fontId="77" fillId="0" borderId="121" xfId="0" applyNumberFormat="1" applyFont="1" applyBorder="1" applyAlignment="1">
      <alignment horizontal="center"/>
    </xf>
    <xf numFmtId="0" fontId="45" fillId="11" borderId="22" xfId="0" applyFont="1" applyFill="1" applyBorder="1" applyAlignment="1">
      <alignment horizontal="center" vertical="center"/>
    </xf>
    <xf numFmtId="1" fontId="46" fillId="11" borderId="106" xfId="0" applyNumberFormat="1" applyFont="1" applyFill="1" applyBorder="1" applyAlignment="1">
      <alignment horizontal="center" vertical="center"/>
    </xf>
    <xf numFmtId="1" fontId="46" fillId="11" borderId="76" xfId="0" applyNumberFormat="1" applyFont="1" applyFill="1" applyBorder="1" applyAlignment="1">
      <alignment horizontal="center" vertical="center"/>
    </xf>
    <xf numFmtId="1" fontId="46" fillId="11" borderId="83"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1" fontId="46" fillId="11" borderId="82" xfId="0" applyNumberFormat="1" applyFont="1" applyFill="1" applyBorder="1" applyAlignment="1">
      <alignment horizontal="center" vertical="center"/>
    </xf>
    <xf numFmtId="0" fontId="2" fillId="12" borderId="156" xfId="0" applyFont="1" applyFill="1" applyBorder="1" applyAlignment="1">
      <alignment horizontal="center" vertical="center"/>
    </xf>
    <xf numFmtId="0" fontId="2" fillId="12" borderId="105" xfId="0" applyFont="1" applyFill="1" applyBorder="1" applyAlignment="1">
      <alignment horizontal="center" vertical="center"/>
    </xf>
    <xf numFmtId="0" fontId="2" fillId="12" borderId="105" xfId="0" quotePrefix="1" applyFont="1" applyFill="1" applyBorder="1" applyAlignment="1">
      <alignment horizontal="center" vertical="center" wrapText="1"/>
    </xf>
    <xf numFmtId="49" fontId="2" fillId="12" borderId="105" xfId="2" applyNumberFormat="1" applyFont="1" applyFill="1" applyBorder="1" applyAlignment="1">
      <alignment horizontal="center" vertical="center"/>
    </xf>
    <xf numFmtId="0" fontId="2" fillId="12" borderId="105" xfId="0" applyFont="1" applyFill="1" applyBorder="1" applyAlignment="1">
      <alignment horizontal="center" vertical="center" shrinkToFit="1"/>
    </xf>
    <xf numFmtId="164" fontId="2" fillId="12" borderId="105" xfId="0" applyNumberFormat="1" applyFont="1" applyFill="1" applyBorder="1" applyAlignment="1">
      <alignment horizontal="center" vertical="center"/>
    </xf>
    <xf numFmtId="1" fontId="2" fillId="12" borderId="106" xfId="0" applyNumberFormat="1" applyFont="1" applyFill="1" applyBorder="1" applyAlignment="1">
      <alignment horizontal="center" vertical="center"/>
    </xf>
    <xf numFmtId="0" fontId="2" fillId="12" borderId="157"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Fill="1" applyBorder="1" applyAlignment="1">
      <alignment horizontal="center" vertical="center"/>
    </xf>
    <xf numFmtId="0" fontId="2" fillId="0" borderId="75" xfId="2" applyNumberFormat="1" applyFont="1" applyFill="1" applyBorder="1" applyAlignment="1">
      <alignment horizontal="center" vertical="center"/>
    </xf>
    <xf numFmtId="0" fontId="2" fillId="12" borderId="78" xfId="2" applyNumberFormat="1" applyFont="1" applyFill="1" applyBorder="1" applyAlignment="1">
      <alignment horizontal="center" vertical="center"/>
    </xf>
    <xf numFmtId="0" fontId="2" fillId="12" borderId="105" xfId="2" applyNumberFormat="1" applyFont="1" applyFill="1" applyBorder="1" applyAlignment="1">
      <alignment horizontal="center" vertical="center"/>
    </xf>
    <xf numFmtId="0" fontId="2" fillId="0" borderId="82" xfId="0" applyNumberFormat="1" applyFont="1" applyFill="1" applyBorder="1" applyAlignment="1">
      <alignment horizontal="center" vertical="center"/>
    </xf>
    <xf numFmtId="0" fontId="39" fillId="0" borderId="114" xfId="0" applyFont="1" applyFill="1" applyBorder="1" applyAlignment="1">
      <alignment horizontal="centerContinuous" vertical="center"/>
    </xf>
    <xf numFmtId="0" fontId="59" fillId="0" borderId="31" xfId="0" applyFont="1" applyBorder="1" applyAlignment="1">
      <alignment horizontal="centerContinuous" vertical="center" wrapText="1"/>
    </xf>
    <xf numFmtId="0" fontId="79" fillId="0" borderId="34" xfId="0" applyFont="1" applyFill="1" applyBorder="1" applyAlignment="1">
      <alignment horizontal="centerContinuous" vertical="center"/>
    </xf>
    <xf numFmtId="0" fontId="79" fillId="0" borderId="54" xfId="0" quotePrefix="1" applyFont="1" applyFill="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2" xfId="0" applyFont="1" applyFill="1" applyBorder="1" applyAlignment="1">
      <alignment horizontal="center" vertical="center" shrinkToFit="1"/>
    </xf>
    <xf numFmtId="0" fontId="2" fillId="0" borderId="75" xfId="0" quotePrefix="1" applyFont="1" applyFill="1" applyBorder="1" applyAlignment="1">
      <alignment horizontal="center" vertical="center"/>
    </xf>
    <xf numFmtId="9" fontId="2" fillId="0" borderId="75" xfId="0" applyNumberFormat="1" applyFont="1" applyFill="1" applyBorder="1" applyAlignment="1">
      <alignment horizontal="center" vertical="center"/>
    </xf>
    <xf numFmtId="49" fontId="2" fillId="0" borderId="75" xfId="0" quotePrefix="1" applyNumberFormat="1" applyFont="1" applyFill="1" applyBorder="1" applyAlignment="1">
      <alignment horizontal="center" vertical="center"/>
    </xf>
    <xf numFmtId="164" fontId="2" fillId="0" borderId="76" xfId="0" applyNumberFormat="1" applyFont="1" applyFill="1" applyBorder="1" applyAlignment="1">
      <alignment horizontal="centerContinuous" vertical="center"/>
    </xf>
    <xf numFmtId="164" fontId="2" fillId="0" borderId="118" xfId="0" applyNumberFormat="1" applyFont="1" applyFill="1" applyBorder="1" applyAlignment="1">
      <alignment horizontal="centerContinuous" vertical="center"/>
    </xf>
    <xf numFmtId="0" fontId="5" fillId="0" borderId="119" xfId="0" quotePrefix="1" applyFont="1" applyFill="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8"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80" fillId="4" borderId="159"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60" xfId="9" applyFont="1" applyFill="1" applyBorder="1" applyAlignment="1">
      <alignment horizontal="right" vertical="center"/>
    </xf>
    <xf numFmtId="0" fontId="26" fillId="0" borderId="161"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60"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81"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2" fillId="2" borderId="162" xfId="9" applyFont="1" applyFill="1" applyBorder="1" applyAlignment="1">
      <alignment horizontal="right" vertical="center"/>
    </xf>
    <xf numFmtId="0" fontId="4" fillId="2" borderId="163" xfId="9" applyFont="1" applyFill="1" applyBorder="1" applyAlignment="1">
      <alignment horizontal="centerContinuous" vertical="center"/>
    </xf>
    <xf numFmtId="0" fontId="2" fillId="2" borderId="163" xfId="9" applyFill="1" applyBorder="1" applyAlignment="1">
      <alignment horizontal="left" vertical="center"/>
    </xf>
    <xf numFmtId="0" fontId="20" fillId="2" borderId="163" xfId="9" applyFont="1" applyFill="1" applyBorder="1" applyAlignment="1">
      <alignment horizontal="left" vertical="center"/>
    </xf>
    <xf numFmtId="0" fontId="83" fillId="2" borderId="164" xfId="9" applyFont="1" applyFill="1" applyBorder="1" applyAlignment="1">
      <alignment horizontal="right"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3" xfId="0" applyFont="1" applyBorder="1" applyAlignment="1">
      <alignment horizontal="center" vertical="center" shrinkToFit="1"/>
    </xf>
    <xf numFmtId="0" fontId="2" fillId="0" borderId="122" xfId="0" applyFont="1" applyBorder="1" applyAlignment="1">
      <alignment horizontal="center" vertical="center" shrinkToFit="1"/>
    </xf>
    <xf numFmtId="164" fontId="2" fillId="0" borderId="122" xfId="0" applyNumberFormat="1" applyFont="1" applyBorder="1" applyAlignment="1">
      <alignment horizontal="center" vertical="center" shrinkToFit="1"/>
    </xf>
    <xf numFmtId="0" fontId="2" fillId="0" borderId="165" xfId="0" applyFont="1" applyBorder="1" applyAlignment="1">
      <alignment horizontal="left" vertical="center"/>
    </xf>
    <xf numFmtId="0" fontId="2" fillId="0" borderId="123"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0" xfId="0" applyFont="1" applyAlignment="1">
      <alignment horizontal="left"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3" xfId="9" applyFont="1" applyBorder="1" applyAlignment="1">
      <alignment horizontal="center" vertical="center"/>
    </xf>
    <xf numFmtId="0" fontId="80" fillId="4" borderId="112" xfId="9" applyFont="1" applyFill="1" applyBorder="1" applyAlignment="1">
      <alignment horizontal="right" vertical="center"/>
    </xf>
    <xf numFmtId="0" fontId="7" fillId="0" borderId="3" xfId="0" applyFont="1" applyBorder="1" applyAlignment="1">
      <alignment horizontal="center" vertical="center"/>
    </xf>
    <xf numFmtId="0" fontId="8" fillId="4" borderId="148"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3"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8"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6"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4"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6" fillId="0" borderId="0" xfId="0" applyFont="1" applyAlignment="1">
      <alignment horizontal="right" vertical="center"/>
    </xf>
    <xf numFmtId="0" fontId="7" fillId="0" borderId="0" xfId="0" applyFont="1" applyAlignment="1">
      <alignment horizontal="center" vertical="center"/>
    </xf>
    <xf numFmtId="0" fontId="84" fillId="0" borderId="0" xfId="0" applyFont="1" applyAlignment="1">
      <alignment horizontal="centerContinuous" vertical="center"/>
    </xf>
    <xf numFmtId="0" fontId="82" fillId="2" borderId="162" xfId="0" applyFont="1" applyFill="1" applyBorder="1" applyAlignment="1">
      <alignment horizontal="right" vertical="center"/>
    </xf>
    <xf numFmtId="0" fontId="4" fillId="2" borderId="163" xfId="0" applyFont="1" applyFill="1" applyBorder="1" applyAlignment="1">
      <alignment horizontal="centerContinuous" vertical="center"/>
    </xf>
    <xf numFmtId="0" fontId="2" fillId="2" borderId="163" xfId="0" applyFont="1" applyFill="1" applyBorder="1" applyAlignment="1">
      <alignment horizontal="left" vertical="center"/>
    </xf>
    <xf numFmtId="0" fontId="85" fillId="2" borderId="163" xfId="0" applyFont="1" applyFill="1" applyBorder="1" applyAlignment="1">
      <alignment horizontal="centerContinuous" vertical="center"/>
    </xf>
    <xf numFmtId="0" fontId="20" fillId="2" borderId="163" xfId="0" applyFont="1" applyFill="1" applyBorder="1" applyAlignment="1">
      <alignment horizontal="left" vertical="center"/>
    </xf>
    <xf numFmtId="0" fontId="86" fillId="2" borderId="164"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9" fontId="7" fillId="0" borderId="45" xfId="2" applyFont="1" applyFill="1" applyBorder="1" applyAlignment="1">
      <alignment horizont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7" xfId="0"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0" borderId="169" xfId="0" applyFont="1" applyBorder="1" applyAlignment="1">
      <alignment horizontal="left" vertical="center"/>
    </xf>
    <xf numFmtId="0" fontId="5" fillId="0" borderId="170" xfId="0" applyFont="1" applyBorder="1" applyAlignment="1">
      <alignment horizontal="left" vertical="center" shrinkToFit="1"/>
    </xf>
    <xf numFmtId="2" fontId="2" fillId="0" borderId="114" xfId="0" applyNumberFormat="1" applyFont="1" applyBorder="1" applyAlignment="1">
      <alignment horizontal="center" vertical="center" shrinkToFit="1"/>
    </xf>
    <xf numFmtId="2" fontId="2" fillId="0" borderId="38" xfId="0" applyNumberFormat="1" applyFont="1" applyBorder="1" applyAlignment="1">
      <alignment horizontal="center" vertical="center" shrinkToFit="1"/>
    </xf>
    <xf numFmtId="0" fontId="7" fillId="14" borderId="68" xfId="0" applyNumberFormat="1" applyFont="1" applyFill="1" applyBorder="1" applyAlignment="1">
      <alignment horizontal="centerContinuous" vertical="center"/>
    </xf>
    <xf numFmtId="0" fontId="2" fillId="14" borderId="70" xfId="0" applyNumberFormat="1" applyFont="1" applyFill="1" applyBorder="1" applyAlignment="1">
      <alignment horizontal="centerContinuous" vertical="center"/>
    </xf>
    <xf numFmtId="0" fontId="2" fillId="14" borderId="78" xfId="2" applyNumberFormat="1" applyFont="1" applyFill="1" applyBorder="1" applyAlignment="1">
      <alignment horizontal="center" vertical="center"/>
    </xf>
    <xf numFmtId="0" fontId="2" fillId="14" borderId="75" xfId="2" applyNumberFormat="1" applyFont="1" applyFill="1" applyBorder="1" applyAlignment="1">
      <alignment horizontal="center" vertical="center"/>
    </xf>
    <xf numFmtId="0" fontId="2" fillId="14" borderId="82" xfId="2" applyNumberFormat="1" applyFont="1" applyFill="1" applyBorder="1" applyAlignment="1">
      <alignment horizontal="center" vertical="center"/>
    </xf>
    <xf numFmtId="0" fontId="2" fillId="0" borderId="171" xfId="0" applyFont="1" applyBorder="1" applyAlignment="1">
      <alignment horizontal="center" vertical="center" shrinkToFit="1"/>
    </xf>
    <xf numFmtId="1" fontId="2" fillId="0" borderId="169" xfId="0" applyNumberFormat="1" applyFont="1" applyBorder="1" applyAlignment="1">
      <alignment horizontal="center" vertical="center" shrinkToFit="1"/>
    </xf>
    <xf numFmtId="164" fontId="2" fillId="0" borderId="169" xfId="0" applyNumberFormat="1" applyFont="1" applyBorder="1" applyAlignment="1">
      <alignment horizontal="center" vertical="center" shrinkToFit="1"/>
    </xf>
    <xf numFmtId="0" fontId="2" fillId="0" borderId="172" xfId="0" applyFont="1" applyBorder="1" applyAlignment="1">
      <alignment horizontal="left" vertical="center"/>
    </xf>
    <xf numFmtId="0" fontId="2" fillId="0" borderId="170" xfId="0" applyFont="1" applyBorder="1" applyAlignment="1">
      <alignment horizontal="left" vertical="center" shrinkToFit="1"/>
    </xf>
    <xf numFmtId="1" fontId="2" fillId="0" borderId="114" xfId="0" applyNumberFormat="1" applyFont="1" applyBorder="1" applyAlignment="1">
      <alignment horizontal="center" vertical="center" shrinkToFit="1"/>
    </xf>
    <xf numFmtId="0" fontId="7" fillId="14" borderId="15" xfId="0" applyFont="1" applyFill="1" applyBorder="1" applyAlignment="1">
      <alignment horizontal="center"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17">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00FF"/>
      <color rgb="FF00FF00"/>
      <color rgb="FFCCFFCC"/>
      <color rgb="FF6600CC"/>
      <color rgb="FF9966FF"/>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60960</xdr:colOff>
      <xdr:row>16</xdr:row>
      <xdr:rowOff>1904</xdr:rowOff>
    </xdr:from>
    <xdr:to>
      <xdr:col>6</xdr:col>
      <xdr:colOff>982980</xdr:colOff>
      <xdr:row>17</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41910</xdr:colOff>
      <xdr:row>18</xdr:row>
      <xdr:rowOff>51434</xdr:rowOff>
    </xdr:from>
    <xdr:to>
      <xdr:col>6</xdr:col>
      <xdr:colOff>1261110</xdr:colOff>
      <xdr:row>40</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41910" y="3762374"/>
          <a:ext cx="6499860" cy="505396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 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251461</xdr:colOff>
      <xdr:row>1</xdr:row>
      <xdr:rowOff>83821</xdr:rowOff>
    </xdr:from>
    <xdr:to>
      <xdr:col>6</xdr:col>
      <xdr:colOff>853271</xdr:colOff>
      <xdr:row>15</xdr:row>
      <xdr:rowOff>137160</xdr:rowOff>
    </xdr:to>
    <xdr:pic>
      <xdr:nvPicPr>
        <xdr:cNvPr id="2" name="Picture 1">
          <a:extLst>
            <a:ext uri="{FF2B5EF4-FFF2-40B4-BE49-F238E27FC236}">
              <a16:creationId xmlns:a16="http://schemas.microsoft.com/office/drawing/2014/main" id="{7FDF039A-AF86-42CA-AFDC-C852CFE642A8}"/>
            </a:ext>
          </a:extLst>
        </xdr:cNvPr>
        <xdr:cNvPicPr>
          <a:picLocks noChangeAspect="1"/>
        </xdr:cNvPicPr>
      </xdr:nvPicPr>
      <xdr:blipFill>
        <a:blip xmlns:r="http://schemas.openxmlformats.org/officeDocument/2006/relationships" r:embed="rId1"/>
        <a:stretch>
          <a:fillRect/>
        </a:stretch>
      </xdr:blipFill>
      <xdr:spPr>
        <a:xfrm>
          <a:off x="4495801" y="457201"/>
          <a:ext cx="1645750" cy="3078479"/>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230505</xdr:colOff>
      <xdr:row>1</xdr:row>
      <xdr:rowOff>123825</xdr:rowOff>
    </xdr:from>
    <xdr:to>
      <xdr:col>4</xdr:col>
      <xdr:colOff>116205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30480</xdr:colOff>
      <xdr:row>0</xdr:row>
      <xdr:rowOff>160019</xdr:rowOff>
    </xdr:from>
    <xdr:to>
      <xdr:col>10</xdr:col>
      <xdr:colOff>495300</xdr:colOff>
      <xdr:row>22</xdr:row>
      <xdr:rowOff>98806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6540" y="16001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2"/>
  <sheetViews>
    <sheetView showGridLines="0" tabSelected="1" zoomScaleNormal="100" workbookViewId="0"/>
  </sheetViews>
  <sheetFormatPr defaultColWidth="13" defaultRowHeight="15.6"/>
  <cols>
    <col min="1" max="1" width="16.8984375" style="139" bestFit="1" customWidth="1"/>
    <col min="2" max="2" width="10" style="141" customWidth="1"/>
    <col min="3" max="3" width="5.5" style="141" customWidth="1"/>
    <col min="4" max="4" width="13.69921875" style="139" bestFit="1" customWidth="1"/>
    <col min="5" max="5" width="9.59765625" style="141" bestFit="1" customWidth="1"/>
    <col min="6" max="6" width="13.69921875" style="139" customWidth="1"/>
    <col min="7" max="7" width="13.69921875" style="141" customWidth="1"/>
    <col min="8" max="16384" width="13" style="21"/>
  </cols>
  <sheetData>
    <row r="1" spans="1:7" ht="29.4" thickTop="1" thickBot="1">
      <c r="A1" s="144" t="s">
        <v>103</v>
      </c>
      <c r="B1" s="441" t="s">
        <v>280</v>
      </c>
      <c r="C1" s="145"/>
      <c r="D1" s="146"/>
      <c r="E1" s="147"/>
      <c r="F1" s="146"/>
      <c r="G1" s="148" t="s">
        <v>102</v>
      </c>
    </row>
    <row r="2" spans="1:7" ht="17.399999999999999" thickTop="1">
      <c r="A2" s="149" t="s">
        <v>146</v>
      </c>
      <c r="B2" s="150" t="s">
        <v>77</v>
      </c>
      <c r="C2" s="150"/>
      <c r="D2" s="151" t="s">
        <v>147</v>
      </c>
      <c r="E2" s="152" t="s">
        <v>133</v>
      </c>
      <c r="F2" s="153"/>
      <c r="G2" s="154"/>
    </row>
    <row r="3" spans="1:7" ht="16.8">
      <c r="A3" s="149" t="s">
        <v>148</v>
      </c>
      <c r="B3" s="150" t="s">
        <v>112</v>
      </c>
      <c r="C3" s="150"/>
      <c r="D3" s="151" t="s">
        <v>78</v>
      </c>
      <c r="E3" s="152">
        <v>4</v>
      </c>
      <c r="F3" s="151"/>
      <c r="G3" s="154"/>
    </row>
    <row r="4" spans="1:7" ht="16.8">
      <c r="A4" s="149" t="s">
        <v>148</v>
      </c>
      <c r="B4" s="150" t="s">
        <v>189</v>
      </c>
      <c r="C4" s="150"/>
      <c r="D4" s="151" t="s">
        <v>78</v>
      </c>
      <c r="E4" s="152">
        <v>1</v>
      </c>
      <c r="F4" s="151"/>
      <c r="G4" s="154"/>
    </row>
    <row r="5" spans="1:7" ht="16.8">
      <c r="A5" s="149" t="s">
        <v>148</v>
      </c>
      <c r="B5" s="150" t="s">
        <v>145</v>
      </c>
      <c r="C5" s="150"/>
      <c r="D5" s="151" t="s">
        <v>78</v>
      </c>
      <c r="E5" s="152">
        <v>1</v>
      </c>
      <c r="F5" s="151"/>
      <c r="G5" s="154"/>
    </row>
    <row r="6" spans="1:7" ht="16.8">
      <c r="A6" s="149" t="s">
        <v>149</v>
      </c>
      <c r="B6" s="150" t="s">
        <v>107</v>
      </c>
      <c r="C6" s="150"/>
      <c r="D6" s="151" t="s">
        <v>150</v>
      </c>
      <c r="E6" s="152" t="s">
        <v>105</v>
      </c>
      <c r="F6" s="151"/>
      <c r="G6" s="154"/>
    </row>
    <row r="7" spans="1:7" ht="16.8">
      <c r="A7" s="149" t="s">
        <v>151</v>
      </c>
      <c r="B7" s="150">
        <v>43</v>
      </c>
      <c r="C7" s="150"/>
      <c r="D7" s="151" t="s">
        <v>152</v>
      </c>
      <c r="E7" s="152" t="s">
        <v>106</v>
      </c>
      <c r="F7" s="151"/>
      <c r="G7" s="154"/>
    </row>
    <row r="8" spans="1:7" ht="16.8">
      <c r="A8" s="149" t="s">
        <v>153</v>
      </c>
      <c r="B8" s="150" t="s">
        <v>109</v>
      </c>
      <c r="C8" s="150"/>
      <c r="D8" s="151" t="s">
        <v>154</v>
      </c>
      <c r="E8" s="152" t="s">
        <v>104</v>
      </c>
      <c r="F8" s="151"/>
      <c r="G8" s="154"/>
    </row>
    <row r="9" spans="1:7" ht="17.399999999999999" thickBot="1">
      <c r="A9" s="149" t="s">
        <v>155</v>
      </c>
      <c r="B9" s="150" t="s">
        <v>108</v>
      </c>
      <c r="C9" s="150"/>
      <c r="D9" s="151"/>
      <c r="E9" s="152"/>
      <c r="F9" s="151"/>
      <c r="G9" s="154"/>
    </row>
    <row r="10" spans="1:7" ht="17.399999999999999" thickTop="1">
      <c r="A10" s="155" t="s">
        <v>156</v>
      </c>
      <c r="B10" s="660">
        <f>3+0+0+1</f>
        <v>4</v>
      </c>
      <c r="C10" s="661"/>
      <c r="D10" s="156" t="s">
        <v>67</v>
      </c>
      <c r="E10" s="157" t="s">
        <v>180</v>
      </c>
      <c r="F10" s="158"/>
      <c r="G10" s="154"/>
    </row>
    <row r="11" spans="1:7" ht="17.399999999999999" thickBot="1">
      <c r="A11" s="159" t="s">
        <v>157</v>
      </c>
      <c r="B11" s="160" t="str">
        <f>C13</f>
        <v>+3</v>
      </c>
      <c r="C11" s="161"/>
      <c r="D11" s="262" t="s">
        <v>158</v>
      </c>
      <c r="E11" s="349">
        <v>24280</v>
      </c>
      <c r="F11" s="158"/>
      <c r="G11" s="154"/>
    </row>
    <row r="12" spans="1:7" ht="17.399999999999999" thickTop="1">
      <c r="A12" s="162" t="s">
        <v>159</v>
      </c>
      <c r="B12" s="671">
        <f>8+4</f>
        <v>12</v>
      </c>
      <c r="C12" s="163" t="str">
        <f>IF(B12&gt;9.9,CONCATENATE("+",ROUNDDOWN((B12-10)/2,0)),ROUNDUP((B12-10)/2,0))</f>
        <v>+1</v>
      </c>
      <c r="D12" s="164" t="s">
        <v>160</v>
      </c>
      <c r="E12" s="217" t="s">
        <v>134</v>
      </c>
      <c r="F12" s="158"/>
      <c r="G12" s="154"/>
    </row>
    <row r="13" spans="1:7" ht="16.8">
      <c r="A13" s="165" t="s">
        <v>161</v>
      </c>
      <c r="B13" s="216">
        <v>16</v>
      </c>
      <c r="C13" s="166" t="str">
        <f t="shared" ref="C13:C17" si="0">IF(B13&gt;9.9,CONCATENATE("+",ROUNDDOWN((B13-10)/2,0)),ROUNDUP((B13-10)/2,0))</f>
        <v>+3</v>
      </c>
      <c r="D13" s="167" t="s">
        <v>162</v>
      </c>
      <c r="E13" s="168">
        <f>SUM(Martial!G6:G21)+SUM(Equipment!C3:C22)</f>
        <v>36.527500000000003</v>
      </c>
      <c r="F13" s="158"/>
      <c r="G13" s="154"/>
    </row>
    <row r="14" spans="1:7" ht="16.8">
      <c r="A14" s="169" t="s">
        <v>163</v>
      </c>
      <c r="B14" s="216">
        <v>13</v>
      </c>
      <c r="C14" s="171" t="str">
        <f t="shared" si="0"/>
        <v>+1</v>
      </c>
      <c r="D14" s="167" t="s">
        <v>164</v>
      </c>
      <c r="E14" s="172">
        <f>ROUNDUP(((E3*6)*0.75)+((E4*4)*0.75)+((E5*6)*0.75)+((E3+E5)*C14),0)</f>
        <v>31</v>
      </c>
      <c r="F14" s="158"/>
      <c r="G14" s="154"/>
    </row>
    <row r="15" spans="1:7" ht="16.8">
      <c r="A15" s="173" t="s">
        <v>165</v>
      </c>
      <c r="B15" s="216">
        <v>15</v>
      </c>
      <c r="C15" s="166" t="str">
        <f t="shared" si="0"/>
        <v>+2</v>
      </c>
      <c r="D15" s="174" t="s">
        <v>166</v>
      </c>
      <c r="E15" s="275">
        <f>11+C13</f>
        <v>14</v>
      </c>
      <c r="F15" s="231"/>
      <c r="G15" s="154"/>
    </row>
    <row r="16" spans="1:7" ht="16.8">
      <c r="A16" s="175" t="s">
        <v>167</v>
      </c>
      <c r="B16" s="170">
        <v>10</v>
      </c>
      <c r="C16" s="166" t="str">
        <f t="shared" si="0"/>
        <v>+0</v>
      </c>
      <c r="D16" s="174" t="s">
        <v>168</v>
      </c>
      <c r="E16" s="275">
        <f>E17-C13</f>
        <v>19</v>
      </c>
      <c r="F16" s="231"/>
      <c r="G16" s="154"/>
    </row>
    <row r="17" spans="1:7" ht="17.399999999999999" thickBot="1">
      <c r="A17" s="176" t="s">
        <v>169</v>
      </c>
      <c r="B17" s="177">
        <v>10</v>
      </c>
      <c r="C17" s="178" t="str">
        <f t="shared" si="0"/>
        <v>+0</v>
      </c>
      <c r="D17" s="179" t="s">
        <v>170</v>
      </c>
      <c r="E17" s="276">
        <f>E15+SUM(Martial!B15:B17)</f>
        <v>22</v>
      </c>
      <c r="F17" s="231"/>
      <c r="G17" s="154"/>
    </row>
    <row r="18" spans="1:7" s="5" customFormat="1" ht="24" thickTop="1" thickBot="1">
      <c r="A18" s="277" t="s">
        <v>110</v>
      </c>
      <c r="B18" s="278"/>
      <c r="C18" s="278"/>
      <c r="D18" s="279"/>
      <c r="E18" s="279"/>
      <c r="F18" s="279"/>
      <c r="G18" s="280"/>
    </row>
    <row r="19" spans="1:7" s="5" customFormat="1" ht="17.399999999999999" thickTop="1">
      <c r="A19" s="180"/>
      <c r="B19" s="181"/>
      <c r="C19" s="181"/>
      <c r="D19" s="181"/>
      <c r="E19" s="181"/>
      <c r="F19" s="181"/>
      <c r="G19" s="182"/>
    </row>
    <row r="20" spans="1:7" s="5" customFormat="1" ht="16.8">
      <c r="A20" s="183"/>
      <c r="B20" s="281"/>
      <c r="C20" s="281"/>
      <c r="D20" s="281"/>
      <c r="E20" s="281"/>
      <c r="F20" s="281"/>
      <c r="G20" s="184"/>
    </row>
    <row r="21" spans="1:7" s="5" customFormat="1" ht="16.8">
      <c r="A21" s="183"/>
      <c r="B21" s="281"/>
      <c r="C21" s="281"/>
      <c r="D21" s="281"/>
      <c r="E21" s="281"/>
      <c r="F21" s="281"/>
      <c r="G21" s="184"/>
    </row>
    <row r="22" spans="1:7" s="5" customFormat="1" ht="16.8">
      <c r="A22" s="183"/>
      <c r="B22" s="281"/>
      <c r="C22" s="281"/>
      <c r="D22" s="281"/>
      <c r="E22" s="281"/>
      <c r="F22" s="281"/>
      <c r="G22" s="184"/>
    </row>
    <row r="23" spans="1:7" s="5" customFormat="1" ht="16.8">
      <c r="A23" s="183"/>
      <c r="B23" s="281"/>
      <c r="C23" s="281"/>
      <c r="D23" s="281"/>
      <c r="E23" s="281"/>
      <c r="F23" s="281"/>
      <c r="G23" s="184"/>
    </row>
    <row r="24" spans="1:7" ht="16.8">
      <c r="A24" s="183"/>
      <c r="B24" s="281"/>
      <c r="C24" s="281"/>
      <c r="D24" s="281"/>
      <c r="E24" s="281"/>
      <c r="F24" s="281"/>
      <c r="G24" s="184"/>
    </row>
    <row r="25" spans="1:7" ht="16.8">
      <c r="A25" s="183"/>
      <c r="B25" s="281"/>
      <c r="C25" s="281"/>
      <c r="D25" s="281"/>
      <c r="E25" s="281"/>
      <c r="F25" s="281"/>
      <c r="G25" s="184"/>
    </row>
    <row r="26" spans="1:7" ht="16.8">
      <c r="A26" s="183"/>
      <c r="B26" s="281"/>
      <c r="C26" s="281"/>
      <c r="D26" s="281"/>
      <c r="E26" s="281"/>
      <c r="F26" s="281"/>
      <c r="G26" s="184"/>
    </row>
    <row r="27" spans="1:7" ht="16.8">
      <c r="A27" s="183"/>
      <c r="B27" s="281"/>
      <c r="C27" s="281"/>
      <c r="D27" s="281"/>
      <c r="E27" s="281"/>
      <c r="F27" s="281"/>
      <c r="G27" s="184"/>
    </row>
    <row r="28" spans="1:7" ht="16.8">
      <c r="A28" s="183"/>
      <c r="B28" s="281"/>
      <c r="C28" s="281"/>
      <c r="D28" s="281"/>
      <c r="E28" s="281"/>
      <c r="F28" s="281"/>
      <c r="G28" s="184"/>
    </row>
    <row r="29" spans="1:7" ht="16.8">
      <c r="A29" s="183"/>
      <c r="B29" s="281"/>
      <c r="C29" s="281"/>
      <c r="D29" s="281"/>
      <c r="E29" s="281"/>
      <c r="F29" s="281"/>
      <c r="G29" s="184"/>
    </row>
    <row r="30" spans="1:7" ht="16.8">
      <c r="A30" s="183"/>
      <c r="B30" s="281"/>
      <c r="C30" s="281"/>
      <c r="D30" s="281"/>
      <c r="E30" s="281"/>
      <c r="F30" s="281"/>
      <c r="G30" s="184"/>
    </row>
    <row r="31" spans="1:7" ht="16.8">
      <c r="A31" s="183"/>
      <c r="B31" s="281"/>
      <c r="C31" s="281"/>
      <c r="D31" s="281"/>
      <c r="E31" s="281"/>
      <c r="F31" s="281"/>
      <c r="G31" s="184"/>
    </row>
    <row r="32" spans="1:7" ht="16.8">
      <c r="A32" s="183"/>
      <c r="B32" s="281"/>
      <c r="C32" s="281"/>
      <c r="D32" s="281"/>
      <c r="E32" s="281"/>
      <c r="F32" s="281"/>
      <c r="G32" s="184"/>
    </row>
    <row r="33" spans="1:7" ht="16.8">
      <c r="A33" s="183"/>
      <c r="B33" s="281"/>
      <c r="C33" s="281"/>
      <c r="D33" s="281"/>
      <c r="E33" s="281"/>
      <c r="F33" s="281"/>
      <c r="G33" s="184"/>
    </row>
    <row r="34" spans="1:7" ht="16.8">
      <c r="A34" s="183"/>
      <c r="B34" s="281"/>
      <c r="C34" s="281"/>
      <c r="D34" s="281"/>
      <c r="E34" s="281"/>
      <c r="F34" s="281"/>
      <c r="G34" s="184"/>
    </row>
    <row r="35" spans="1:7" ht="16.8">
      <c r="A35" s="183"/>
      <c r="B35" s="281"/>
      <c r="C35" s="281"/>
      <c r="D35" s="281"/>
      <c r="E35" s="281"/>
      <c r="F35" s="281"/>
      <c r="G35" s="184"/>
    </row>
    <row r="36" spans="1:7" ht="16.8">
      <c r="A36" s="183"/>
      <c r="B36" s="281"/>
      <c r="C36" s="281"/>
      <c r="D36" s="281"/>
      <c r="E36" s="281"/>
      <c r="F36" s="281"/>
      <c r="G36" s="184"/>
    </row>
    <row r="37" spans="1:7" ht="16.8">
      <c r="A37" s="183"/>
      <c r="B37" s="281"/>
      <c r="C37" s="281"/>
      <c r="D37" s="281"/>
      <c r="E37" s="281"/>
      <c r="F37" s="281"/>
      <c r="G37" s="184"/>
    </row>
    <row r="38" spans="1:7" ht="16.8">
      <c r="A38" s="183"/>
      <c r="B38" s="281"/>
      <c r="C38" s="281"/>
      <c r="D38" s="281"/>
      <c r="E38" s="281"/>
      <c r="F38" s="281"/>
      <c r="G38" s="184"/>
    </row>
    <row r="39" spans="1:7" ht="16.8">
      <c r="A39" s="183"/>
      <c r="B39" s="281"/>
      <c r="C39" s="281"/>
      <c r="D39" s="281"/>
      <c r="E39" s="281"/>
      <c r="F39" s="281"/>
      <c r="G39" s="184"/>
    </row>
    <row r="40" spans="1:7" ht="16.8">
      <c r="A40" s="183"/>
      <c r="B40" s="281"/>
      <c r="C40" s="281"/>
      <c r="D40" s="281"/>
      <c r="E40" s="281"/>
      <c r="F40" s="281"/>
      <c r="G40" s="184"/>
    </row>
    <row r="41" spans="1:7" ht="17.399999999999999" thickBot="1">
      <c r="A41" s="185"/>
      <c r="B41" s="186"/>
      <c r="C41" s="186"/>
      <c r="D41" s="186"/>
      <c r="E41" s="186"/>
      <c r="F41" s="186"/>
      <c r="G41" s="187"/>
    </row>
    <row r="42" spans="1:7" ht="16.2" thickTop="1">
      <c r="A42" s="282"/>
      <c r="B42" s="283"/>
      <c r="C42" s="283"/>
      <c r="D42" s="282"/>
      <c r="E42" s="283"/>
      <c r="F42" s="282"/>
      <c r="G42" s="283"/>
    </row>
  </sheetData>
  <phoneticPr fontId="0" type="noConversion"/>
  <conditionalFormatting sqref="E13">
    <cfRule type="cellIs" dxfId="16" priority="1" stopIfTrue="1" operator="greaterThan">
      <formula>50</formula>
    </cfRule>
    <cfRule type="cellIs" dxfId="15"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cols>
    <col min="1" max="1" width="62.796875" style="153" bestFit="1" customWidth="1"/>
    <col min="2" max="2" width="9.5" style="344" customWidth="1"/>
    <col min="3" max="3" width="6.3984375" style="153" customWidth="1"/>
    <col min="4" max="16384" width="9" style="153"/>
  </cols>
  <sheetData>
    <row r="1" spans="1:3">
      <c r="A1" s="282" t="s">
        <v>171</v>
      </c>
      <c r="B1" s="333" t="str">
        <f>'Personal File'!A1</f>
        <v>Saradette</v>
      </c>
      <c r="C1" s="334" t="s">
        <v>172</v>
      </c>
    </row>
    <row r="2" spans="1:3">
      <c r="A2" s="335" t="s">
        <v>367</v>
      </c>
      <c r="B2" s="336" t="s">
        <v>173</v>
      </c>
      <c r="C2" s="337">
        <v>0.2</v>
      </c>
    </row>
    <row r="3" spans="1:3">
      <c r="A3" s="335" t="s">
        <v>181</v>
      </c>
      <c r="B3" s="336" t="s">
        <v>185</v>
      </c>
      <c r="C3" s="337">
        <v>0.16</v>
      </c>
    </row>
    <row r="4" spans="1:3">
      <c r="A4" s="335" t="s">
        <v>182</v>
      </c>
      <c r="B4" s="336" t="s">
        <v>173</v>
      </c>
      <c r="C4" s="337">
        <v>0.2</v>
      </c>
    </row>
    <row r="5" spans="1:3">
      <c r="A5" s="335" t="s">
        <v>183</v>
      </c>
      <c r="B5" s="336" t="s">
        <v>173</v>
      </c>
      <c r="C5" s="337">
        <v>0.2</v>
      </c>
    </row>
    <row r="6" spans="1:3">
      <c r="A6" s="335" t="s">
        <v>184</v>
      </c>
      <c r="B6" s="336" t="s">
        <v>173</v>
      </c>
      <c r="C6" s="337">
        <v>0.2</v>
      </c>
    </row>
    <row r="7" spans="1:3">
      <c r="A7" s="282" t="s">
        <v>54</v>
      </c>
      <c r="B7" s="333"/>
      <c r="C7" s="334">
        <f>SUM(C2:C6)</f>
        <v>0.96</v>
      </c>
    </row>
    <row r="8" spans="1:3">
      <c r="A8" s="282"/>
      <c r="B8" s="333"/>
      <c r="C8" s="334"/>
    </row>
    <row r="9" spans="1:3">
      <c r="A9" s="282" t="s">
        <v>174</v>
      </c>
      <c r="B9" s="338">
        <v>0</v>
      </c>
      <c r="C9" s="339"/>
    </row>
    <row r="10" spans="1:3">
      <c r="A10" s="282" t="s">
        <v>175</v>
      </c>
      <c r="B10" s="338">
        <v>5000</v>
      </c>
      <c r="C10" s="339"/>
    </row>
    <row r="11" spans="1:3">
      <c r="A11" s="282" t="s">
        <v>176</v>
      </c>
      <c r="B11" s="338">
        <f>IF(B9=0,B10*C7,(B10*C7*(1-(B9/4))))</f>
        <v>4800</v>
      </c>
      <c r="C11" s="339"/>
    </row>
    <row r="12" spans="1:3">
      <c r="A12" s="282" t="s">
        <v>177</v>
      </c>
      <c r="B12" s="340">
        <v>0</v>
      </c>
      <c r="C12" s="341"/>
    </row>
    <row r="13" spans="1:3">
      <c r="A13" s="282" t="s">
        <v>54</v>
      </c>
      <c r="B13" s="342">
        <f>SUM(B11:B12)</f>
        <v>4800</v>
      </c>
      <c r="C13" s="339"/>
    </row>
    <row r="14" spans="1:3">
      <c r="A14" s="282" t="s">
        <v>178</v>
      </c>
      <c r="B14" s="338">
        <v>19480</v>
      </c>
      <c r="C14" s="339"/>
    </row>
    <row r="15" spans="1:3">
      <c r="A15" s="282" t="s">
        <v>179</v>
      </c>
      <c r="B15" s="342">
        <f>SUM(B13:B14)</f>
        <v>24280</v>
      </c>
      <c r="C15" s="339"/>
    </row>
    <row r="17" spans="1:1">
      <c r="A17" s="343"/>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
  <sheetViews>
    <sheetView showGridLines="0" workbookViewId="0">
      <pane ySplit="2" topLeftCell="A3" activePane="bottomLeft" state="frozen"/>
      <selection pane="bottomLeft" activeCell="A3" sqref="A3"/>
    </sheetView>
  </sheetViews>
  <sheetFormatPr defaultColWidth="13" defaultRowHeight="15.6"/>
  <cols>
    <col min="1" max="1" width="29.59765625" style="139" bestFit="1" customWidth="1"/>
    <col min="2" max="2" width="5.8984375" style="139" bestFit="1" customWidth="1"/>
    <col min="3" max="3" width="7.59765625" style="141" hidden="1" customWidth="1"/>
    <col min="4" max="4" width="7.19921875" style="141" hidden="1" customWidth="1"/>
    <col min="5" max="5" width="9.19921875" style="141" bestFit="1" customWidth="1"/>
    <col min="6" max="6" width="7.3984375" style="141" customWidth="1"/>
    <col min="7" max="7" width="6" style="142" bestFit="1" customWidth="1"/>
    <col min="8" max="8" width="5.19921875" style="142" bestFit="1" customWidth="1"/>
    <col min="9" max="9" width="7.5" style="142" customWidth="1"/>
    <col min="10" max="10" width="26.59765625" style="139" customWidth="1"/>
    <col min="11" max="16384" width="13" style="21"/>
  </cols>
  <sheetData>
    <row r="1" spans="1:10" ht="23.4" thickBot="1">
      <c r="A1" s="86" t="s">
        <v>6</v>
      </c>
      <c r="B1" s="87"/>
      <c r="C1" s="87"/>
      <c r="D1" s="87"/>
      <c r="E1" s="87"/>
      <c r="F1" s="87"/>
      <c r="G1" s="88"/>
      <c r="H1" s="88"/>
      <c r="I1" s="88"/>
      <c r="J1" s="87"/>
    </row>
    <row r="2" spans="1:10" s="5" customFormat="1" ht="34.200000000000003" thickBot="1">
      <c r="A2" s="1" t="s">
        <v>81</v>
      </c>
      <c r="B2" s="2" t="s">
        <v>20</v>
      </c>
      <c r="C2" s="2" t="s">
        <v>27</v>
      </c>
      <c r="D2" s="2" t="s">
        <v>19</v>
      </c>
      <c r="E2" s="3" t="s">
        <v>52</v>
      </c>
      <c r="F2" s="3" t="s">
        <v>28</v>
      </c>
      <c r="G2" s="310" t="s">
        <v>54</v>
      </c>
      <c r="H2" s="345" t="s">
        <v>74</v>
      </c>
      <c r="I2" s="310" t="s">
        <v>65</v>
      </c>
      <c r="J2" s="4" t="s">
        <v>63</v>
      </c>
    </row>
    <row r="3" spans="1:10" s="5" customFormat="1" ht="16.8">
      <c r="A3" s="209" t="s">
        <v>95</v>
      </c>
      <c r="B3" s="210">
        <f>1+0+0</f>
        <v>1</v>
      </c>
      <c r="C3" s="84" t="s">
        <v>22</v>
      </c>
      <c r="D3" s="84" t="str">
        <f>IF(C3="Str",'Personal File'!$C$12,IF(C3="Dex",'Personal File'!$C$13,IF(C3="Con",'Personal File'!$C$14,IF(C3="Int",'Personal File'!$C$15,IF(C3="Wis",'Personal File'!$C$16,IF(C3="Cha",'Personal File'!$C$17))))))</f>
        <v>+1</v>
      </c>
      <c r="E3" s="212" t="str">
        <f t="shared" ref="E3" si="0">CONCATENATE(C3," (",D3,")")</f>
        <v>Con (+1)</v>
      </c>
      <c r="F3" s="84">
        <v>0</v>
      </c>
      <c r="G3" s="311">
        <f t="shared" ref="G3:G4" si="1">B3+D3+F3</f>
        <v>2</v>
      </c>
      <c r="H3" s="329">
        <f t="shared" ref="H3:H44" ca="1" si="2">RANDBETWEEN(1,20)</f>
        <v>14</v>
      </c>
      <c r="I3" s="188">
        <f t="shared" ref="I3:I4" ca="1" si="3">SUM(G3:H3)</f>
        <v>16</v>
      </c>
      <c r="J3" s="232"/>
    </row>
    <row r="4" spans="1:10" s="5" customFormat="1" ht="16.8">
      <c r="A4" s="211" t="s">
        <v>96</v>
      </c>
      <c r="B4" s="210">
        <f>4+0+2</f>
        <v>6</v>
      </c>
      <c r="C4" s="84" t="s">
        <v>25</v>
      </c>
      <c r="D4" s="84" t="str">
        <f>IF(C4="Str",'Personal File'!$C$12,IF(C4="Dex",'Personal File'!$C$13,IF(C4="Con",'Personal File'!$C$14,IF(C4="Int",'Personal File'!$C$15,IF(C4="Wis",'Personal File'!$C$16,IF(C4="Cha",'Personal File'!$C$17))))))</f>
        <v>+3</v>
      </c>
      <c r="E4" s="89" t="str">
        <f t="shared" ref="E4" si="4">CONCATENATE(C4," (",D4,")")</f>
        <v>Dex (+3)</v>
      </c>
      <c r="F4" s="106">
        <v>0</v>
      </c>
      <c r="G4" s="311">
        <f t="shared" si="1"/>
        <v>9</v>
      </c>
      <c r="H4" s="329">
        <f t="shared" ca="1" si="2"/>
        <v>17</v>
      </c>
      <c r="I4" s="188">
        <f t="shared" ca="1" si="3"/>
        <v>26</v>
      </c>
      <c r="J4" s="138"/>
    </row>
    <row r="5" spans="1:10" s="5" customFormat="1" ht="16.8">
      <c r="A5" s="90" t="s">
        <v>56</v>
      </c>
      <c r="B5" s="91">
        <f>1+2+0</f>
        <v>3</v>
      </c>
      <c r="C5" s="92" t="s">
        <v>24</v>
      </c>
      <c r="D5" s="92" t="str">
        <f>IF(C5="Str",'Personal File'!$C$12,IF(C5="Dex",'Personal File'!$C$13,IF(C5="Con",'Personal File'!$C$14,IF(C5="Int",'Personal File'!$C$15,IF(C5="Wis",'Personal File'!$C$16,IF(C5="Cha",'Personal File'!$C$17))))))</f>
        <v>+0</v>
      </c>
      <c r="E5" s="312" t="str">
        <f t="shared" ref="E5:E6" si="5">CONCATENATE(C5," (",D5,")")</f>
        <v>Wis (+0)</v>
      </c>
      <c r="F5" s="92">
        <v>0</v>
      </c>
      <c r="G5" s="313">
        <f t="shared" ref="G5:G45" si="6">B5+D5+F5</f>
        <v>3</v>
      </c>
      <c r="H5" s="330">
        <f t="shared" ca="1" si="2"/>
        <v>5</v>
      </c>
      <c r="I5" s="314">
        <f t="shared" ref="I5" ca="1" si="7">SUM(G5:H5)</f>
        <v>8</v>
      </c>
      <c r="J5" s="515" t="s">
        <v>281</v>
      </c>
    </row>
    <row r="6" spans="1:10" s="100" customFormat="1" ht="16.8">
      <c r="A6" s="114" t="s">
        <v>29</v>
      </c>
      <c r="B6" s="85">
        <v>0</v>
      </c>
      <c r="C6" s="115" t="s">
        <v>23</v>
      </c>
      <c r="D6" s="116" t="str">
        <f>IF(C6="Str",'Personal File'!$C$12,IF(C6="Dex",'Personal File'!$C$13,IF(C6="Con",'Personal File'!$C$14,IF(C6="Int",'Personal File'!$C$15,IF(C6="Wis",'Personal File'!$C$16,IF(C6="Cha",'Personal File'!$C$17))))))</f>
        <v>+2</v>
      </c>
      <c r="E6" s="117" t="str">
        <f t="shared" si="5"/>
        <v>Int (+2)</v>
      </c>
      <c r="F6" s="106" t="s">
        <v>53</v>
      </c>
      <c r="G6" s="106">
        <f t="shared" si="6"/>
        <v>2</v>
      </c>
      <c r="H6" s="331">
        <f t="shared" ca="1" si="2"/>
        <v>12</v>
      </c>
      <c r="I6" s="106">
        <f ca="1">SUM(G6:H6)</f>
        <v>14</v>
      </c>
      <c r="J6" s="138"/>
    </row>
    <row r="7" spans="1:10" s="101" customFormat="1" ht="16.8">
      <c r="A7" s="227" t="s">
        <v>30</v>
      </c>
      <c r="B7" s="94">
        <v>4</v>
      </c>
      <c r="C7" s="228" t="s">
        <v>25</v>
      </c>
      <c r="D7" s="229" t="str">
        <f>IF(C7="Str",'Personal File'!$C$12,IF(C7="Dex",'Personal File'!$C$13,IF(C7="Con",'Personal File'!$C$14,IF(C7="Int",'Personal File'!$C$15,IF(C7="Wis",'Personal File'!$C$16,IF(C7="Cha",'Personal File'!$C$17))))))</f>
        <v>+3</v>
      </c>
      <c r="E7" s="230" t="str">
        <f t="shared" ref="E7:E45" si="8">CONCATENATE(C7," (",D7,")")</f>
        <v>Dex (+3)</v>
      </c>
      <c r="F7" s="98" t="s">
        <v>53</v>
      </c>
      <c r="G7" s="98">
        <f t="shared" si="6"/>
        <v>7</v>
      </c>
      <c r="H7" s="329">
        <f t="shared" ca="1" si="2"/>
        <v>2</v>
      </c>
      <c r="I7" s="98">
        <f t="shared" ref="I7" ca="1" si="9">SUM(G7:H7)</f>
        <v>9</v>
      </c>
      <c r="J7" s="137"/>
    </row>
    <row r="8" spans="1:10" s="108" customFormat="1" ht="16.8">
      <c r="A8" s="102" t="s">
        <v>31</v>
      </c>
      <c r="B8" s="85">
        <v>0</v>
      </c>
      <c r="C8" s="103" t="s">
        <v>21</v>
      </c>
      <c r="D8" s="104" t="str">
        <f>IF(C8="Str",'Personal File'!$C$12,IF(C8="Dex",'Personal File'!$C$13,IF(C8="Con",'Personal File'!$C$14,IF(C8="Int",'Personal File'!$C$15,IF(C8="Wis",'Personal File'!$C$16,IF(C8="Cha",'Personal File'!$C$17))))))</f>
        <v>+0</v>
      </c>
      <c r="E8" s="105" t="str">
        <f t="shared" si="8"/>
        <v>Cha (+0)</v>
      </c>
      <c r="F8" s="106" t="s">
        <v>53</v>
      </c>
      <c r="G8" s="106">
        <f t="shared" si="6"/>
        <v>0</v>
      </c>
      <c r="H8" s="329">
        <f t="shared" ca="1" si="2"/>
        <v>5</v>
      </c>
      <c r="I8" s="106">
        <f t="shared" ref="I8:I45" ca="1" si="10">SUM(G8:H8)</f>
        <v>5</v>
      </c>
      <c r="J8" s="138"/>
    </row>
    <row r="9" spans="1:10" s="109" customFormat="1" ht="16.8">
      <c r="A9" s="298" t="s">
        <v>32</v>
      </c>
      <c r="B9" s="94">
        <v>6</v>
      </c>
      <c r="C9" s="299" t="s">
        <v>26</v>
      </c>
      <c r="D9" s="300" t="str">
        <f>IF(C9="Str",'Personal File'!$C$12,IF(C9="Dex",'Personal File'!$C$13,IF(C9="Con",'Personal File'!$C$14,IF(C9="Int",'Personal File'!$C$15,IF(C9="Wis",'Personal File'!$C$16,IF(C9="Cha",'Personal File'!$C$17))))))</f>
        <v>+1</v>
      </c>
      <c r="E9" s="301" t="str">
        <f t="shared" si="8"/>
        <v>Str (+1)</v>
      </c>
      <c r="F9" s="98" t="s">
        <v>53</v>
      </c>
      <c r="G9" s="98">
        <f t="shared" si="6"/>
        <v>7</v>
      </c>
      <c r="H9" s="329">
        <f t="shared" ca="1" si="2"/>
        <v>17</v>
      </c>
      <c r="I9" s="98">
        <f t="shared" ca="1" si="10"/>
        <v>24</v>
      </c>
      <c r="J9" s="137"/>
    </row>
    <row r="10" spans="1:10" s="109" customFormat="1" ht="16.8">
      <c r="A10" s="304" t="s">
        <v>7</v>
      </c>
      <c r="B10" s="85">
        <v>0</v>
      </c>
      <c r="C10" s="305" t="s">
        <v>22</v>
      </c>
      <c r="D10" s="306" t="str">
        <f>IF(C10="Str",'Personal File'!$C$12,IF(C10="Dex",'Personal File'!$C$13,IF(C10="Con",'Personal File'!$C$14,IF(C10="Int",'Personal File'!$C$15,IF(C10="Wis",'Personal File'!$C$16,IF(C10="Cha",'Personal File'!$C$17))))))</f>
        <v>+1</v>
      </c>
      <c r="E10" s="212" t="str">
        <f t="shared" si="8"/>
        <v>Con (+1)</v>
      </c>
      <c r="F10" s="106" t="s">
        <v>53</v>
      </c>
      <c r="G10" s="106">
        <f t="shared" si="6"/>
        <v>1</v>
      </c>
      <c r="H10" s="329">
        <f t="shared" ca="1" si="2"/>
        <v>12</v>
      </c>
      <c r="I10" s="106">
        <f t="shared" ca="1" si="10"/>
        <v>13</v>
      </c>
      <c r="J10" s="138"/>
    </row>
    <row r="11" spans="1:10" s="100" customFormat="1" ht="16.8">
      <c r="A11" s="93" t="s">
        <v>283</v>
      </c>
      <c r="B11" s="94">
        <v>3</v>
      </c>
      <c r="C11" s="95" t="s">
        <v>23</v>
      </c>
      <c r="D11" s="96" t="str">
        <f>IF(C11="Str",'Personal File'!$C$12,IF(C11="Dex",'Personal File'!$C$13,IF(C11="Con",'Personal File'!$C$14,IF(C11="Int",'Personal File'!$C$15,IF(C11="Wis",'Personal File'!$C$16,IF(C11="Cha",'Personal File'!$C$17))))))</f>
        <v>+2</v>
      </c>
      <c r="E11" s="97" t="str">
        <f t="shared" si="8"/>
        <v>Int (+2)</v>
      </c>
      <c r="F11" s="98" t="s">
        <v>53</v>
      </c>
      <c r="G11" s="98">
        <f t="shared" si="6"/>
        <v>5</v>
      </c>
      <c r="H11" s="329">
        <f t="shared" ca="1" si="2"/>
        <v>19</v>
      </c>
      <c r="I11" s="302">
        <f t="shared" ca="1" si="10"/>
        <v>24</v>
      </c>
      <c r="J11" s="303"/>
    </row>
    <row r="12" spans="1:10" s="100" customFormat="1" ht="16.8">
      <c r="A12" s="93" t="s">
        <v>284</v>
      </c>
      <c r="B12" s="94">
        <v>4</v>
      </c>
      <c r="C12" s="95" t="s">
        <v>23</v>
      </c>
      <c r="D12" s="96" t="str">
        <f>IF(C12="Str",'Personal File'!$C$12,IF(C12="Dex",'Personal File'!$C$13,IF(C12="Con",'Personal File'!$C$14,IF(C12="Int",'Personal File'!$C$15,IF(C12="Wis",'Personal File'!$C$16,IF(C12="Cha",'Personal File'!$C$17))))))</f>
        <v>+2</v>
      </c>
      <c r="E12" s="97" t="str">
        <f t="shared" ref="E12:E14" si="11">CONCATENATE(C12," (",D12,")")</f>
        <v>Int (+2)</v>
      </c>
      <c r="F12" s="98" t="s">
        <v>53</v>
      </c>
      <c r="G12" s="98">
        <f t="shared" ref="G12:G14" si="12">B12+D12+F12</f>
        <v>6</v>
      </c>
      <c r="H12" s="329">
        <f t="shared" ca="1" si="2"/>
        <v>16</v>
      </c>
      <c r="I12" s="302">
        <f t="shared" ref="I12:I14" ca="1" si="13">SUM(G12:H12)</f>
        <v>22</v>
      </c>
      <c r="J12" s="303"/>
    </row>
    <row r="13" spans="1:10" s="100" customFormat="1" ht="16.8">
      <c r="A13" s="93" t="s">
        <v>304</v>
      </c>
      <c r="B13" s="94">
        <v>4</v>
      </c>
      <c r="C13" s="95" t="s">
        <v>23</v>
      </c>
      <c r="D13" s="96" t="str">
        <f>IF(C13="Str",'Personal File'!$C$12,IF(C13="Dex",'Personal File'!$C$13,IF(C13="Con",'Personal File'!$C$14,IF(C13="Int",'Personal File'!$C$15,IF(C13="Wis",'Personal File'!$C$16,IF(C13="Cha",'Personal File'!$C$17))))))</f>
        <v>+2</v>
      </c>
      <c r="E13" s="97" t="str">
        <f t="shared" ref="E13" si="14">CONCATENATE(C13," (",D13,")")</f>
        <v>Int (+2)</v>
      </c>
      <c r="F13" s="98" t="s">
        <v>53</v>
      </c>
      <c r="G13" s="98">
        <f t="shared" ref="G13" si="15">B13+D13+F13</f>
        <v>6</v>
      </c>
      <c r="H13" s="329">
        <f t="shared" ca="1" si="2"/>
        <v>18</v>
      </c>
      <c r="I13" s="302">
        <f t="shared" ref="I13" ca="1" si="16">SUM(G13:H13)</f>
        <v>24</v>
      </c>
      <c r="J13" s="303"/>
    </row>
    <row r="14" spans="1:10" s="100" customFormat="1" ht="16.8">
      <c r="A14" s="93" t="s">
        <v>132</v>
      </c>
      <c r="B14" s="94">
        <v>9</v>
      </c>
      <c r="C14" s="95" t="s">
        <v>23</v>
      </c>
      <c r="D14" s="96" t="str">
        <f>IF(C14="Str",'Personal File'!$C$12,IF(C14="Dex",'Personal File'!$C$13,IF(C14="Con",'Personal File'!$C$14,IF(C14="Int",'Personal File'!$C$15,IF(C14="Wis",'Personal File'!$C$16,IF(C14="Cha",'Personal File'!$C$17))))))</f>
        <v>+2</v>
      </c>
      <c r="E14" s="97" t="str">
        <f t="shared" si="11"/>
        <v>Int (+2)</v>
      </c>
      <c r="F14" s="98" t="s">
        <v>53</v>
      </c>
      <c r="G14" s="98">
        <f t="shared" si="12"/>
        <v>11</v>
      </c>
      <c r="H14" s="329">
        <f t="shared" ca="1" si="2"/>
        <v>20</v>
      </c>
      <c r="I14" s="302">
        <f t="shared" ca="1" si="13"/>
        <v>31</v>
      </c>
      <c r="J14" s="303"/>
    </row>
    <row r="15" spans="1:10" s="110" customFormat="1" ht="16.8">
      <c r="A15" s="133" t="s">
        <v>33</v>
      </c>
      <c r="B15" s="119">
        <v>0</v>
      </c>
      <c r="C15" s="134" t="s">
        <v>23</v>
      </c>
      <c r="D15" s="135" t="str">
        <f>IF(C15="Str",'Personal File'!$C$12,IF(C15="Dex",'Personal File'!$C$13,IF(C15="Con",'Personal File'!$C$14,IF(C15="Int",'Personal File'!$C$15,IF(C15="Wis",'Personal File'!$C$16,IF(C15="Cha",'Personal File'!$C$17))))))</f>
        <v>+2</v>
      </c>
      <c r="E15" s="136" t="str">
        <f t="shared" si="8"/>
        <v>Int (+2)</v>
      </c>
      <c r="F15" s="123" t="s">
        <v>53</v>
      </c>
      <c r="G15" s="123">
        <f t="shared" si="6"/>
        <v>2</v>
      </c>
      <c r="H15" s="329">
        <f t="shared" ca="1" si="2"/>
        <v>8</v>
      </c>
      <c r="I15" s="123">
        <f t="shared" ca="1" si="10"/>
        <v>10</v>
      </c>
      <c r="J15" s="233"/>
    </row>
    <row r="16" spans="1:10" s="101" customFormat="1" ht="16.8">
      <c r="A16" s="102" t="s">
        <v>34</v>
      </c>
      <c r="B16" s="85">
        <v>0</v>
      </c>
      <c r="C16" s="103" t="s">
        <v>21</v>
      </c>
      <c r="D16" s="104" t="str">
        <f>IF(C16="Str",'Personal File'!$C$12,IF(C16="Dex",'Personal File'!$C$13,IF(C16="Con",'Personal File'!$C$14,IF(C16="Int",'Personal File'!$C$15,IF(C16="Wis",'Personal File'!$C$16,IF(C16="Cha",'Personal File'!$C$17))))))</f>
        <v>+0</v>
      </c>
      <c r="E16" s="105" t="str">
        <f t="shared" si="8"/>
        <v>Cha (+0)</v>
      </c>
      <c r="F16" s="106" t="s">
        <v>53</v>
      </c>
      <c r="G16" s="106">
        <f t="shared" si="6"/>
        <v>0</v>
      </c>
      <c r="H16" s="329">
        <f t="shared" ca="1" si="2"/>
        <v>17</v>
      </c>
      <c r="I16" s="106">
        <f t="shared" ca="1" si="10"/>
        <v>17</v>
      </c>
      <c r="J16" s="138"/>
    </row>
    <row r="17" spans="1:10" s="101" customFormat="1" ht="16.8">
      <c r="A17" s="93" t="s">
        <v>35</v>
      </c>
      <c r="B17" s="94">
        <v>4</v>
      </c>
      <c r="C17" s="95" t="s">
        <v>23</v>
      </c>
      <c r="D17" s="96" t="str">
        <f>IF(C17="Str",'Personal File'!$C$12,IF(C17="Dex",'Personal File'!$C$13,IF(C17="Con",'Personal File'!$C$14,IF(C17="Int",'Personal File'!$C$15,IF(C17="Wis",'Personal File'!$C$16,IF(C17="Cha",'Personal File'!$C$17))))))</f>
        <v>+2</v>
      </c>
      <c r="E17" s="97" t="str">
        <f t="shared" si="8"/>
        <v>Int (+2)</v>
      </c>
      <c r="F17" s="98" t="s">
        <v>53</v>
      </c>
      <c r="G17" s="98">
        <f t="shared" si="6"/>
        <v>6</v>
      </c>
      <c r="H17" s="329">
        <f t="shared" ca="1" si="2"/>
        <v>7</v>
      </c>
      <c r="I17" s="98">
        <f t="shared" ca="1" si="10"/>
        <v>13</v>
      </c>
      <c r="J17" s="137"/>
    </row>
    <row r="18" spans="1:10" s="101" customFormat="1" ht="16.8">
      <c r="A18" s="102" t="s">
        <v>36</v>
      </c>
      <c r="B18" s="85">
        <v>0</v>
      </c>
      <c r="C18" s="103" t="s">
        <v>21</v>
      </c>
      <c r="D18" s="104" t="str">
        <f>IF(C18="Str",'Personal File'!$C$12,IF(C18="Dex",'Personal File'!$C$13,IF(C18="Con",'Personal File'!$C$14,IF(C18="Int",'Personal File'!$C$15,IF(C18="Wis",'Personal File'!$C$16,IF(C18="Cha",'Personal File'!$C$17))))))</f>
        <v>+0</v>
      </c>
      <c r="E18" s="105" t="str">
        <f t="shared" si="8"/>
        <v>Cha (+0)</v>
      </c>
      <c r="F18" s="106" t="s">
        <v>53</v>
      </c>
      <c r="G18" s="106">
        <f t="shared" si="6"/>
        <v>0</v>
      </c>
      <c r="H18" s="329">
        <f t="shared" ca="1" si="2"/>
        <v>16</v>
      </c>
      <c r="I18" s="106">
        <f t="shared" ca="1" si="10"/>
        <v>16</v>
      </c>
      <c r="J18" s="138"/>
    </row>
    <row r="19" spans="1:10" s="101" customFormat="1" ht="16.8">
      <c r="A19" s="111" t="s">
        <v>37</v>
      </c>
      <c r="B19" s="85">
        <v>0</v>
      </c>
      <c r="C19" s="112" t="s">
        <v>25</v>
      </c>
      <c r="D19" s="113" t="str">
        <f>IF(C19="Str",'Personal File'!$C$12,IF(C19="Dex",'Personal File'!$C$13,IF(C19="Con",'Personal File'!$C$14,IF(C19="Int",'Personal File'!$C$15,IF(C19="Wis",'Personal File'!$C$16,IF(C19="Cha",'Personal File'!$C$17))))))</f>
        <v>+3</v>
      </c>
      <c r="E19" s="89" t="str">
        <f t="shared" si="8"/>
        <v>Dex (+3)</v>
      </c>
      <c r="F19" s="106" t="s">
        <v>53</v>
      </c>
      <c r="G19" s="106">
        <f t="shared" si="6"/>
        <v>3</v>
      </c>
      <c r="H19" s="329">
        <f t="shared" ca="1" si="2"/>
        <v>3</v>
      </c>
      <c r="I19" s="106">
        <f t="shared" ca="1" si="10"/>
        <v>6</v>
      </c>
      <c r="J19" s="138"/>
    </row>
    <row r="20" spans="1:10" s="101" customFormat="1" ht="16.8">
      <c r="A20" s="114" t="s">
        <v>38</v>
      </c>
      <c r="B20" s="85">
        <v>0</v>
      </c>
      <c r="C20" s="115" t="s">
        <v>23</v>
      </c>
      <c r="D20" s="116" t="str">
        <f>IF(C20="Str",'Personal File'!$C$12,IF(C20="Dex",'Personal File'!$C$13,IF(C20="Con",'Personal File'!$C$14,IF(C20="Int",'Personal File'!$C$15,IF(C20="Wis",'Personal File'!$C$16,IF(C20="Cha",'Personal File'!$C$17))))))</f>
        <v>+2</v>
      </c>
      <c r="E20" s="117" t="str">
        <f t="shared" si="8"/>
        <v>Int (+2)</v>
      </c>
      <c r="F20" s="106" t="s">
        <v>53</v>
      </c>
      <c r="G20" s="106">
        <f t="shared" si="6"/>
        <v>2</v>
      </c>
      <c r="H20" s="329">
        <f t="shared" ca="1" si="2"/>
        <v>15</v>
      </c>
      <c r="I20" s="106">
        <f t="shared" ca="1" si="10"/>
        <v>17</v>
      </c>
      <c r="J20" s="138"/>
    </row>
    <row r="21" spans="1:10" s="101" customFormat="1" ht="16.8">
      <c r="A21" s="102" t="s">
        <v>39</v>
      </c>
      <c r="B21" s="85">
        <v>0</v>
      </c>
      <c r="C21" s="103" t="s">
        <v>21</v>
      </c>
      <c r="D21" s="104" t="str">
        <f>IF(C21="Str",'Personal File'!$C$12,IF(C21="Dex",'Personal File'!$C$13,IF(C21="Con",'Personal File'!$C$14,IF(C21="Int",'Personal File'!$C$15,IF(C21="Wis",'Personal File'!$C$16,IF(C21="Cha",'Personal File'!$C$17))))))</f>
        <v>+0</v>
      </c>
      <c r="E21" s="105" t="str">
        <f t="shared" si="8"/>
        <v>Cha (+0)</v>
      </c>
      <c r="F21" s="106" t="s">
        <v>53</v>
      </c>
      <c r="G21" s="106">
        <f t="shared" si="6"/>
        <v>0</v>
      </c>
      <c r="H21" s="329">
        <f t="shared" ca="1" si="2"/>
        <v>17</v>
      </c>
      <c r="I21" s="106">
        <f t="shared" ca="1" si="10"/>
        <v>17</v>
      </c>
      <c r="J21" s="138"/>
    </row>
    <row r="22" spans="1:10" s="101" customFormat="1" ht="16.8">
      <c r="A22" s="118" t="s">
        <v>9</v>
      </c>
      <c r="B22" s="119">
        <v>0</v>
      </c>
      <c r="C22" s="120" t="s">
        <v>21</v>
      </c>
      <c r="D22" s="121" t="str">
        <f>IF(C22="Str",'Personal File'!$C$12,IF(C22="Dex",'Personal File'!$C$13,IF(C22="Con",'Personal File'!$C$14,IF(C22="Int",'Personal File'!$C$15,IF(C22="Wis",'Personal File'!$C$16,IF(C22="Cha",'Personal File'!$C$17))))))</f>
        <v>+0</v>
      </c>
      <c r="E22" s="122" t="str">
        <f t="shared" si="8"/>
        <v>Cha (+0)</v>
      </c>
      <c r="F22" s="123" t="s">
        <v>53</v>
      </c>
      <c r="G22" s="123">
        <f t="shared" si="6"/>
        <v>0</v>
      </c>
      <c r="H22" s="329">
        <f t="shared" ca="1" si="2"/>
        <v>9</v>
      </c>
      <c r="I22" s="123">
        <f t="shared" ca="1" si="10"/>
        <v>9</v>
      </c>
      <c r="J22" s="233"/>
    </row>
    <row r="23" spans="1:10" s="101" customFormat="1" ht="16.8">
      <c r="A23" s="125" t="s">
        <v>40</v>
      </c>
      <c r="B23" s="85">
        <v>0</v>
      </c>
      <c r="C23" s="126" t="s">
        <v>24</v>
      </c>
      <c r="D23" s="127" t="str">
        <f>IF(C23="Str",'Personal File'!$C$12,IF(C23="Dex",'Personal File'!$C$13,IF(C23="Con",'Personal File'!$C$14,IF(C23="Int",'Personal File'!$C$15,IF(C23="Wis",'Personal File'!$C$16,IF(C23="Cha",'Personal File'!$C$17))))))</f>
        <v>+0</v>
      </c>
      <c r="E23" s="128" t="str">
        <f t="shared" si="8"/>
        <v>Wis (+0)</v>
      </c>
      <c r="F23" s="106" t="s">
        <v>53</v>
      </c>
      <c r="G23" s="106">
        <f t="shared" si="6"/>
        <v>0</v>
      </c>
      <c r="H23" s="329">
        <f t="shared" ca="1" si="2"/>
        <v>5</v>
      </c>
      <c r="I23" s="106">
        <f t="shared" ca="1" si="10"/>
        <v>5</v>
      </c>
      <c r="J23" s="138"/>
    </row>
    <row r="24" spans="1:10" s="101" customFormat="1" ht="16.8">
      <c r="A24" s="227" t="s">
        <v>41</v>
      </c>
      <c r="B24" s="94">
        <v>5</v>
      </c>
      <c r="C24" s="228" t="s">
        <v>25</v>
      </c>
      <c r="D24" s="229" t="str">
        <f>IF(C24="Str",'Personal File'!$C$12,IF(C24="Dex",'Personal File'!$C$13,IF(C24="Con",'Personal File'!$C$14,IF(C24="Int",'Personal File'!$C$15,IF(C24="Wis",'Personal File'!$C$16,IF(C24="Cha",'Personal File'!$C$17))))))</f>
        <v>+3</v>
      </c>
      <c r="E24" s="230" t="str">
        <f t="shared" si="8"/>
        <v>Dex (+3)</v>
      </c>
      <c r="F24" s="98" t="s">
        <v>90</v>
      </c>
      <c r="G24" s="98">
        <f t="shared" si="6"/>
        <v>12</v>
      </c>
      <c r="H24" s="329">
        <f t="shared" ca="1" si="2"/>
        <v>6</v>
      </c>
      <c r="I24" s="98">
        <f t="shared" ca="1" si="10"/>
        <v>18</v>
      </c>
      <c r="J24" s="137"/>
    </row>
    <row r="25" spans="1:10" s="101" customFormat="1" ht="16.8">
      <c r="A25" s="102" t="s">
        <v>42</v>
      </c>
      <c r="B25" s="85">
        <v>0</v>
      </c>
      <c r="C25" s="103" t="s">
        <v>21</v>
      </c>
      <c r="D25" s="104" t="str">
        <f>IF(C25="Str",'Personal File'!$C$12,IF(C25="Dex",'Personal File'!$C$13,IF(C25="Con",'Personal File'!$C$14,IF(C25="Int",'Personal File'!$C$15,IF(C25="Wis",'Personal File'!$C$16,IF(C25="Cha",'Personal File'!$C$17))))))</f>
        <v>+0</v>
      </c>
      <c r="E25" s="105" t="str">
        <f t="shared" si="8"/>
        <v>Cha (+0)</v>
      </c>
      <c r="F25" s="106" t="s">
        <v>53</v>
      </c>
      <c r="G25" s="106">
        <f t="shared" si="6"/>
        <v>0</v>
      </c>
      <c r="H25" s="329">
        <f t="shared" ca="1" si="2"/>
        <v>4</v>
      </c>
      <c r="I25" s="106">
        <f t="shared" ca="1" si="10"/>
        <v>4</v>
      </c>
      <c r="J25" s="138"/>
    </row>
    <row r="26" spans="1:10" s="101" customFormat="1" ht="16.8">
      <c r="A26" s="298" t="s">
        <v>43</v>
      </c>
      <c r="B26" s="94">
        <v>1</v>
      </c>
      <c r="C26" s="299" t="s">
        <v>26</v>
      </c>
      <c r="D26" s="300" t="str">
        <f>IF(C26="Str",'Personal File'!$C$12,IF(C26="Dex",'Personal File'!$C$13,IF(C26="Con",'Personal File'!$C$14,IF(C26="Int",'Personal File'!$C$15,IF(C26="Wis",'Personal File'!$C$16,IF(C26="Cha",'Personal File'!$C$17))))))</f>
        <v>+1</v>
      </c>
      <c r="E26" s="301" t="str">
        <f t="shared" si="8"/>
        <v>Str (+1)</v>
      </c>
      <c r="F26" s="98" t="s">
        <v>53</v>
      </c>
      <c r="G26" s="98">
        <f t="shared" si="6"/>
        <v>2</v>
      </c>
      <c r="H26" s="329">
        <f t="shared" ca="1" si="2"/>
        <v>11</v>
      </c>
      <c r="I26" s="98">
        <f t="shared" ca="1" si="10"/>
        <v>13</v>
      </c>
      <c r="J26" s="137"/>
    </row>
    <row r="27" spans="1:10" s="101" customFormat="1" ht="16.8">
      <c r="A27" s="93" t="s">
        <v>191</v>
      </c>
      <c r="B27" s="94">
        <v>4</v>
      </c>
      <c r="C27" s="95" t="s">
        <v>23</v>
      </c>
      <c r="D27" s="96" t="str">
        <f>IF(C27="Str",'Personal File'!$C$12,IF(C27="Dex",'Personal File'!$C$13,IF(C27="Con",'Personal File'!$C$14,IF(C27="Int",'Personal File'!$C$15,IF(C27="Wis",'Personal File'!$C$16,IF(C27="Cha",'Personal File'!$C$17))))))</f>
        <v>+2</v>
      </c>
      <c r="E27" s="97" t="str">
        <f t="shared" ref="E27" si="17">CONCATENATE(C27," (",D27,")")</f>
        <v>Int (+2)</v>
      </c>
      <c r="F27" s="98" t="s">
        <v>53</v>
      </c>
      <c r="G27" s="98">
        <f t="shared" ref="G27" si="18">B27+D27+F27</f>
        <v>6</v>
      </c>
      <c r="H27" s="329">
        <f t="shared" ca="1" si="2"/>
        <v>16</v>
      </c>
      <c r="I27" s="98">
        <f t="shared" ref="I27" ca="1" si="19">SUM(G27:H27)</f>
        <v>22</v>
      </c>
      <c r="J27" s="137"/>
    </row>
    <row r="28" spans="1:10" s="101" customFormat="1" ht="16.8">
      <c r="A28" s="93" t="s">
        <v>305</v>
      </c>
      <c r="B28" s="94">
        <v>3</v>
      </c>
      <c r="C28" s="95" t="s">
        <v>23</v>
      </c>
      <c r="D28" s="96" t="str">
        <f>IF(C28="Str",'Personal File'!$C$12,IF(C28="Dex",'Personal File'!$C$13,IF(C28="Con",'Personal File'!$C$14,IF(C28="Int",'Personal File'!$C$15,IF(C28="Wis",'Personal File'!$C$16,IF(C28="Cha",'Personal File'!$C$17))))))</f>
        <v>+2</v>
      </c>
      <c r="E28" s="97" t="str">
        <f t="shared" ref="E28" si="20">CONCATENATE(C28," (",D28,")")</f>
        <v>Int (+2)</v>
      </c>
      <c r="F28" s="98" t="s">
        <v>53</v>
      </c>
      <c r="G28" s="98">
        <f t="shared" ref="G28" si="21">B28+D28+F28</f>
        <v>5</v>
      </c>
      <c r="H28" s="329">
        <f t="shared" ca="1" si="2"/>
        <v>16</v>
      </c>
      <c r="I28" s="98">
        <f t="shared" ref="I28" ca="1" si="22">SUM(G28:H28)</f>
        <v>21</v>
      </c>
      <c r="J28" s="137"/>
    </row>
    <row r="29" spans="1:10" s="101" customFormat="1" ht="16.8">
      <c r="A29" s="125" t="s">
        <v>44</v>
      </c>
      <c r="B29" s="85">
        <v>0</v>
      </c>
      <c r="C29" s="126" t="s">
        <v>24</v>
      </c>
      <c r="D29" s="127" t="str">
        <f>IF(C29="Str",'Personal File'!$C$12,IF(C29="Dex",'Personal File'!$C$13,IF(C29="Con",'Personal File'!$C$14,IF(C29="Int",'Personal File'!$C$15,IF(C29="Wis",'Personal File'!$C$16,IF(C29="Cha",'Personal File'!$C$17))))))</f>
        <v>+0</v>
      </c>
      <c r="E29" s="128" t="str">
        <f t="shared" si="8"/>
        <v>Wis (+0)</v>
      </c>
      <c r="F29" s="106" t="s">
        <v>73</v>
      </c>
      <c r="G29" s="106">
        <f t="shared" si="6"/>
        <v>2</v>
      </c>
      <c r="H29" s="329">
        <f t="shared" ca="1" si="2"/>
        <v>11</v>
      </c>
      <c r="I29" s="106">
        <f t="shared" ca="1" si="10"/>
        <v>13</v>
      </c>
      <c r="J29" s="138"/>
    </row>
    <row r="30" spans="1:10" s="101" customFormat="1" ht="16.8">
      <c r="A30" s="227" t="s">
        <v>10</v>
      </c>
      <c r="B30" s="94">
        <v>5</v>
      </c>
      <c r="C30" s="228" t="s">
        <v>25</v>
      </c>
      <c r="D30" s="229" t="str">
        <f>IF(C30="Str",'Personal File'!$C$12,IF(C30="Dex",'Personal File'!$C$13,IF(C30="Con",'Personal File'!$C$14,IF(C30="Int",'Personal File'!$C$15,IF(C30="Wis",'Personal File'!$C$16,IF(C30="Cha",'Personal File'!$C$17))))))</f>
        <v>+3</v>
      </c>
      <c r="E30" s="230" t="str">
        <f t="shared" si="8"/>
        <v>Dex (+3)</v>
      </c>
      <c r="F30" s="98" t="s">
        <v>90</v>
      </c>
      <c r="G30" s="98">
        <f t="shared" si="6"/>
        <v>12</v>
      </c>
      <c r="H30" s="329">
        <f t="shared" ca="1" si="2"/>
        <v>5</v>
      </c>
      <c r="I30" s="98">
        <f t="shared" ca="1" si="10"/>
        <v>17</v>
      </c>
      <c r="J30" s="137"/>
    </row>
    <row r="31" spans="1:10" s="101" customFormat="1" ht="16.8">
      <c r="A31" s="227" t="s">
        <v>45</v>
      </c>
      <c r="B31" s="94">
        <v>4</v>
      </c>
      <c r="C31" s="228" t="s">
        <v>25</v>
      </c>
      <c r="D31" s="229" t="str">
        <f>IF(C31="Str",'Personal File'!$C$12,IF(C31="Dex",'Personal File'!$C$13,IF(C31="Con",'Personal File'!$C$14,IF(C31="Int",'Personal File'!$C$15,IF(C31="Wis",'Personal File'!$C$16,IF(C31="Cha",'Personal File'!$C$17))))))</f>
        <v>+3</v>
      </c>
      <c r="E31" s="230" t="str">
        <f t="shared" si="8"/>
        <v>Dex (+3)</v>
      </c>
      <c r="F31" s="98" t="s">
        <v>53</v>
      </c>
      <c r="G31" s="98">
        <f t="shared" si="6"/>
        <v>7</v>
      </c>
      <c r="H31" s="329">
        <f t="shared" ca="1" si="2"/>
        <v>19</v>
      </c>
      <c r="I31" s="98">
        <f t="shared" ca="1" si="10"/>
        <v>26</v>
      </c>
      <c r="J31" s="137"/>
    </row>
    <row r="32" spans="1:10" ht="16.8">
      <c r="A32" s="102" t="s">
        <v>99</v>
      </c>
      <c r="B32" s="85">
        <v>0</v>
      </c>
      <c r="C32" s="103" t="s">
        <v>21</v>
      </c>
      <c r="D32" s="104" t="str">
        <f>IF(C32="Str",'Personal File'!$C$12,IF(C32="Dex",'Personal File'!$C$13,IF(C32="Con",'Personal File'!$C$14,IF(C32="Int",'Personal File'!$C$15,IF(C32="Wis",'Personal File'!$C$16,IF(C32="Cha",'Personal File'!$C$17))))))</f>
        <v>+0</v>
      </c>
      <c r="E32" s="105" t="str">
        <f t="shared" si="8"/>
        <v>Cha (+0)</v>
      </c>
      <c r="F32" s="106" t="s">
        <v>53</v>
      </c>
      <c r="G32" s="106">
        <f t="shared" si="6"/>
        <v>0</v>
      </c>
      <c r="H32" s="329">
        <f t="shared" ca="1" si="2"/>
        <v>18</v>
      </c>
      <c r="I32" s="106">
        <f t="shared" ca="1" si="10"/>
        <v>18</v>
      </c>
      <c r="J32" s="138"/>
    </row>
    <row r="33" spans="1:10" ht="16.8">
      <c r="A33" s="235" t="s">
        <v>278</v>
      </c>
      <c r="B33" s="94">
        <v>8</v>
      </c>
      <c r="C33" s="244" t="s">
        <v>24</v>
      </c>
      <c r="D33" s="245" t="str">
        <f>IF(C33="Str",'Personal File'!$C$12,IF(C33="Dex",'Personal File'!$C$13,IF(C33="Con",'Personal File'!$C$14,IF(C33="Int",'Personal File'!$C$15,IF(C33="Wis",'Personal File'!$C$16,IF(C33="Cha",'Personal File'!$C$17))))))</f>
        <v>+0</v>
      </c>
      <c r="E33" s="246" t="str">
        <f t="shared" ref="E33" si="23">CONCATENATE(C33," (",D33,")")</f>
        <v>Wis (+0)</v>
      </c>
      <c r="F33" s="98" t="s">
        <v>53</v>
      </c>
      <c r="G33" s="247">
        <f t="shared" si="6"/>
        <v>8</v>
      </c>
      <c r="H33" s="329">
        <f t="shared" ca="1" si="2"/>
        <v>20</v>
      </c>
      <c r="I33" s="247">
        <f t="shared" ca="1" si="10"/>
        <v>28</v>
      </c>
      <c r="J33" s="137"/>
    </row>
    <row r="34" spans="1:10" ht="16.8">
      <c r="A34" s="111" t="s">
        <v>11</v>
      </c>
      <c r="B34" s="85">
        <v>0</v>
      </c>
      <c r="C34" s="112" t="s">
        <v>25</v>
      </c>
      <c r="D34" s="113" t="str">
        <f>IF(C34="Str",'Personal File'!$C$12,IF(C34="Dex",'Personal File'!$C$13,IF(C34="Con",'Personal File'!$C$14,IF(C34="Int",'Personal File'!$C$15,IF(C34="Wis",'Personal File'!$C$16,IF(C34="Cha",'Personal File'!$C$17))))))</f>
        <v>+3</v>
      </c>
      <c r="E34" s="89" t="str">
        <f t="shared" si="8"/>
        <v>Dex (+3)</v>
      </c>
      <c r="F34" s="106" t="s">
        <v>53</v>
      </c>
      <c r="G34" s="106">
        <f t="shared" si="6"/>
        <v>3</v>
      </c>
      <c r="H34" s="329">
        <f t="shared" ca="1" si="2"/>
        <v>1</v>
      </c>
      <c r="I34" s="106">
        <f t="shared" ca="1" si="10"/>
        <v>4</v>
      </c>
      <c r="J34" s="107"/>
    </row>
    <row r="35" spans="1:10" ht="16.8">
      <c r="A35" s="93" t="s">
        <v>12</v>
      </c>
      <c r="B35" s="94">
        <v>2</v>
      </c>
      <c r="C35" s="95" t="s">
        <v>23</v>
      </c>
      <c r="D35" s="96" t="str">
        <f>IF(C35="Str",'Personal File'!$C$12,IF(C35="Dex",'Personal File'!$C$13,IF(C35="Con",'Personal File'!$C$14,IF(C35="Int",'Personal File'!$C$15,IF(C35="Wis",'Personal File'!$C$16,IF(C35="Cha",'Personal File'!$C$17))))))</f>
        <v>+2</v>
      </c>
      <c r="E35" s="97" t="str">
        <f t="shared" si="8"/>
        <v>Int (+2)</v>
      </c>
      <c r="F35" s="98" t="s">
        <v>53</v>
      </c>
      <c r="G35" s="98">
        <f t="shared" si="6"/>
        <v>4</v>
      </c>
      <c r="H35" s="329">
        <f t="shared" ca="1" si="2"/>
        <v>13</v>
      </c>
      <c r="I35" s="98">
        <f t="shared" ca="1" si="10"/>
        <v>17</v>
      </c>
      <c r="J35" s="99"/>
    </row>
    <row r="36" spans="1:10" ht="16.8">
      <c r="A36" s="125" t="s">
        <v>46</v>
      </c>
      <c r="B36" s="85">
        <v>0</v>
      </c>
      <c r="C36" s="126" t="s">
        <v>24</v>
      </c>
      <c r="D36" s="127" t="str">
        <f>IF(C36="Str",'Personal File'!$C$12,IF(C36="Dex",'Personal File'!$C$13,IF(C36="Con",'Personal File'!$C$14,IF(C36="Int",'Personal File'!$C$15,IF(C36="Wis",'Personal File'!$C$16,IF(C36="Cha",'Personal File'!$C$17))))))</f>
        <v>+0</v>
      </c>
      <c r="E36" s="128" t="str">
        <f t="shared" si="8"/>
        <v>Wis (+0)</v>
      </c>
      <c r="F36" s="106" t="s">
        <v>53</v>
      </c>
      <c r="G36" s="106">
        <f t="shared" si="6"/>
        <v>0</v>
      </c>
      <c r="H36" s="329">
        <f t="shared" ca="1" si="2"/>
        <v>6</v>
      </c>
      <c r="I36" s="106">
        <f t="shared" ca="1" si="10"/>
        <v>6</v>
      </c>
      <c r="J36" s="107"/>
    </row>
    <row r="37" spans="1:10" ht="16.8">
      <c r="A37" s="223" t="s">
        <v>68</v>
      </c>
      <c r="B37" s="119">
        <v>0</v>
      </c>
      <c r="C37" s="224" t="s">
        <v>25</v>
      </c>
      <c r="D37" s="225" t="str">
        <f>IF(C37="Str",'Personal File'!$C$12,IF(C37="Dex",'Personal File'!$C$13,IF(C37="Con",'Personal File'!$C$14,IF(C37="Int",'Personal File'!$C$15,IF(C37="Wis",'Personal File'!$C$16,IF(C37="Cha",'Personal File'!$C$17))))))</f>
        <v>+3</v>
      </c>
      <c r="E37" s="226" t="str">
        <f t="shared" si="8"/>
        <v>Dex (+3)</v>
      </c>
      <c r="F37" s="123" t="s">
        <v>53</v>
      </c>
      <c r="G37" s="123">
        <f t="shared" si="6"/>
        <v>3</v>
      </c>
      <c r="H37" s="329">
        <f t="shared" ca="1" si="2"/>
        <v>13</v>
      </c>
      <c r="I37" s="123">
        <f t="shared" ca="1" si="10"/>
        <v>16</v>
      </c>
      <c r="J37" s="124"/>
    </row>
    <row r="38" spans="1:10" ht="16.8">
      <c r="A38" s="133" t="s">
        <v>131</v>
      </c>
      <c r="B38" s="119">
        <v>0</v>
      </c>
      <c r="C38" s="134" t="s">
        <v>23</v>
      </c>
      <c r="D38" s="135" t="str">
        <f>IF(C38="Str",'Personal File'!$C$12,IF(C38="Dex",'Personal File'!$C$13,IF(C38="Con",'Personal File'!$C$14,IF(C38="Int",'Personal File'!$C$15,IF(C38="Wis",'Personal File'!$C$16,IF(C38="Cha",'Personal File'!$C$17))))))</f>
        <v>+2</v>
      </c>
      <c r="E38" s="136" t="str">
        <f t="shared" si="8"/>
        <v>Int (+2)</v>
      </c>
      <c r="F38" s="123" t="s">
        <v>53</v>
      </c>
      <c r="G38" s="123" t="s">
        <v>53</v>
      </c>
      <c r="H38" s="329">
        <f t="shared" ca="1" si="2"/>
        <v>3</v>
      </c>
      <c r="I38" s="123">
        <f t="shared" ca="1" si="10"/>
        <v>3</v>
      </c>
      <c r="J38" s="233"/>
    </row>
    <row r="39" spans="1:10" ht="16.8">
      <c r="A39" s="93" t="s">
        <v>47</v>
      </c>
      <c r="B39" s="94">
        <v>0</v>
      </c>
      <c r="C39" s="95" t="s">
        <v>23</v>
      </c>
      <c r="D39" s="96" t="str">
        <f>IF(C39="Str",'Personal File'!$C$12,IF(C39="Dex",'Personal File'!$C$13,IF(C39="Con",'Personal File'!$C$14,IF(C39="Int",'Personal File'!$C$15,IF(C39="Wis",'Personal File'!$C$16,IF(C39="Cha",'Personal File'!$C$17))))))</f>
        <v>+2</v>
      </c>
      <c r="E39" s="97" t="str">
        <f t="shared" si="8"/>
        <v>Int (+2)</v>
      </c>
      <c r="F39" s="98" t="s">
        <v>53</v>
      </c>
      <c r="G39" s="98">
        <f t="shared" si="6"/>
        <v>2</v>
      </c>
      <c r="H39" s="329">
        <f t="shared" ca="1" si="2"/>
        <v>14</v>
      </c>
      <c r="I39" s="98">
        <f t="shared" ca="1" si="10"/>
        <v>16</v>
      </c>
      <c r="J39" s="137"/>
    </row>
    <row r="40" spans="1:10" ht="16.8">
      <c r="A40" s="347" t="s">
        <v>48</v>
      </c>
      <c r="B40" s="94">
        <v>2</v>
      </c>
      <c r="C40" s="244" t="s">
        <v>24</v>
      </c>
      <c r="D40" s="245" t="str">
        <f>IF(C40="Str",'Personal File'!$C$12,IF(C40="Dex",'Personal File'!$C$13,IF(C40="Con",'Personal File'!$C$14,IF(C40="Int",'Personal File'!$C$15,IF(C40="Wis",'Personal File'!$C$16,IF(C40="Cha",'Personal File'!$C$17))))))</f>
        <v>+0</v>
      </c>
      <c r="E40" s="246" t="str">
        <f t="shared" si="8"/>
        <v>Wis (+0)</v>
      </c>
      <c r="F40" s="98" t="s">
        <v>73</v>
      </c>
      <c r="G40" s="98">
        <f t="shared" si="6"/>
        <v>4</v>
      </c>
      <c r="H40" s="329">
        <f t="shared" ca="1" si="2"/>
        <v>15</v>
      </c>
      <c r="I40" s="98">
        <f t="shared" ca="1" si="10"/>
        <v>19</v>
      </c>
      <c r="J40" s="99"/>
    </row>
    <row r="41" spans="1:10" ht="16.8">
      <c r="A41" s="347" t="s">
        <v>69</v>
      </c>
      <c r="B41" s="94">
        <v>2</v>
      </c>
      <c r="C41" s="244" t="s">
        <v>24</v>
      </c>
      <c r="D41" s="245" t="str">
        <f>IF(C41="Str",'Personal File'!$C$12,IF(C41="Dex",'Personal File'!$C$13,IF(C41="Con",'Personal File'!$C$14,IF(C41="Int",'Personal File'!$C$15,IF(C41="Wis",'Personal File'!$C$16,IF(C41="Cha",'Personal File'!$C$17))))))</f>
        <v>+0</v>
      </c>
      <c r="E41" s="246" t="str">
        <f t="shared" si="8"/>
        <v>Wis (+0)</v>
      </c>
      <c r="F41" s="98" t="s">
        <v>53</v>
      </c>
      <c r="G41" s="98">
        <f t="shared" si="6"/>
        <v>2</v>
      </c>
      <c r="H41" s="329">
        <f t="shared" ca="1" si="2"/>
        <v>12</v>
      </c>
      <c r="I41" s="98">
        <f t="shared" ca="1" si="10"/>
        <v>14</v>
      </c>
      <c r="J41" s="137" t="s">
        <v>187</v>
      </c>
    </row>
    <row r="42" spans="1:10" ht="16.8">
      <c r="A42" s="129" t="s">
        <v>13</v>
      </c>
      <c r="B42" s="85">
        <v>0</v>
      </c>
      <c r="C42" s="130" t="s">
        <v>26</v>
      </c>
      <c r="D42" s="131" t="str">
        <f>IF(C42="Str",'Personal File'!$C$12,IF(C42="Dex",'Personal File'!$C$13,IF(C42="Con",'Personal File'!$C$14,IF(C42="Int",'Personal File'!$C$15,IF(C42="Wis",'Personal File'!$C$16,IF(C42="Cha",'Personal File'!$C$17))))))</f>
        <v>+1</v>
      </c>
      <c r="E42" s="132" t="str">
        <f t="shared" si="8"/>
        <v>Str (+1)</v>
      </c>
      <c r="F42" s="106" t="s">
        <v>53</v>
      </c>
      <c r="G42" s="106">
        <f t="shared" si="6"/>
        <v>1</v>
      </c>
      <c r="H42" s="329">
        <f t="shared" ca="1" si="2"/>
        <v>7</v>
      </c>
      <c r="I42" s="106">
        <f t="shared" ca="1" si="10"/>
        <v>8</v>
      </c>
      <c r="J42" s="107"/>
    </row>
    <row r="43" spans="1:10" ht="16.8">
      <c r="A43" s="223" t="s">
        <v>49</v>
      </c>
      <c r="B43" s="119">
        <v>0</v>
      </c>
      <c r="C43" s="224" t="s">
        <v>25</v>
      </c>
      <c r="D43" s="225" t="str">
        <f>IF(C43="Str",'Personal File'!$C$12,IF(C43="Dex",'Personal File'!$C$13,IF(C43="Con",'Personal File'!$C$14,IF(C43="Int",'Personal File'!$C$15,IF(C43="Wis",'Personal File'!$C$16,IF(C43="Cha",'Personal File'!$C$17))))))</f>
        <v>+3</v>
      </c>
      <c r="E43" s="226" t="str">
        <f t="shared" si="8"/>
        <v>Dex (+3)</v>
      </c>
      <c r="F43" s="123" t="s">
        <v>53</v>
      </c>
      <c r="G43" s="123">
        <f t="shared" si="6"/>
        <v>3</v>
      </c>
      <c r="H43" s="329">
        <f t="shared" ca="1" si="2"/>
        <v>8</v>
      </c>
      <c r="I43" s="123">
        <f t="shared" ca="1" si="10"/>
        <v>11</v>
      </c>
      <c r="J43" s="124"/>
    </row>
    <row r="44" spans="1:10" ht="16.8">
      <c r="A44" s="235" t="s">
        <v>50</v>
      </c>
      <c r="B44" s="94">
        <v>4</v>
      </c>
      <c r="C44" s="236" t="s">
        <v>21</v>
      </c>
      <c r="D44" s="237" t="str">
        <f>IF(C44="Str",'Personal File'!$C$12,IF(C44="Dex",'Personal File'!$C$13,IF(C44="Con",'Personal File'!$C$14,IF(C44="Int",'Personal File'!$C$15,IF(C44="Wis",'Personal File'!$C$16,IF(C44="Cha",'Personal File'!$C$17))))))</f>
        <v>+0</v>
      </c>
      <c r="E44" s="238" t="str">
        <f t="shared" si="8"/>
        <v>Cha (+0)</v>
      </c>
      <c r="F44" s="98" t="s">
        <v>53</v>
      </c>
      <c r="G44" s="98">
        <f t="shared" si="6"/>
        <v>4</v>
      </c>
      <c r="H44" s="329">
        <f t="shared" ca="1" si="2"/>
        <v>1</v>
      </c>
      <c r="I44" s="98">
        <f t="shared" ca="1" si="10"/>
        <v>5</v>
      </c>
      <c r="J44" s="99"/>
    </row>
    <row r="45" spans="1:10" ht="17.399999999999999" thickBot="1">
      <c r="A45" s="322" t="s">
        <v>51</v>
      </c>
      <c r="B45" s="323">
        <v>4</v>
      </c>
      <c r="C45" s="324" t="s">
        <v>25</v>
      </c>
      <c r="D45" s="325" t="str">
        <f>IF(C45="Str",'Personal File'!$C$12,IF(C45="Dex",'Personal File'!$C$13,IF(C45="Con",'Personal File'!$C$14,IF(C45="Int",'Personal File'!$C$15,IF(C45="Wis",'Personal File'!$C$16,IF(C45="Cha",'Personal File'!$C$17))))))</f>
        <v>+3</v>
      </c>
      <c r="E45" s="326" t="str">
        <f t="shared" si="8"/>
        <v>Dex (+3)</v>
      </c>
      <c r="F45" s="327" t="s">
        <v>53</v>
      </c>
      <c r="G45" s="327">
        <f t="shared" si="6"/>
        <v>7</v>
      </c>
      <c r="H45" s="332">
        <f t="shared" ref="H45" ca="1" si="24">RANDBETWEEN(1,20)</f>
        <v>13</v>
      </c>
      <c r="I45" s="327">
        <f t="shared" ca="1" si="10"/>
        <v>20</v>
      </c>
      <c r="J45" s="328"/>
    </row>
    <row r="46" spans="1:10" ht="16.2" thickTop="1">
      <c r="B46" s="140">
        <f>SUM(B6:B45)+B41</f>
        <v>80</v>
      </c>
      <c r="E46" s="350">
        <f>SUM(E47:E53)</f>
        <v>80</v>
      </c>
    </row>
    <row r="47" spans="1:10">
      <c r="B47" s="140"/>
      <c r="E47" s="284">
        <f>4*(8+'Personal File'!$C$15)</f>
        <v>40</v>
      </c>
      <c r="F47" s="143" t="s">
        <v>113</v>
      </c>
    </row>
    <row r="48" spans="1:10">
      <c r="E48" s="346">
        <f>8+'Personal File'!$C$15</f>
        <v>10</v>
      </c>
      <c r="F48" s="143" t="s">
        <v>186</v>
      </c>
    </row>
    <row r="49" spans="5:6">
      <c r="E49" s="346">
        <f>2+'Personal File'!$C$15</f>
        <v>4</v>
      </c>
      <c r="F49" s="143" t="s">
        <v>190</v>
      </c>
    </row>
    <row r="50" spans="5:6">
      <c r="E50" s="346">
        <f>8+'Personal File'!$C$15</f>
        <v>10</v>
      </c>
      <c r="F50" s="143" t="s">
        <v>282</v>
      </c>
    </row>
    <row r="51" spans="5:6">
      <c r="E51" s="346">
        <f>8+'Personal File'!$C$15</f>
        <v>10</v>
      </c>
      <c r="F51" s="143" t="s">
        <v>299</v>
      </c>
    </row>
    <row r="52" spans="5:6">
      <c r="E52" s="346">
        <f>4+'Personal File'!$C$15</f>
        <v>6</v>
      </c>
      <c r="F52" s="143" t="s">
        <v>306</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5"/>
  <sheetViews>
    <sheetView showGridLines="0" zoomScaleNormal="100" workbookViewId="0">
      <pane ySplit="2" topLeftCell="A3" activePane="bottomLeft" state="frozen"/>
      <selection pane="bottomLeft" activeCell="A3" sqref="A3"/>
    </sheetView>
  </sheetViews>
  <sheetFormatPr defaultColWidth="18.19921875" defaultRowHeight="15.6"/>
  <cols>
    <col min="1" max="1" width="21.296875" style="390" bestFit="1" customWidth="1"/>
    <col min="2" max="2" width="6.19921875" style="390" bestFit="1" customWidth="1"/>
    <col min="3" max="3" width="13.59765625" style="391" bestFit="1" customWidth="1"/>
    <col min="4" max="4" width="11.296875" style="391" bestFit="1" customWidth="1"/>
    <col min="5" max="5" width="10.5" style="391" bestFit="1" customWidth="1"/>
    <col min="6" max="7" width="13.19921875" style="391" bestFit="1" customWidth="1"/>
    <col min="8" max="8" width="21.3984375" style="390" bestFit="1" customWidth="1"/>
    <col min="9" max="9" width="5.5" style="377" bestFit="1" customWidth="1"/>
    <col min="10" max="10" width="3.296875" style="377" bestFit="1" customWidth="1"/>
    <col min="11" max="16384" width="18.19921875" style="377"/>
  </cols>
  <sheetData>
    <row r="1" spans="1:10" ht="23.4" thickBot="1">
      <c r="A1" s="375" t="s">
        <v>273</v>
      </c>
      <c r="B1" s="376"/>
      <c r="C1" s="376"/>
      <c r="D1" s="376"/>
      <c r="E1" s="376"/>
      <c r="F1" s="376"/>
      <c r="G1" s="376"/>
      <c r="H1" s="376"/>
    </row>
    <row r="2" spans="1:10" s="341" customFormat="1" ht="16.8">
      <c r="A2" s="378" t="s">
        <v>75</v>
      </c>
      <c r="B2" s="379" t="s">
        <v>78</v>
      </c>
      <c r="C2" s="379" t="s">
        <v>195</v>
      </c>
      <c r="D2" s="380" t="s">
        <v>196</v>
      </c>
      <c r="E2" s="380" t="s">
        <v>197</v>
      </c>
      <c r="F2" s="379" t="s">
        <v>198</v>
      </c>
      <c r="G2" s="379" t="s">
        <v>199</v>
      </c>
      <c r="H2" s="379" t="s">
        <v>200</v>
      </c>
      <c r="I2" s="381" t="s">
        <v>201</v>
      </c>
      <c r="J2" s="352"/>
    </row>
    <row r="3" spans="1:10" s="384" customFormat="1" ht="16.8">
      <c r="A3" s="368" t="s">
        <v>202</v>
      </c>
      <c r="B3" s="382">
        <v>0</v>
      </c>
      <c r="C3" s="645" t="s">
        <v>203</v>
      </c>
      <c r="D3" s="369" t="s">
        <v>204</v>
      </c>
      <c r="E3" s="651" t="s">
        <v>205</v>
      </c>
      <c r="F3" s="651" t="s">
        <v>206</v>
      </c>
      <c r="G3" s="651" t="s">
        <v>207</v>
      </c>
      <c r="H3" s="370" t="s">
        <v>208</v>
      </c>
      <c r="I3" s="383">
        <v>196</v>
      </c>
    </row>
    <row r="4" spans="1:10" ht="16.8">
      <c r="A4" s="353" t="s">
        <v>239</v>
      </c>
      <c r="B4" s="385">
        <v>0</v>
      </c>
      <c r="C4" s="357" t="s">
        <v>249</v>
      </c>
      <c r="D4" s="359" t="s">
        <v>204</v>
      </c>
      <c r="E4" s="358" t="s">
        <v>205</v>
      </c>
      <c r="F4" s="358" t="s">
        <v>250</v>
      </c>
      <c r="G4" s="358" t="s">
        <v>251</v>
      </c>
      <c r="H4" s="356" t="s">
        <v>208</v>
      </c>
      <c r="I4" s="371">
        <v>201</v>
      </c>
    </row>
    <row r="5" spans="1:10" ht="16.8">
      <c r="A5" s="353" t="s">
        <v>229</v>
      </c>
      <c r="B5" s="385">
        <v>0</v>
      </c>
      <c r="C5" s="357" t="s">
        <v>203</v>
      </c>
      <c r="D5" s="359" t="s">
        <v>204</v>
      </c>
      <c r="E5" s="358" t="s">
        <v>205</v>
      </c>
      <c r="F5" s="358" t="s">
        <v>206</v>
      </c>
      <c r="G5" s="358" t="s">
        <v>216</v>
      </c>
      <c r="H5" s="356" t="s">
        <v>226</v>
      </c>
      <c r="I5" s="371">
        <v>42</v>
      </c>
    </row>
    <row r="6" spans="1:10" ht="16.8">
      <c r="A6" s="353" t="s">
        <v>137</v>
      </c>
      <c r="B6" s="385">
        <v>0</v>
      </c>
      <c r="C6" s="357" t="s">
        <v>224</v>
      </c>
      <c r="D6" s="354" t="s">
        <v>204</v>
      </c>
      <c r="E6" s="358" t="s">
        <v>205</v>
      </c>
      <c r="F6" s="358" t="s">
        <v>221</v>
      </c>
      <c r="G6" s="358" t="s">
        <v>242</v>
      </c>
      <c r="H6" s="356" t="s">
        <v>208</v>
      </c>
      <c r="I6" s="371">
        <v>216</v>
      </c>
    </row>
    <row r="7" spans="1:10" ht="16.8">
      <c r="A7" s="353" t="s">
        <v>209</v>
      </c>
      <c r="B7" s="385">
        <v>0</v>
      </c>
      <c r="C7" s="360" t="s">
        <v>210</v>
      </c>
      <c r="D7" s="354" t="s">
        <v>211</v>
      </c>
      <c r="E7" s="355" t="s">
        <v>205</v>
      </c>
      <c r="F7" s="356" t="s">
        <v>206</v>
      </c>
      <c r="G7" s="356" t="s">
        <v>212</v>
      </c>
      <c r="H7" s="356" t="s">
        <v>208</v>
      </c>
      <c r="I7" s="363">
        <v>217</v>
      </c>
    </row>
    <row r="8" spans="1:10" ht="16.8">
      <c r="A8" s="353" t="s">
        <v>240</v>
      </c>
      <c r="B8" s="385">
        <v>0</v>
      </c>
      <c r="C8" s="364" t="s">
        <v>249</v>
      </c>
      <c r="D8" s="367" t="s">
        <v>204</v>
      </c>
      <c r="E8" s="365" t="s">
        <v>205</v>
      </c>
      <c r="F8" s="365" t="s">
        <v>142</v>
      </c>
      <c r="G8" s="365" t="s">
        <v>222</v>
      </c>
      <c r="H8" s="356" t="s">
        <v>208</v>
      </c>
      <c r="I8" s="371">
        <v>219</v>
      </c>
    </row>
    <row r="9" spans="1:10" ht="16.8">
      <c r="A9" s="353" t="s">
        <v>231</v>
      </c>
      <c r="B9" s="385">
        <v>0</v>
      </c>
      <c r="C9" s="357" t="s">
        <v>213</v>
      </c>
      <c r="D9" s="359" t="s">
        <v>204</v>
      </c>
      <c r="E9" s="358" t="s">
        <v>205</v>
      </c>
      <c r="F9" s="358" t="s">
        <v>206</v>
      </c>
      <c r="G9" s="358" t="s">
        <v>207</v>
      </c>
      <c r="H9" s="356" t="s">
        <v>208</v>
      </c>
      <c r="I9" s="371">
        <v>219</v>
      </c>
    </row>
    <row r="10" spans="1:10" ht="16.8">
      <c r="A10" s="353" t="s">
        <v>232</v>
      </c>
      <c r="B10" s="385">
        <v>0</v>
      </c>
      <c r="C10" s="360" t="s">
        <v>219</v>
      </c>
      <c r="D10" s="354" t="s">
        <v>204</v>
      </c>
      <c r="E10" s="355" t="s">
        <v>205</v>
      </c>
      <c r="F10" s="356" t="s">
        <v>206</v>
      </c>
      <c r="G10" s="356" t="s">
        <v>207</v>
      </c>
      <c r="H10" s="356" t="s">
        <v>226</v>
      </c>
      <c r="I10" s="363">
        <v>78</v>
      </c>
    </row>
    <row r="11" spans="1:10" ht="16.8">
      <c r="A11" s="353" t="s">
        <v>233</v>
      </c>
      <c r="B11" s="385">
        <v>0</v>
      </c>
      <c r="C11" s="360" t="s">
        <v>219</v>
      </c>
      <c r="D11" s="354" t="s">
        <v>217</v>
      </c>
      <c r="E11" s="355" t="s">
        <v>205</v>
      </c>
      <c r="F11" s="356" t="s">
        <v>206</v>
      </c>
      <c r="G11" s="356" t="s">
        <v>207</v>
      </c>
      <c r="H11" s="356" t="s">
        <v>208</v>
      </c>
      <c r="I11" s="371">
        <v>232</v>
      </c>
    </row>
    <row r="12" spans="1:10" ht="16.8">
      <c r="A12" s="353" t="s">
        <v>82</v>
      </c>
      <c r="B12" s="385">
        <v>0</v>
      </c>
      <c r="C12" s="360" t="s">
        <v>224</v>
      </c>
      <c r="D12" s="354" t="s">
        <v>211</v>
      </c>
      <c r="E12" s="355" t="s">
        <v>205</v>
      </c>
      <c r="F12" s="356" t="s">
        <v>206</v>
      </c>
      <c r="G12" s="356" t="s">
        <v>216</v>
      </c>
      <c r="H12" s="356" t="s">
        <v>208</v>
      </c>
      <c r="I12" s="371">
        <v>235</v>
      </c>
    </row>
    <row r="13" spans="1:10" ht="16.8">
      <c r="A13" s="353" t="s">
        <v>234</v>
      </c>
      <c r="B13" s="385">
        <v>0</v>
      </c>
      <c r="C13" s="360" t="s">
        <v>219</v>
      </c>
      <c r="D13" s="354" t="s">
        <v>243</v>
      </c>
      <c r="E13" s="355" t="s">
        <v>205</v>
      </c>
      <c r="F13" s="356" t="s">
        <v>215</v>
      </c>
      <c r="G13" s="356" t="s">
        <v>223</v>
      </c>
      <c r="H13" s="356" t="s">
        <v>208</v>
      </c>
      <c r="I13" s="371">
        <v>248</v>
      </c>
    </row>
    <row r="14" spans="1:10" ht="16.8">
      <c r="A14" s="353" t="s">
        <v>138</v>
      </c>
      <c r="B14" s="385">
        <v>0</v>
      </c>
      <c r="C14" s="364" t="s">
        <v>249</v>
      </c>
      <c r="D14" s="367" t="s">
        <v>204</v>
      </c>
      <c r="E14" s="365" t="s">
        <v>205</v>
      </c>
      <c r="F14" s="365" t="s">
        <v>247</v>
      </c>
      <c r="G14" s="365" t="s">
        <v>218</v>
      </c>
      <c r="H14" s="356" t="s">
        <v>208</v>
      </c>
      <c r="I14" s="371">
        <v>264</v>
      </c>
    </row>
    <row r="15" spans="1:10" ht="16.8">
      <c r="A15" s="353" t="s">
        <v>230</v>
      </c>
      <c r="B15" s="385">
        <v>0</v>
      </c>
      <c r="C15" s="360" t="s">
        <v>203</v>
      </c>
      <c r="D15" s="354" t="s">
        <v>204</v>
      </c>
      <c r="E15" s="355" t="s">
        <v>205</v>
      </c>
      <c r="F15" s="356" t="s">
        <v>206</v>
      </c>
      <c r="G15" s="356" t="s">
        <v>207</v>
      </c>
      <c r="H15" s="356" t="s">
        <v>208</v>
      </c>
      <c r="I15" s="371">
        <v>269</v>
      </c>
    </row>
    <row r="16" spans="1:10" ht="16.8">
      <c r="A16" s="353" t="s">
        <v>241</v>
      </c>
      <c r="B16" s="385">
        <v>0</v>
      </c>
      <c r="C16" s="364" t="s">
        <v>249</v>
      </c>
      <c r="D16" s="367" t="s">
        <v>227</v>
      </c>
      <c r="E16" s="365" t="s">
        <v>205</v>
      </c>
      <c r="F16" s="365" t="s">
        <v>214</v>
      </c>
      <c r="G16" s="365" t="s">
        <v>223</v>
      </c>
      <c r="H16" s="356" t="s">
        <v>208</v>
      </c>
      <c r="I16" s="371">
        <v>269</v>
      </c>
      <c r="J16" s="352"/>
    </row>
    <row r="17" spans="1:9" ht="16.8">
      <c r="A17" s="353" t="s">
        <v>228</v>
      </c>
      <c r="B17" s="385">
        <v>0</v>
      </c>
      <c r="C17" s="646" t="s">
        <v>225</v>
      </c>
      <c r="D17" s="354" t="s">
        <v>220</v>
      </c>
      <c r="E17" s="355" t="s">
        <v>205</v>
      </c>
      <c r="F17" s="356" t="s">
        <v>215</v>
      </c>
      <c r="G17" s="356" t="s">
        <v>242</v>
      </c>
      <c r="H17" s="356" t="s">
        <v>208</v>
      </c>
      <c r="I17" s="371">
        <v>272</v>
      </c>
    </row>
    <row r="18" spans="1:9" ht="16.8">
      <c r="A18" s="353" t="s">
        <v>236</v>
      </c>
      <c r="B18" s="385">
        <v>0</v>
      </c>
      <c r="C18" s="357" t="s">
        <v>224</v>
      </c>
      <c r="D18" s="359" t="s">
        <v>244</v>
      </c>
      <c r="E18" s="358" t="s">
        <v>205</v>
      </c>
      <c r="F18" s="358" t="s">
        <v>206</v>
      </c>
      <c r="G18" s="358" t="s">
        <v>222</v>
      </c>
      <c r="H18" s="356" t="s">
        <v>226</v>
      </c>
      <c r="I18" s="371">
        <v>190</v>
      </c>
    </row>
    <row r="19" spans="1:9" ht="16.8">
      <c r="A19" s="353" t="s">
        <v>235</v>
      </c>
      <c r="B19" s="385">
        <v>0</v>
      </c>
      <c r="C19" s="360" t="s">
        <v>219</v>
      </c>
      <c r="D19" s="354" t="s">
        <v>204</v>
      </c>
      <c r="E19" s="355" t="s">
        <v>205</v>
      </c>
      <c r="F19" s="356" t="s">
        <v>206</v>
      </c>
      <c r="G19" s="356" t="s">
        <v>207</v>
      </c>
      <c r="H19" s="356" t="s">
        <v>226</v>
      </c>
      <c r="I19" s="363">
        <v>195</v>
      </c>
    </row>
    <row r="20" spans="1:9" ht="16.8">
      <c r="A20" s="361" t="s">
        <v>237</v>
      </c>
      <c r="B20" s="392">
        <v>0</v>
      </c>
      <c r="C20" s="647" t="s">
        <v>224</v>
      </c>
      <c r="D20" s="649" t="s">
        <v>204</v>
      </c>
      <c r="E20" s="652" t="s">
        <v>205</v>
      </c>
      <c r="F20" s="362" t="s">
        <v>206</v>
      </c>
      <c r="G20" s="362" t="s">
        <v>216</v>
      </c>
      <c r="H20" s="362" t="s">
        <v>245</v>
      </c>
      <c r="I20" s="366">
        <v>108</v>
      </c>
    </row>
    <row r="21" spans="1:9" ht="16.8">
      <c r="A21" s="372" t="s">
        <v>252</v>
      </c>
      <c r="B21" s="386">
        <v>1</v>
      </c>
      <c r="C21" s="364" t="s">
        <v>225</v>
      </c>
      <c r="D21" s="367" t="s">
        <v>220</v>
      </c>
      <c r="E21" s="365" t="s">
        <v>205</v>
      </c>
      <c r="F21" s="365" t="s">
        <v>206</v>
      </c>
      <c r="G21" s="365" t="s">
        <v>256</v>
      </c>
      <c r="H21" s="356" t="s">
        <v>208</v>
      </c>
      <c r="I21" s="387">
        <v>197</v>
      </c>
    </row>
    <row r="22" spans="1:9" ht="16.8">
      <c r="A22" s="372" t="s">
        <v>255</v>
      </c>
      <c r="B22" s="386">
        <v>1</v>
      </c>
      <c r="C22" s="360" t="s">
        <v>225</v>
      </c>
      <c r="D22" s="354" t="s">
        <v>204</v>
      </c>
      <c r="E22" s="356" t="s">
        <v>205</v>
      </c>
      <c r="F22" s="356" t="s">
        <v>215</v>
      </c>
      <c r="G22" s="356" t="s">
        <v>246</v>
      </c>
      <c r="H22" s="356" t="s">
        <v>208</v>
      </c>
      <c r="I22" s="387">
        <v>226</v>
      </c>
    </row>
    <row r="23" spans="1:9" ht="16.8">
      <c r="A23" s="372" t="s">
        <v>253</v>
      </c>
      <c r="B23" s="386">
        <v>1</v>
      </c>
      <c r="C23" s="364" t="s">
        <v>203</v>
      </c>
      <c r="D23" s="367" t="s">
        <v>227</v>
      </c>
      <c r="E23" s="365" t="s">
        <v>205</v>
      </c>
      <c r="F23" s="365" t="s">
        <v>215</v>
      </c>
      <c r="G23" s="365" t="s">
        <v>248</v>
      </c>
      <c r="H23" s="356" t="s">
        <v>208</v>
      </c>
      <c r="I23" s="387">
        <v>249</v>
      </c>
    </row>
    <row r="24" spans="1:9" ht="17.399999999999999" thickBot="1">
      <c r="A24" s="373" t="s">
        <v>254</v>
      </c>
      <c r="B24" s="388">
        <v>1</v>
      </c>
      <c r="C24" s="648" t="s">
        <v>219</v>
      </c>
      <c r="D24" s="650" t="s">
        <v>211</v>
      </c>
      <c r="E24" s="653" t="s">
        <v>205</v>
      </c>
      <c r="F24" s="653" t="s">
        <v>206</v>
      </c>
      <c r="G24" s="653" t="s">
        <v>248</v>
      </c>
      <c r="H24" s="374" t="s">
        <v>208</v>
      </c>
      <c r="I24" s="389">
        <v>294</v>
      </c>
    </row>
    <row r="25" spans="1:9" ht="16.2" thickTop="1"/>
  </sheetData>
  <sortState xmlns:xlrd2="http://schemas.microsoft.com/office/spreadsheetml/2017/richdata2" ref="A3:I24">
    <sortCondition ref="B3:B24"/>
    <sortCondition ref="A3:A24"/>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1"/>
  <sheetViews>
    <sheetView showGridLines="0" workbookViewId="0"/>
  </sheetViews>
  <sheetFormatPr defaultColWidth="6.19921875" defaultRowHeight="16.8"/>
  <cols>
    <col min="1" max="1" width="18.69921875" style="493" bestFit="1" customWidth="1"/>
    <col min="2" max="2" width="6.19921875" style="493"/>
    <col min="3" max="3" width="8.8984375" style="493" bestFit="1" customWidth="1"/>
    <col min="4" max="4" width="4.09765625" style="493" bestFit="1" customWidth="1"/>
    <col min="5" max="5" width="6.296875" style="493" bestFit="1" customWidth="1"/>
    <col min="6" max="6" width="3.796875" style="493" customWidth="1"/>
    <col min="7" max="7" width="16.3984375" style="493" bestFit="1" customWidth="1"/>
    <col min="8" max="8" width="3.8984375" style="493" bestFit="1" customWidth="1"/>
    <col min="9" max="10" width="4.59765625" style="493" customWidth="1"/>
    <col min="11" max="11" width="4.09765625" style="493" bestFit="1" customWidth="1"/>
    <col min="12" max="19" width="3.8984375" style="493" bestFit="1" customWidth="1"/>
    <col min="20" max="16384" width="6.19921875" style="493"/>
  </cols>
  <sheetData>
    <row r="1" spans="1:17" ht="22.2" thickTop="1" thickBot="1">
      <c r="A1" s="421" t="s">
        <v>274</v>
      </c>
      <c r="B1" s="422"/>
      <c r="C1" s="422"/>
      <c r="D1" s="422"/>
      <c r="E1" s="423"/>
      <c r="F1" s="343"/>
      <c r="G1" s="343"/>
      <c r="H1" s="394" t="s">
        <v>257</v>
      </c>
      <c r="I1" s="395"/>
      <c r="J1" s="395"/>
      <c r="K1" s="395"/>
      <c r="L1" s="395"/>
      <c r="M1" s="395"/>
      <c r="N1" s="395"/>
      <c r="O1" s="395"/>
      <c r="P1" s="395"/>
      <c r="Q1" s="396"/>
    </row>
    <row r="2" spans="1:17" ht="18" thickTop="1" thickBot="1">
      <c r="A2" s="424" t="s">
        <v>75</v>
      </c>
      <c r="B2" s="425" t="s">
        <v>78</v>
      </c>
      <c r="C2" s="426" t="s">
        <v>275</v>
      </c>
      <c r="D2" s="426" t="s">
        <v>79</v>
      </c>
      <c r="E2" s="427" t="s">
        <v>80</v>
      </c>
      <c r="F2" s="343"/>
      <c r="G2" s="343"/>
      <c r="H2" s="397" t="s">
        <v>258</v>
      </c>
      <c r="I2" s="398" t="s">
        <v>259</v>
      </c>
      <c r="J2" s="398" t="s">
        <v>260</v>
      </c>
      <c r="K2" s="398" t="s">
        <v>261</v>
      </c>
      <c r="L2" s="399" t="s">
        <v>262</v>
      </c>
      <c r="M2" s="398" t="s">
        <v>263</v>
      </c>
      <c r="N2" s="398" t="s">
        <v>264</v>
      </c>
      <c r="O2" s="398" t="s">
        <v>265</v>
      </c>
      <c r="P2" s="399" t="s">
        <v>266</v>
      </c>
      <c r="Q2" s="400" t="s">
        <v>267</v>
      </c>
    </row>
    <row r="3" spans="1:17" ht="17.399999999999999" thickTop="1">
      <c r="A3" s="428" t="s">
        <v>240</v>
      </c>
      <c r="B3" s="429">
        <v>0</v>
      </c>
      <c r="C3" s="429">
        <v>0</v>
      </c>
      <c r="D3" s="430">
        <f>10+B3+C3+'Personal File'!$C$15</f>
        <v>12</v>
      </c>
      <c r="E3" s="431" t="s">
        <v>100</v>
      </c>
      <c r="F3" s="343"/>
      <c r="G3" s="401" t="s">
        <v>268</v>
      </c>
      <c r="H3" s="402">
        <v>3</v>
      </c>
      <c r="I3" s="403">
        <v>1</v>
      </c>
      <c r="J3" s="404">
        <v>0</v>
      </c>
      <c r="K3" s="404">
        <v>0</v>
      </c>
      <c r="L3" s="404">
        <v>0</v>
      </c>
      <c r="M3" s="404">
        <v>0</v>
      </c>
      <c r="N3" s="404">
        <v>0</v>
      </c>
      <c r="O3" s="404">
        <v>0</v>
      </c>
      <c r="P3" s="404">
        <v>0</v>
      </c>
      <c r="Q3" s="405">
        <v>0</v>
      </c>
    </row>
    <row r="4" spans="1:17">
      <c r="A4" s="428" t="s">
        <v>209</v>
      </c>
      <c r="B4" s="429">
        <v>0</v>
      </c>
      <c r="C4" s="429">
        <v>0</v>
      </c>
      <c r="D4" s="430">
        <f>10+B4+C4+'Personal File'!$C$15</f>
        <v>12</v>
      </c>
      <c r="E4" s="431" t="s">
        <v>100</v>
      </c>
      <c r="F4" s="343"/>
      <c r="G4" s="406" t="s">
        <v>269</v>
      </c>
      <c r="H4" s="407">
        <v>0</v>
      </c>
      <c r="I4" s="408">
        <v>1</v>
      </c>
      <c r="J4" s="409">
        <v>1</v>
      </c>
      <c r="K4" s="409">
        <v>0</v>
      </c>
      <c r="L4" s="409">
        <v>0</v>
      </c>
      <c r="M4" s="409">
        <v>0</v>
      </c>
      <c r="N4" s="409">
        <v>0</v>
      </c>
      <c r="O4" s="409">
        <v>0</v>
      </c>
      <c r="P4" s="409">
        <v>0</v>
      </c>
      <c r="Q4" s="410">
        <v>0</v>
      </c>
    </row>
    <row r="5" spans="1:17" ht="17.399999999999999" thickBot="1">
      <c r="A5" s="432" t="s">
        <v>238</v>
      </c>
      <c r="B5" s="433">
        <v>0</v>
      </c>
      <c r="C5" s="433">
        <v>0</v>
      </c>
      <c r="D5" s="434">
        <f>10+B5+C5+'Personal File'!$C$15</f>
        <v>12</v>
      </c>
      <c r="E5" s="435" t="s">
        <v>100</v>
      </c>
      <c r="F5" s="343"/>
      <c r="G5" s="411" t="s">
        <v>270</v>
      </c>
      <c r="H5" s="412">
        <f t="shared" ref="H5:I5" si="0">SUM(H3:H4)</f>
        <v>3</v>
      </c>
      <c r="I5" s="413">
        <f t="shared" si="0"/>
        <v>2</v>
      </c>
      <c r="J5" s="414">
        <v>0</v>
      </c>
      <c r="K5" s="414">
        <v>0</v>
      </c>
      <c r="L5" s="414">
        <v>0</v>
      </c>
      <c r="M5" s="414">
        <v>0</v>
      </c>
      <c r="N5" s="414">
        <v>0</v>
      </c>
      <c r="O5" s="414">
        <v>0</v>
      </c>
      <c r="P5" s="414">
        <v>0</v>
      </c>
      <c r="Q5" s="415">
        <v>0</v>
      </c>
    </row>
    <row r="6" spans="1:17" ht="17.399999999999999" thickBot="1">
      <c r="A6" s="428" t="s">
        <v>253</v>
      </c>
      <c r="B6" s="429">
        <v>1</v>
      </c>
      <c r="C6" s="429">
        <v>0</v>
      </c>
      <c r="D6" s="430">
        <f>10+B6+C6+'Personal File'!$C$15</f>
        <v>13</v>
      </c>
      <c r="E6" s="431" t="s">
        <v>383</v>
      </c>
      <c r="F6" s="343"/>
      <c r="G6" s="416" t="s">
        <v>271</v>
      </c>
      <c r="H6" s="417">
        <f>10+LEFT(H2,1)+'Personal File'!$C$15</f>
        <v>12</v>
      </c>
      <c r="I6" s="418">
        <f>10+LEFT(I2,1)+'Personal File'!$C$15</f>
        <v>13</v>
      </c>
      <c r="J6" s="419">
        <f>10+LEFT(J2,1)+'Personal File'!$C$15</f>
        <v>14</v>
      </c>
      <c r="K6" s="419">
        <f>10+LEFT(K2,1)+'Personal File'!$C$15</f>
        <v>15</v>
      </c>
      <c r="L6" s="419">
        <f>10+LEFT(L2,1)+'Personal File'!$C$15</f>
        <v>16</v>
      </c>
      <c r="M6" s="419">
        <f>10+LEFT(M2,1)+'Personal File'!$C$15</f>
        <v>17</v>
      </c>
      <c r="N6" s="419">
        <f>10+LEFT(N2,1)+'Personal File'!$C$15</f>
        <v>18</v>
      </c>
      <c r="O6" s="419">
        <f>10+LEFT(O2,1)+'Personal File'!$C$15</f>
        <v>19</v>
      </c>
      <c r="P6" s="419">
        <f>10+LEFT(P2,1)+'Personal File'!$C$15</f>
        <v>20</v>
      </c>
      <c r="Q6" s="420">
        <f>10+LEFT(Q2,1)+'Personal File'!$C$15</f>
        <v>21</v>
      </c>
    </row>
    <row r="7" spans="1:17" ht="18" thickTop="1" thickBot="1">
      <c r="A7" s="436" t="s">
        <v>252</v>
      </c>
      <c r="B7" s="437">
        <v>1</v>
      </c>
      <c r="C7" s="437">
        <v>0</v>
      </c>
      <c r="D7" s="438">
        <f>10+B7+C7+'Personal File'!$C$15</f>
        <v>13</v>
      </c>
      <c r="E7" s="439" t="s">
        <v>100</v>
      </c>
      <c r="F7" s="343"/>
      <c r="G7" s="282"/>
      <c r="H7" s="282"/>
      <c r="I7" s="282" t="s">
        <v>272</v>
      </c>
      <c r="J7" s="336">
        <f>'Personal File'!E4</f>
        <v>1</v>
      </c>
      <c r="K7" s="282"/>
      <c r="L7" s="282"/>
      <c r="M7" s="282"/>
      <c r="N7" s="282"/>
      <c r="O7" s="282"/>
      <c r="P7" s="282"/>
      <c r="Q7" s="282"/>
    </row>
    <row r="8" spans="1:17" ht="18" thickTop="1" thickBot="1"/>
    <row r="9" spans="1:17" ht="24" thickTop="1" thickBot="1">
      <c r="A9" s="494" t="s">
        <v>144</v>
      </c>
      <c r="B9" s="422"/>
      <c r="C9" s="422"/>
      <c r="D9" s="422"/>
      <c r="E9" s="423"/>
      <c r="G9" s="496" t="s">
        <v>295</v>
      </c>
      <c r="H9" s="492"/>
      <c r="I9" s="492"/>
      <c r="J9" s="492"/>
      <c r="K9" s="492"/>
      <c r="L9" s="492"/>
      <c r="O9" s="497" t="s">
        <v>297</v>
      </c>
      <c r="P9" s="495">
        <v>1</v>
      </c>
    </row>
    <row r="10" spans="1:17" ht="18" thickTop="1" thickBot="1">
      <c r="A10" s="424" t="s">
        <v>75</v>
      </c>
      <c r="B10" s="254" t="s">
        <v>78</v>
      </c>
      <c r="C10" s="426" t="s">
        <v>135</v>
      </c>
      <c r="D10" s="426" t="s">
        <v>79</v>
      </c>
      <c r="E10" s="261" t="s">
        <v>80</v>
      </c>
      <c r="G10" s="475" t="s">
        <v>296</v>
      </c>
      <c r="H10" s="476" t="s">
        <v>258</v>
      </c>
      <c r="I10" s="476" t="s">
        <v>259</v>
      </c>
      <c r="J10" s="477" t="s">
        <v>260</v>
      </c>
      <c r="K10" s="477" t="s">
        <v>261</v>
      </c>
      <c r="L10" s="478" t="s">
        <v>262</v>
      </c>
    </row>
    <row r="11" spans="1:17">
      <c r="A11" s="249" t="s">
        <v>82</v>
      </c>
      <c r="B11" s="255">
        <v>0</v>
      </c>
      <c r="C11" s="250" t="s">
        <v>136</v>
      </c>
      <c r="D11" s="250">
        <f>10+B11+C11+'Personal File'!$C$15</f>
        <v>13</v>
      </c>
      <c r="E11" s="258" t="s">
        <v>100</v>
      </c>
      <c r="G11" s="498">
        <v>1</v>
      </c>
      <c r="H11" s="499" t="s">
        <v>90</v>
      </c>
      <c r="I11" s="499" t="s">
        <v>73</v>
      </c>
      <c r="J11" s="479"/>
      <c r="K11" s="479"/>
      <c r="L11" s="480"/>
    </row>
    <row r="12" spans="1:17">
      <c r="A12" s="251" t="s">
        <v>137</v>
      </c>
      <c r="B12" s="256">
        <v>0</v>
      </c>
      <c r="C12" s="188" t="s">
        <v>136</v>
      </c>
      <c r="D12" s="188">
        <f>10+B12+C12+'Personal File'!$C$15</f>
        <v>13</v>
      </c>
      <c r="E12" s="259" t="s">
        <v>100</v>
      </c>
      <c r="G12" s="481">
        <v>2</v>
      </c>
      <c r="H12" s="482">
        <v>5</v>
      </c>
      <c r="I12" s="482">
        <v>2</v>
      </c>
      <c r="J12" s="483"/>
      <c r="K12" s="483"/>
      <c r="L12" s="484"/>
    </row>
    <row r="13" spans="1:17">
      <c r="A13" s="251" t="s">
        <v>138</v>
      </c>
      <c r="B13" s="256">
        <v>0</v>
      </c>
      <c r="C13" s="188" t="s">
        <v>53</v>
      </c>
      <c r="D13" s="188">
        <f>10+B13+C13+'Personal File'!$C$15</f>
        <v>12</v>
      </c>
      <c r="E13" s="259" t="s">
        <v>100</v>
      </c>
      <c r="G13" s="481">
        <v>3</v>
      </c>
      <c r="H13" s="482">
        <v>5</v>
      </c>
      <c r="I13" s="482">
        <v>3</v>
      </c>
      <c r="J13" s="485">
        <v>1</v>
      </c>
      <c r="K13" s="483"/>
      <c r="L13" s="484"/>
    </row>
    <row r="14" spans="1:17" ht="17.399999999999999" thickBot="1">
      <c r="A14" s="252" t="s">
        <v>139</v>
      </c>
      <c r="B14" s="257">
        <v>1</v>
      </c>
      <c r="C14" s="248" t="s">
        <v>53</v>
      </c>
      <c r="D14" s="248">
        <f>10+B14+C14+'Personal File'!$C$15</f>
        <v>13</v>
      </c>
      <c r="E14" s="260" t="s">
        <v>100</v>
      </c>
      <c r="G14" s="481">
        <v>4</v>
      </c>
      <c r="H14" s="482">
        <v>6</v>
      </c>
      <c r="I14" s="482">
        <v>3</v>
      </c>
      <c r="J14" s="485">
        <v>2</v>
      </c>
      <c r="K14" s="483"/>
      <c r="L14" s="484"/>
    </row>
    <row r="15" spans="1:17" ht="17.399999999999999" thickTop="1">
      <c r="G15" s="481">
        <v>5</v>
      </c>
      <c r="H15" s="482">
        <v>6</v>
      </c>
      <c r="I15" s="482">
        <v>4</v>
      </c>
      <c r="J15" s="485">
        <v>2</v>
      </c>
      <c r="K15" s="485">
        <v>1</v>
      </c>
      <c r="L15" s="484"/>
    </row>
    <row r="16" spans="1:17">
      <c r="G16" s="481">
        <v>6</v>
      </c>
      <c r="H16" s="482">
        <v>7</v>
      </c>
      <c r="I16" s="482">
        <v>4</v>
      </c>
      <c r="J16" s="485">
        <v>3</v>
      </c>
      <c r="K16" s="485">
        <v>2</v>
      </c>
      <c r="L16" s="484"/>
    </row>
    <row r="17" spans="7:12">
      <c r="G17" s="481">
        <v>7</v>
      </c>
      <c r="H17" s="482">
        <v>7</v>
      </c>
      <c r="I17" s="482">
        <v>5</v>
      </c>
      <c r="J17" s="485">
        <v>3</v>
      </c>
      <c r="K17" s="485">
        <v>2</v>
      </c>
      <c r="L17" s="491">
        <v>1</v>
      </c>
    </row>
    <row r="18" spans="7:12">
      <c r="G18" s="481">
        <v>8</v>
      </c>
      <c r="H18" s="482">
        <v>8</v>
      </c>
      <c r="I18" s="482">
        <v>5</v>
      </c>
      <c r="J18" s="485">
        <v>4</v>
      </c>
      <c r="K18" s="485">
        <v>3</v>
      </c>
      <c r="L18" s="491">
        <v>2</v>
      </c>
    </row>
    <row r="19" spans="7:12">
      <c r="G19" s="481">
        <v>9</v>
      </c>
      <c r="H19" s="482">
        <v>8</v>
      </c>
      <c r="I19" s="482">
        <v>5</v>
      </c>
      <c r="J19" s="485">
        <v>4</v>
      </c>
      <c r="K19" s="485">
        <v>3</v>
      </c>
      <c r="L19" s="491">
        <v>2</v>
      </c>
    </row>
    <row r="20" spans="7:12" ht="17.399999999999999" thickBot="1">
      <c r="G20" s="486">
        <v>10</v>
      </c>
      <c r="H20" s="487">
        <v>9</v>
      </c>
      <c r="I20" s="488">
        <v>5</v>
      </c>
      <c r="J20" s="489">
        <v>5</v>
      </c>
      <c r="K20" s="489">
        <v>4</v>
      </c>
      <c r="L20" s="490">
        <v>3</v>
      </c>
    </row>
    <row r="21" spans="7:12" ht="17.399999999999999" thickTop="1"/>
  </sheetData>
  <conditionalFormatting sqref="E5:E7">
    <cfRule type="cellIs" dxfId="14" priority="224" operator="equal">
      <formula>"þ"</formula>
    </cfRule>
  </conditionalFormatting>
  <conditionalFormatting sqref="E3:E4">
    <cfRule type="cellIs" dxfId="13" priority="247" operator="equal">
      <formula>"þ"</formula>
    </cfRule>
  </conditionalFormatting>
  <conditionalFormatting sqref="E11:E14">
    <cfRule type="cellIs" dxfId="12" priority="1" operator="equal">
      <formula>"þ"</formula>
    </cfRule>
  </conditionalFormatting>
  <printOptions gridLinesSet="0"/>
  <pageMargins left="0.62" right="0.33" top="0.5" bottom="0.63" header="0.5" footer="0.5"/>
  <pageSetup orientation="portrait" horizontalDpi="120" verticalDpi="144"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9"/>
  <sheetViews>
    <sheetView showGridLines="0" workbookViewId="0"/>
  </sheetViews>
  <sheetFormatPr defaultColWidth="10.59765625" defaultRowHeight="16.8"/>
  <cols>
    <col min="1" max="1" width="31.5" style="76" bestFit="1" customWidth="1"/>
    <col min="2" max="2" width="2.59765625" style="74" customWidth="1"/>
    <col min="3" max="3" width="26.3984375" style="75" bestFit="1" customWidth="1"/>
    <col min="4" max="16384" width="10.59765625" style="75"/>
  </cols>
  <sheetData>
    <row r="1" spans="1:3" ht="24" thickTop="1" thickBot="1">
      <c r="A1" s="219" t="s">
        <v>72</v>
      </c>
      <c r="C1" s="321" t="s">
        <v>114</v>
      </c>
    </row>
    <row r="2" spans="1:3">
      <c r="A2" s="218" t="s">
        <v>118</v>
      </c>
      <c r="C2" s="285" t="s">
        <v>285</v>
      </c>
    </row>
    <row r="3" spans="1:3">
      <c r="A3" s="520" t="s">
        <v>192</v>
      </c>
      <c r="C3" s="452" t="str">
        <f>CONCATENATE("Trap Sense +",1)</f>
        <v>Trap Sense +1</v>
      </c>
    </row>
    <row r="4" spans="1:3" ht="17.399999999999999" thickBot="1">
      <c r="A4" s="253" t="s">
        <v>307</v>
      </c>
      <c r="C4" s="348" t="s">
        <v>298</v>
      </c>
    </row>
    <row r="5" spans="1:3" ht="18" thickTop="1" thickBot="1">
      <c r="C5" s="348" t="s">
        <v>188</v>
      </c>
    </row>
    <row r="6" spans="1:3" ht="24" thickTop="1" thickBot="1">
      <c r="A6" s="220" t="s">
        <v>70</v>
      </c>
      <c r="C6" s="286" t="s">
        <v>115</v>
      </c>
    </row>
    <row r="7" spans="1:3" ht="17.399999999999999" thickBot="1">
      <c r="A7" s="77" t="s">
        <v>98</v>
      </c>
    </row>
    <row r="8" spans="1:3" ht="24" thickTop="1" thickBot="1">
      <c r="A8" s="287" t="s">
        <v>119</v>
      </c>
      <c r="C8" s="393" t="s">
        <v>193</v>
      </c>
    </row>
    <row r="9" spans="1:3" ht="17.399999999999999" thickBot="1">
      <c r="A9" s="81" t="s">
        <v>97</v>
      </c>
      <c r="C9" s="218" t="s">
        <v>286</v>
      </c>
    </row>
    <row r="10" spans="1:3" ht="18" thickTop="1" thickBot="1">
      <c r="C10" s="351" t="s">
        <v>194</v>
      </c>
    </row>
    <row r="11" spans="1:3" ht="24" thickTop="1" thickBot="1">
      <c r="A11" s="222" t="s">
        <v>59</v>
      </c>
    </row>
    <row r="12" spans="1:3" ht="24" thickTop="1" thickBot="1">
      <c r="A12" s="78" t="s">
        <v>117</v>
      </c>
      <c r="C12" s="521" t="s">
        <v>309</v>
      </c>
    </row>
    <row r="13" spans="1:3" ht="17.399999999999999" thickBot="1">
      <c r="A13" s="80" t="s">
        <v>116</v>
      </c>
      <c r="C13" s="522" t="s">
        <v>310</v>
      </c>
    </row>
    <row r="14" spans="1:3" ht="18" thickTop="1" thickBot="1">
      <c r="C14" s="523" t="s">
        <v>76</v>
      </c>
    </row>
    <row r="15" spans="1:3" ht="24" thickTop="1" thickBot="1">
      <c r="A15" s="221" t="s">
        <v>83</v>
      </c>
    </row>
    <row r="16" spans="1:3">
      <c r="A16" s="79" t="s">
        <v>89</v>
      </c>
    </row>
    <row r="17" spans="1:1">
      <c r="A17" s="82" t="s">
        <v>84</v>
      </c>
    </row>
    <row r="18" spans="1:1" ht="17.399999999999999" thickBot="1">
      <c r="A18" s="83" t="s">
        <v>85</v>
      </c>
    </row>
    <row r="19" spans="1:1" ht="17.399999999999999" thickTop="1"/>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1"/>
  <sheetViews>
    <sheetView showGridLines="0" workbookViewId="0"/>
  </sheetViews>
  <sheetFormatPr defaultColWidth="13" defaultRowHeight="15.6"/>
  <cols>
    <col min="1" max="1" width="20.8984375" style="26" bestFit="1" customWidth="1"/>
    <col min="2" max="2" width="8.5" style="26" bestFit="1" customWidth="1"/>
    <col min="3" max="3" width="4.296875" style="26" bestFit="1" customWidth="1"/>
    <col min="4" max="4" width="6.296875" style="26" bestFit="1" customWidth="1"/>
    <col min="5" max="5" width="8.09765625" style="26" bestFit="1" customWidth="1"/>
    <col min="6" max="6" width="8.3984375" style="26" bestFit="1" customWidth="1"/>
    <col min="7" max="7" width="4.69921875" style="26" bestFit="1" customWidth="1"/>
    <col min="8" max="8" width="5.69921875" style="26" bestFit="1" customWidth="1"/>
    <col min="9" max="9" width="5.59765625" style="26" bestFit="1" customWidth="1"/>
    <col min="10" max="10" width="6.296875" style="26" bestFit="1" customWidth="1"/>
    <col min="11" max="11" width="23.796875" style="26" bestFit="1" customWidth="1"/>
    <col min="12" max="12" width="3.3984375" style="21" customWidth="1"/>
    <col min="13" max="13" width="5.796875" style="202" bestFit="1" customWidth="1"/>
    <col min="14" max="14" width="7.69921875" style="26" bestFit="1" customWidth="1"/>
    <col min="15" max="16384" width="13" style="21"/>
  </cols>
  <sheetData>
    <row r="1" spans="1:14" ht="23.4" thickBot="1">
      <c r="A1" s="19" t="s">
        <v>14</v>
      </c>
      <c r="B1" s="19"/>
      <c r="C1" s="19"/>
      <c r="D1" s="19"/>
      <c r="E1" s="19"/>
      <c r="F1" s="19"/>
      <c r="G1" s="19"/>
      <c r="H1" s="19"/>
      <c r="I1" s="19"/>
      <c r="J1" s="19"/>
      <c r="K1" s="19"/>
    </row>
    <row r="2" spans="1:14" ht="16.8" thickTop="1" thickBot="1">
      <c r="A2" s="44" t="s">
        <v>0</v>
      </c>
      <c r="B2" s="45" t="s">
        <v>1</v>
      </c>
      <c r="C2" s="45" t="s">
        <v>16</v>
      </c>
      <c r="D2" s="45" t="s">
        <v>17</v>
      </c>
      <c r="E2" s="46" t="s">
        <v>55</v>
      </c>
      <c r="F2" s="45" t="s">
        <v>15</v>
      </c>
      <c r="G2" s="45" t="s">
        <v>18</v>
      </c>
      <c r="H2" s="47" t="s">
        <v>71</v>
      </c>
      <c r="I2" s="500" t="s">
        <v>74</v>
      </c>
      <c r="J2" s="47" t="s">
        <v>65</v>
      </c>
      <c r="K2" s="48" t="s">
        <v>63</v>
      </c>
      <c r="M2" s="203" t="s">
        <v>94</v>
      </c>
    </row>
    <row r="3" spans="1:14">
      <c r="A3" s="208" t="s">
        <v>121</v>
      </c>
      <c r="B3" s="6" t="s">
        <v>122</v>
      </c>
      <c r="C3" s="7" t="str">
        <f>'Personal File'!$C$12</f>
        <v>+1</v>
      </c>
      <c r="D3" s="662">
        <v>2</v>
      </c>
      <c r="E3" s="290" t="s">
        <v>123</v>
      </c>
      <c r="F3" s="8" t="s">
        <v>140</v>
      </c>
      <c r="G3" s="9">
        <v>1</v>
      </c>
      <c r="H3" s="200">
        <f>'Personal File'!$B$10+'Personal File'!$C$12+D3</f>
        <v>7</v>
      </c>
      <c r="I3" s="501">
        <f t="shared" ref="I3:I5" ca="1" si="0">RANDBETWEEN(1,20)</f>
        <v>12</v>
      </c>
      <c r="J3" s="201">
        <f t="shared" ref="J3" ca="1" si="1">I3+H3</f>
        <v>19</v>
      </c>
      <c r="K3" s="16" t="str">
        <f>Feats!C2</f>
        <v>Sneak Attack 2d6</v>
      </c>
      <c r="M3" s="204">
        <v>10</v>
      </c>
    </row>
    <row r="4" spans="1:14">
      <c r="A4" s="288" t="s">
        <v>387</v>
      </c>
      <c r="B4" s="272" t="s">
        <v>87</v>
      </c>
      <c r="C4" s="289" t="str">
        <f>'Personal File'!$C$12</f>
        <v>+1</v>
      </c>
      <c r="D4" s="663">
        <v>2</v>
      </c>
      <c r="E4" s="290" t="s">
        <v>123</v>
      </c>
      <c r="F4" s="291" t="s">
        <v>124</v>
      </c>
      <c r="G4" s="273">
        <v>0.5</v>
      </c>
      <c r="H4" s="295">
        <f>'Personal File'!$B$10+'Personal File'!$C$12+D4</f>
        <v>7</v>
      </c>
      <c r="I4" s="502">
        <f t="shared" ca="1" si="0"/>
        <v>12</v>
      </c>
      <c r="J4" s="296">
        <f t="shared" ref="J4:J5" ca="1" si="2">I4+H4</f>
        <v>19</v>
      </c>
      <c r="K4" s="297"/>
      <c r="M4" s="274">
        <v>2</v>
      </c>
    </row>
    <row r="5" spans="1:14">
      <c r="A5" s="288" t="s">
        <v>388</v>
      </c>
      <c r="B5" s="272" t="s">
        <v>87</v>
      </c>
      <c r="C5" s="289" t="str">
        <f>'Personal File'!$C$12</f>
        <v>+1</v>
      </c>
      <c r="D5" s="663">
        <v>2</v>
      </c>
      <c r="E5" s="290" t="s">
        <v>123</v>
      </c>
      <c r="F5" s="291" t="s">
        <v>124</v>
      </c>
      <c r="G5" s="273">
        <v>0.5</v>
      </c>
      <c r="H5" s="295">
        <f>'Personal File'!$B$10+'Personal File'!$C$12+D5</f>
        <v>7</v>
      </c>
      <c r="I5" s="502">
        <f t="shared" ca="1" si="0"/>
        <v>14</v>
      </c>
      <c r="J5" s="296">
        <f t="shared" ca="1" si="2"/>
        <v>21</v>
      </c>
      <c r="K5" s="297"/>
      <c r="M5" s="274">
        <v>22</v>
      </c>
    </row>
    <row r="6" spans="1:14" ht="16.2" thickBot="1">
      <c r="A6" s="10" t="s">
        <v>92</v>
      </c>
      <c r="B6" s="11" t="s">
        <v>87</v>
      </c>
      <c r="C6" s="12" t="str">
        <f>'Personal File'!$C$12</f>
        <v>+1</v>
      </c>
      <c r="D6" s="664">
        <v>2</v>
      </c>
      <c r="E6" s="13" t="s">
        <v>93</v>
      </c>
      <c r="F6" s="14" t="s">
        <v>86</v>
      </c>
      <c r="G6" s="15">
        <v>0</v>
      </c>
      <c r="H6" s="17">
        <f>'Personal File'!$B$10+'Personal File'!$C$12+D6</f>
        <v>7</v>
      </c>
      <c r="I6" s="503">
        <f t="shared" ref="I6" ca="1" si="3">RANDBETWEEN(1,20)</f>
        <v>7</v>
      </c>
      <c r="J6" s="49">
        <f t="shared" ref="J6" ca="1" si="4">I6+H6</f>
        <v>14</v>
      </c>
      <c r="K6" s="18" t="s">
        <v>84</v>
      </c>
      <c r="M6" s="214" t="s">
        <v>76</v>
      </c>
    </row>
    <row r="7" spans="1:14" ht="6" customHeight="1" thickTop="1" thickBot="1">
      <c r="I7" s="50"/>
      <c r="J7" s="50"/>
      <c r="M7" s="207"/>
    </row>
    <row r="8" spans="1:14" ht="16.8" thickTop="1" thickBot="1">
      <c r="A8" s="44" t="s">
        <v>3</v>
      </c>
      <c r="B8" s="45" t="s">
        <v>4</v>
      </c>
      <c r="C8" s="45" t="s">
        <v>16</v>
      </c>
      <c r="D8" s="45" t="s">
        <v>17</v>
      </c>
      <c r="E8" s="46" t="s">
        <v>55</v>
      </c>
      <c r="F8" s="45" t="s">
        <v>5</v>
      </c>
      <c r="G8" s="45" t="s">
        <v>18</v>
      </c>
      <c r="H8" s="47" t="s">
        <v>71</v>
      </c>
      <c r="I8" s="500" t="s">
        <v>74</v>
      </c>
      <c r="J8" s="47" t="s">
        <v>65</v>
      </c>
      <c r="K8" s="48" t="s">
        <v>63</v>
      </c>
      <c r="M8" s="203" t="s">
        <v>94</v>
      </c>
    </row>
    <row r="9" spans="1:14">
      <c r="A9" s="442" t="s">
        <v>101</v>
      </c>
      <c r="B9" s="443" t="s">
        <v>76</v>
      </c>
      <c r="C9" s="444" t="s">
        <v>76</v>
      </c>
      <c r="D9" s="517">
        <v>0</v>
      </c>
      <c r="E9" s="445" t="s">
        <v>76</v>
      </c>
      <c r="F9" s="446" t="s">
        <v>76</v>
      </c>
      <c r="G9" s="447" t="s">
        <v>76</v>
      </c>
      <c r="H9" s="448">
        <f>'Personal File'!$B$10+'Personal File'!$C$13+D9</f>
        <v>7</v>
      </c>
      <c r="I9" s="504">
        <f t="shared" ref="I9:I12" ca="1" si="5">RANDBETWEEN(1,20)</f>
        <v>2</v>
      </c>
      <c r="J9" s="449">
        <f t="shared" ref="J9" ca="1" si="6">I9+H9</f>
        <v>9</v>
      </c>
      <c r="K9" s="450" t="s">
        <v>84</v>
      </c>
      <c r="L9" s="213"/>
      <c r="M9" s="451" t="s">
        <v>76</v>
      </c>
    </row>
    <row r="10" spans="1:14" ht="18.600000000000001">
      <c r="A10" s="506" t="s">
        <v>303</v>
      </c>
      <c r="B10" s="507" t="s">
        <v>351</v>
      </c>
      <c r="C10" s="508" t="s">
        <v>76</v>
      </c>
      <c r="D10" s="518">
        <v>0</v>
      </c>
      <c r="E10" s="509" t="s">
        <v>300</v>
      </c>
      <c r="F10" s="510" t="s">
        <v>308</v>
      </c>
      <c r="G10" s="511">
        <v>5</v>
      </c>
      <c r="H10" s="512">
        <f>'Personal File'!$B$10+'Personal File'!$C$13+D10</f>
        <v>7</v>
      </c>
      <c r="I10" s="504">
        <f t="shared" ca="1" si="5"/>
        <v>2</v>
      </c>
      <c r="J10" s="512">
        <f t="shared" ref="J10" ca="1" si="7">I10+H10</f>
        <v>9</v>
      </c>
      <c r="K10" s="513" t="s">
        <v>301</v>
      </c>
      <c r="L10" s="213"/>
      <c r="M10" s="514" t="s">
        <v>76</v>
      </c>
    </row>
    <row r="11" spans="1:14" s="215" customFormat="1">
      <c r="A11" s="288" t="s">
        <v>120</v>
      </c>
      <c r="B11" s="272" t="s">
        <v>122</v>
      </c>
      <c r="C11" s="289">
        <v>0</v>
      </c>
      <c r="D11" s="516">
        <v>0</v>
      </c>
      <c r="E11" s="290" t="s">
        <v>141</v>
      </c>
      <c r="F11" s="291" t="s">
        <v>142</v>
      </c>
      <c r="G11" s="273">
        <v>1</v>
      </c>
      <c r="H11" s="292">
        <f>'Personal File'!$B$10+'Personal File'!$C$13+D11</f>
        <v>7</v>
      </c>
      <c r="I11" s="504">
        <f t="shared" ca="1" si="5"/>
        <v>4</v>
      </c>
      <c r="J11" s="292">
        <f t="shared" ref="J11" ca="1" si="8">I11+H11</f>
        <v>11</v>
      </c>
      <c r="K11" s="293"/>
      <c r="L11" s="213"/>
      <c r="M11" s="274">
        <v>30</v>
      </c>
      <c r="N11" s="234"/>
    </row>
    <row r="12" spans="1:14" ht="16.2" thickBot="1">
      <c r="A12" s="10" t="s">
        <v>365</v>
      </c>
      <c r="B12" s="11" t="s">
        <v>366</v>
      </c>
      <c r="C12" s="69">
        <v>0</v>
      </c>
      <c r="D12" s="519">
        <v>0</v>
      </c>
      <c r="E12" s="11" t="s">
        <v>366</v>
      </c>
      <c r="F12" s="69" t="s">
        <v>111</v>
      </c>
      <c r="G12" s="15" t="s">
        <v>76</v>
      </c>
      <c r="H12" s="49">
        <f>'Personal File'!$B$10+'Personal File'!$C$13+D12</f>
        <v>7</v>
      </c>
      <c r="I12" s="505">
        <f t="shared" ca="1" si="5"/>
        <v>16</v>
      </c>
      <c r="J12" s="49">
        <f t="shared" ref="J12" ca="1" si="9">I12+H12</f>
        <v>23</v>
      </c>
      <c r="K12" s="294"/>
      <c r="L12" s="213"/>
      <c r="M12" s="206" t="s">
        <v>76</v>
      </c>
    </row>
    <row r="13" spans="1:14" ht="6" customHeight="1" thickTop="1" thickBot="1">
      <c r="D13" s="51"/>
      <c r="E13" s="51"/>
      <c r="G13" s="43"/>
      <c r="H13" s="43"/>
      <c r="I13" s="50"/>
      <c r="J13" s="43"/>
      <c r="M13" s="207"/>
    </row>
    <row r="14" spans="1:14" ht="16.8" thickTop="1" thickBot="1">
      <c r="A14" s="44" t="s">
        <v>57</v>
      </c>
      <c r="B14" s="45" t="s">
        <v>8</v>
      </c>
      <c r="C14" s="45" t="s">
        <v>25</v>
      </c>
      <c r="D14" s="45" t="s">
        <v>65</v>
      </c>
      <c r="E14" s="45" t="s">
        <v>66</v>
      </c>
      <c r="F14" s="45" t="s">
        <v>67</v>
      </c>
      <c r="G14" s="45" t="s">
        <v>18</v>
      </c>
      <c r="H14" s="52" t="s">
        <v>63</v>
      </c>
      <c r="I14" s="53"/>
      <c r="J14" s="53"/>
      <c r="K14" s="54"/>
      <c r="M14" s="203" t="s">
        <v>94</v>
      </c>
    </row>
    <row r="15" spans="1:14">
      <c r="A15" s="263" t="s">
        <v>319</v>
      </c>
      <c r="B15" s="264">
        <v>4</v>
      </c>
      <c r="C15" s="265">
        <f>4+2</f>
        <v>6</v>
      </c>
      <c r="D15" s="264">
        <f>-2+2</f>
        <v>0</v>
      </c>
      <c r="E15" s="266">
        <f>0.2-0.1</f>
        <v>0.1</v>
      </c>
      <c r="F15" s="267" t="s">
        <v>111</v>
      </c>
      <c r="G15" s="440">
        <v>6.25</v>
      </c>
      <c r="H15" s="268"/>
      <c r="I15" s="269"/>
      <c r="J15" s="269"/>
      <c r="K15" s="270"/>
      <c r="M15" s="271">
        <v>3100</v>
      </c>
      <c r="N15" s="213"/>
    </row>
    <row r="16" spans="1:14">
      <c r="A16" s="533" t="s">
        <v>318</v>
      </c>
      <c r="B16" s="272" t="s">
        <v>76</v>
      </c>
      <c r="C16" s="534" t="s">
        <v>76</v>
      </c>
      <c r="D16" s="272" t="s">
        <v>76</v>
      </c>
      <c r="E16" s="535" t="s">
        <v>76</v>
      </c>
      <c r="F16" s="536" t="s">
        <v>76</v>
      </c>
      <c r="G16" s="273">
        <v>0</v>
      </c>
      <c r="H16" s="537"/>
      <c r="I16" s="538"/>
      <c r="J16" s="538"/>
      <c r="K16" s="539"/>
      <c r="L16" s="215"/>
      <c r="M16" s="274">
        <v>500</v>
      </c>
      <c r="N16" s="213"/>
    </row>
    <row r="17" spans="1:14" ht="16.2" thickBot="1">
      <c r="A17" s="524" t="s">
        <v>253</v>
      </c>
      <c r="B17" s="525">
        <v>4</v>
      </c>
      <c r="C17" s="526" t="s">
        <v>76</v>
      </c>
      <c r="D17" s="525" t="s">
        <v>76</v>
      </c>
      <c r="E17" s="527" t="s">
        <v>76</v>
      </c>
      <c r="F17" s="525" t="s">
        <v>76</v>
      </c>
      <c r="G17" s="528" t="s">
        <v>76</v>
      </c>
      <c r="H17" s="529"/>
      <c r="I17" s="530"/>
      <c r="J17" s="530"/>
      <c r="K17" s="531"/>
      <c r="M17" s="532" t="s">
        <v>76</v>
      </c>
    </row>
    <row r="18" spans="1:14" ht="6.75" customHeight="1" thickTop="1" thickBot="1">
      <c r="M18" s="207"/>
    </row>
    <row r="19" spans="1:14" ht="16.8" thickTop="1" thickBot="1">
      <c r="A19" s="56"/>
      <c r="B19" s="43"/>
      <c r="D19" s="57" t="s">
        <v>58</v>
      </c>
      <c r="E19" s="58"/>
      <c r="F19" s="52" t="s">
        <v>2</v>
      </c>
      <c r="G19" s="45" t="s">
        <v>18</v>
      </c>
      <c r="H19" s="47" t="s">
        <v>71</v>
      </c>
      <c r="I19" s="52" t="s">
        <v>63</v>
      </c>
      <c r="J19" s="53"/>
      <c r="K19" s="54"/>
      <c r="M19" s="203" t="s">
        <v>94</v>
      </c>
    </row>
    <row r="20" spans="1:14">
      <c r="A20" s="56"/>
      <c r="B20" s="239"/>
      <c r="D20" s="59" t="s">
        <v>125</v>
      </c>
      <c r="E20" s="60"/>
      <c r="F20" s="61">
        <v>20</v>
      </c>
      <c r="G20" s="9">
        <f>F20*3/(2*20)</f>
        <v>1.5</v>
      </c>
      <c r="H20" s="62" t="s">
        <v>53</v>
      </c>
      <c r="I20" s="63"/>
      <c r="J20" s="64"/>
      <c r="K20" s="65"/>
      <c r="M20" s="307">
        <f>F20/20</f>
        <v>1</v>
      </c>
    </row>
    <row r="21" spans="1:14" ht="16.2" thickBot="1">
      <c r="A21" s="56"/>
      <c r="B21" s="239"/>
      <c r="D21" s="66" t="s">
        <v>320</v>
      </c>
      <c r="E21" s="67"/>
      <c r="F21" s="68">
        <v>10</v>
      </c>
      <c r="G21" s="15">
        <f>F21</f>
        <v>10</v>
      </c>
      <c r="H21" s="69" t="s">
        <v>53</v>
      </c>
      <c r="I21" s="70"/>
      <c r="J21" s="71"/>
      <c r="K21" s="55"/>
      <c r="M21" s="206" t="s">
        <v>76</v>
      </c>
    </row>
    <row r="22" spans="1:14" ht="16.8" thickTop="1" thickBot="1">
      <c r="B22" s="21"/>
    </row>
    <row r="23" spans="1:14" ht="16.8" thickTop="1" thickBot="1">
      <c r="B23" s="21"/>
      <c r="D23" s="57" t="s">
        <v>91</v>
      </c>
      <c r="E23" s="53"/>
      <c r="F23" s="53"/>
      <c r="G23" s="72" t="s">
        <v>2</v>
      </c>
      <c r="H23" s="72" t="s">
        <v>78</v>
      </c>
      <c r="I23" s="72" t="s">
        <v>88</v>
      </c>
      <c r="J23" s="73" t="s">
        <v>63</v>
      </c>
      <c r="K23" s="54"/>
      <c r="M23" s="203" t="s">
        <v>94</v>
      </c>
    </row>
    <row r="24" spans="1:14">
      <c r="B24" s="21"/>
      <c r="D24" s="190"/>
      <c r="E24" s="191"/>
      <c r="F24" s="191"/>
      <c r="G24" s="192"/>
      <c r="H24" s="192"/>
      <c r="I24" s="192"/>
      <c r="J24" s="193"/>
      <c r="K24" s="194"/>
      <c r="L24" s="195"/>
      <c r="M24" s="205"/>
      <c r="N24" s="21"/>
    </row>
    <row r="25" spans="1:14" ht="16.2" thickBot="1">
      <c r="A25" s="21"/>
      <c r="B25" s="21"/>
      <c r="D25" s="196"/>
      <c r="E25" s="197"/>
      <c r="F25" s="197"/>
      <c r="G25" s="11"/>
      <c r="H25" s="11"/>
      <c r="I25" s="11"/>
      <c r="J25" s="198"/>
      <c r="K25" s="199"/>
      <c r="M25" s="206"/>
      <c r="N25" s="50"/>
    </row>
    <row r="26" spans="1:14" ht="16.2" thickTop="1">
      <c r="A26" s="21"/>
      <c r="B26" s="21"/>
    </row>
    <row r="27" spans="1:14">
      <c r="A27" s="21"/>
      <c r="B27" s="21"/>
    </row>
    <row r="28" spans="1:14">
      <c r="A28" s="21"/>
      <c r="B28" s="21"/>
    </row>
    <row r="29" spans="1:14">
      <c r="A29" s="21"/>
      <c r="B29" s="21"/>
    </row>
    <row r="30" spans="1:14">
      <c r="A30" s="21"/>
      <c r="B30" s="21"/>
    </row>
    <row r="31" spans="1:14">
      <c r="A31" s="21"/>
      <c r="B31" s="21"/>
    </row>
  </sheetData>
  <sortState xmlns:xlrd2="http://schemas.microsoft.com/office/spreadsheetml/2017/richdata2" ref="D21:K35">
    <sortCondition ref="I21:I35"/>
    <sortCondition ref="D21:D35"/>
  </sortState>
  <phoneticPr fontId="0" type="noConversion"/>
  <conditionalFormatting sqref="I6">
    <cfRule type="cellIs" dxfId="11" priority="13" operator="equal">
      <formula>20</formula>
    </cfRule>
    <cfRule type="cellIs" dxfId="10" priority="14" operator="equal">
      <formula>1</formula>
    </cfRule>
  </conditionalFormatting>
  <conditionalFormatting sqref="I12">
    <cfRule type="cellIs" dxfId="9" priority="9" operator="equal">
      <formula>20</formula>
    </cfRule>
    <cfRule type="cellIs" dxfId="8" priority="10" operator="equal">
      <formula>1</formula>
    </cfRule>
  </conditionalFormatting>
  <conditionalFormatting sqref="I3:I5">
    <cfRule type="cellIs" dxfId="7" priority="3" operator="equal">
      <formula>20</formula>
    </cfRule>
    <cfRule type="cellIs" dxfId="6" priority="4" operator="equal">
      <formula>1</formula>
    </cfRule>
  </conditionalFormatting>
  <conditionalFormatting sqref="I9:I11">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1"/>
  <sheetViews>
    <sheetView showGridLines="0" workbookViewId="0"/>
  </sheetViews>
  <sheetFormatPr defaultColWidth="8.59765625" defaultRowHeight="15.6"/>
  <cols>
    <col min="1" max="1" width="26.5" style="26" bestFit="1" customWidth="1"/>
    <col min="2" max="2" width="5.69921875" style="26" bestFit="1" customWidth="1"/>
    <col min="3" max="3" width="5.3984375" style="43" bestFit="1" customWidth="1"/>
    <col min="4" max="5" width="22.3984375" style="21" customWidth="1"/>
    <col min="6" max="6" width="2.3984375" style="21" customWidth="1"/>
    <col min="7" max="7" width="8" style="21" bestFit="1" customWidth="1"/>
    <col min="8" max="16384" width="8.59765625" style="21"/>
  </cols>
  <sheetData>
    <row r="1" spans="1:7" ht="23.4" thickBot="1">
      <c r="A1" s="19" t="s">
        <v>60</v>
      </c>
      <c r="B1" s="19"/>
      <c r="C1" s="20"/>
      <c r="D1" s="19"/>
      <c r="E1" s="19"/>
    </row>
    <row r="2" spans="1:7" s="26" customFormat="1" ht="16.8" thickTop="1" thickBot="1">
      <c r="A2" s="22" t="s">
        <v>61</v>
      </c>
      <c r="B2" s="22" t="s">
        <v>2</v>
      </c>
      <c r="C2" s="23" t="s">
        <v>18</v>
      </c>
      <c r="D2" s="24" t="s">
        <v>62</v>
      </c>
      <c r="E2" s="25" t="s">
        <v>63</v>
      </c>
      <c r="G2" s="240" t="s">
        <v>94</v>
      </c>
    </row>
    <row r="3" spans="1:7">
      <c r="A3" s="453" t="s">
        <v>287</v>
      </c>
      <c r="B3" s="30">
        <v>1</v>
      </c>
      <c r="C3" s="454" t="s">
        <v>292</v>
      </c>
      <c r="D3" s="471" t="s">
        <v>291</v>
      </c>
      <c r="E3" s="31"/>
      <c r="G3" s="456">
        <v>500</v>
      </c>
    </row>
    <row r="4" spans="1:7">
      <c r="A4" s="453" t="s">
        <v>288</v>
      </c>
      <c r="B4" s="30">
        <v>1</v>
      </c>
      <c r="C4" s="454">
        <v>1</v>
      </c>
      <c r="D4" s="455"/>
      <c r="E4" s="31"/>
      <c r="G4" s="456">
        <v>750</v>
      </c>
    </row>
    <row r="5" spans="1:7" ht="16.2" thickBot="1">
      <c r="A5" s="33" t="s">
        <v>317</v>
      </c>
      <c r="B5" s="34">
        <v>1</v>
      </c>
      <c r="C5" s="35">
        <v>1</v>
      </c>
      <c r="D5" s="36"/>
      <c r="E5" s="37"/>
      <c r="G5" s="242">
        <v>2000</v>
      </c>
    </row>
    <row r="6" spans="1:7" ht="24" thickTop="1" thickBot="1">
      <c r="A6" s="19" t="s">
        <v>64</v>
      </c>
      <c r="B6" s="19"/>
      <c r="C6" s="38"/>
      <c r="D6" s="19"/>
      <c r="E6" s="39"/>
      <c r="G6" s="38"/>
    </row>
    <row r="7" spans="1:7" ht="16.8" thickTop="1" thickBot="1">
      <c r="A7" s="22" t="s">
        <v>61</v>
      </c>
      <c r="B7" s="22" t="s">
        <v>2</v>
      </c>
      <c r="C7" s="23" t="s">
        <v>18</v>
      </c>
      <c r="D7" s="24" t="s">
        <v>62</v>
      </c>
      <c r="E7" s="25" t="s">
        <v>63</v>
      </c>
      <c r="G7" s="240" t="s">
        <v>94</v>
      </c>
    </row>
    <row r="8" spans="1:7">
      <c r="A8" s="40" t="s">
        <v>127</v>
      </c>
      <c r="B8" s="27">
        <v>1</v>
      </c>
      <c r="C8" s="41">
        <v>0.5</v>
      </c>
      <c r="D8" s="42"/>
      <c r="E8" s="28"/>
      <c r="G8" s="243">
        <v>1</v>
      </c>
    </row>
    <row r="9" spans="1:7">
      <c r="A9" s="29" t="s">
        <v>276</v>
      </c>
      <c r="B9" s="30">
        <v>1</v>
      </c>
      <c r="C9" s="32">
        <v>0</v>
      </c>
      <c r="D9" s="189"/>
      <c r="E9" s="31"/>
      <c r="G9" s="309">
        <v>0.05</v>
      </c>
    </row>
    <row r="10" spans="1:7">
      <c r="A10" s="29" t="s">
        <v>277</v>
      </c>
      <c r="B10" s="30">
        <v>1</v>
      </c>
      <c r="C10" s="32">
        <v>0</v>
      </c>
      <c r="D10" s="189"/>
      <c r="E10" s="31"/>
      <c r="G10" s="241">
        <v>8</v>
      </c>
    </row>
    <row r="11" spans="1:7">
      <c r="A11" s="453" t="s">
        <v>321</v>
      </c>
      <c r="B11" s="30">
        <v>1</v>
      </c>
      <c r="C11" s="454">
        <v>0</v>
      </c>
      <c r="D11" s="189"/>
      <c r="E11" s="464"/>
      <c r="F11" s="343"/>
      <c r="G11" s="456">
        <v>1</v>
      </c>
    </row>
    <row r="12" spans="1:7">
      <c r="A12" s="29" t="s">
        <v>130</v>
      </c>
      <c r="B12" s="30">
        <v>3</v>
      </c>
      <c r="C12" s="32">
        <v>0</v>
      </c>
      <c r="D12" s="189"/>
      <c r="E12" s="31"/>
      <c r="G12" s="241">
        <f>100*B12</f>
        <v>300</v>
      </c>
    </row>
    <row r="13" spans="1:7">
      <c r="A13" s="29" t="s">
        <v>363</v>
      </c>
      <c r="B13" s="30">
        <v>707</v>
      </c>
      <c r="C13" s="308">
        <f>B13*0.01</f>
        <v>7.07</v>
      </c>
      <c r="D13" s="189"/>
      <c r="E13" s="31"/>
      <c r="G13" s="241">
        <f>B13</f>
        <v>707</v>
      </c>
    </row>
    <row r="14" spans="1:7">
      <c r="A14" s="29" t="s">
        <v>379</v>
      </c>
      <c r="B14" s="30">
        <v>1</v>
      </c>
      <c r="C14" s="308">
        <v>0</v>
      </c>
      <c r="D14" s="189"/>
      <c r="E14" s="31"/>
      <c r="G14" s="456">
        <v>2400</v>
      </c>
    </row>
    <row r="15" spans="1:7">
      <c r="A15" s="29" t="s">
        <v>377</v>
      </c>
      <c r="B15" s="30">
        <v>1</v>
      </c>
      <c r="C15" s="308">
        <v>2</v>
      </c>
      <c r="D15" s="189" t="s">
        <v>378</v>
      </c>
      <c r="E15" s="31"/>
      <c r="G15" s="456">
        <v>300</v>
      </c>
    </row>
    <row r="16" spans="1:7">
      <c r="A16" s="29" t="s">
        <v>382</v>
      </c>
      <c r="B16" s="30">
        <v>1</v>
      </c>
      <c r="C16" s="659" t="s">
        <v>373</v>
      </c>
      <c r="D16" s="189"/>
      <c r="E16" s="31"/>
      <c r="G16" s="456" t="s">
        <v>373</v>
      </c>
    </row>
    <row r="17" spans="1:7">
      <c r="A17" s="29" t="s">
        <v>380</v>
      </c>
      <c r="B17" s="30">
        <v>1</v>
      </c>
      <c r="C17" s="308">
        <v>0</v>
      </c>
      <c r="D17" s="189" t="s">
        <v>381</v>
      </c>
      <c r="E17" s="31"/>
      <c r="G17" s="456">
        <v>500</v>
      </c>
    </row>
    <row r="18" spans="1:7">
      <c r="A18" s="29" t="s">
        <v>375</v>
      </c>
      <c r="B18" s="30">
        <v>1</v>
      </c>
      <c r="C18" s="308">
        <v>0</v>
      </c>
      <c r="D18" s="189" t="s">
        <v>376</v>
      </c>
      <c r="E18" s="31"/>
      <c r="G18" s="241">
        <v>0</v>
      </c>
    </row>
    <row r="19" spans="1:7">
      <c r="A19" s="29" t="s">
        <v>368</v>
      </c>
      <c r="B19" s="30">
        <v>21</v>
      </c>
      <c r="C19" s="308">
        <f>B19*0.0075</f>
        <v>0.1575</v>
      </c>
      <c r="D19" s="189"/>
      <c r="E19" s="31"/>
      <c r="G19" s="309">
        <f>B19/20</f>
        <v>1.05</v>
      </c>
    </row>
    <row r="20" spans="1:7">
      <c r="A20" s="29" t="s">
        <v>369</v>
      </c>
      <c r="B20" s="30">
        <v>10</v>
      </c>
      <c r="C20" s="308">
        <f>B20*0.005</f>
        <v>0.05</v>
      </c>
      <c r="D20" s="189"/>
      <c r="E20" s="31"/>
      <c r="G20" s="309">
        <f>B20/100</f>
        <v>0.1</v>
      </c>
    </row>
    <row r="21" spans="1:7">
      <c r="A21" s="654" t="s">
        <v>372</v>
      </c>
      <c r="B21" s="655">
        <v>1</v>
      </c>
      <c r="C21" s="32">
        <v>0</v>
      </c>
      <c r="D21" s="656" t="s">
        <v>374</v>
      </c>
      <c r="E21" s="657"/>
      <c r="G21" s="658" t="s">
        <v>373</v>
      </c>
    </row>
    <row r="22" spans="1:7" ht="16.2" thickBot="1">
      <c r="A22" s="33" t="s">
        <v>126</v>
      </c>
      <c r="B22" s="34">
        <v>1</v>
      </c>
      <c r="C22" s="35">
        <v>1</v>
      </c>
      <c r="D22" s="36"/>
      <c r="E22" s="37"/>
      <c r="G22" s="242">
        <v>30</v>
      </c>
    </row>
    <row r="23" spans="1:7" ht="22.8" thickTop="1" thickBot="1">
      <c r="A23" s="457"/>
      <c r="B23" s="457"/>
      <c r="C23" s="457"/>
      <c r="D23" s="458" t="s">
        <v>289</v>
      </c>
      <c r="E23" s="459"/>
      <c r="F23" s="336"/>
      <c r="G23" s="336">
        <v>2000</v>
      </c>
    </row>
    <row r="24" spans="1:7" ht="16.8" thickTop="1" thickBot="1">
      <c r="A24" s="22" t="s">
        <v>61</v>
      </c>
      <c r="B24" s="22" t="s">
        <v>2</v>
      </c>
      <c r="C24" s="23" t="s">
        <v>18</v>
      </c>
      <c r="D24" s="24" t="s">
        <v>62</v>
      </c>
      <c r="E24" s="25" t="s">
        <v>63</v>
      </c>
      <c r="F24" s="336"/>
      <c r="G24" s="240" t="s">
        <v>94</v>
      </c>
    </row>
    <row r="25" spans="1:7">
      <c r="A25" s="315" t="s">
        <v>143</v>
      </c>
      <c r="B25" s="316">
        <v>1</v>
      </c>
      <c r="C25" s="317">
        <v>3</v>
      </c>
      <c r="D25" s="318"/>
      <c r="E25" s="319"/>
      <c r="G25" s="320">
        <v>11</v>
      </c>
    </row>
    <row r="26" spans="1:7">
      <c r="A26" s="315" t="s">
        <v>322</v>
      </c>
      <c r="B26" s="316">
        <v>3</v>
      </c>
      <c r="C26" s="317">
        <f>B26</f>
        <v>3</v>
      </c>
      <c r="D26" s="318"/>
      <c r="E26" s="319"/>
      <c r="G26" s="320">
        <f>15*B26</f>
        <v>45</v>
      </c>
    </row>
    <row r="27" spans="1:7">
      <c r="A27" s="29" t="s">
        <v>129</v>
      </c>
      <c r="B27" s="30">
        <v>5</v>
      </c>
      <c r="C27" s="32">
        <f>B27*(5*0.05)</f>
        <v>1.25</v>
      </c>
      <c r="D27" s="189"/>
      <c r="E27" s="31"/>
      <c r="G27" s="241">
        <f>B27</f>
        <v>5</v>
      </c>
    </row>
    <row r="28" spans="1:7">
      <c r="A28" s="29" t="s">
        <v>128</v>
      </c>
      <c r="B28" s="30">
        <v>1</v>
      </c>
      <c r="C28" s="32">
        <f>B28</f>
        <v>1</v>
      </c>
      <c r="D28" s="189"/>
      <c r="E28" s="31"/>
      <c r="G28" s="241">
        <f>B28*4</f>
        <v>4</v>
      </c>
    </row>
    <row r="29" spans="1:7">
      <c r="A29" s="29" t="s">
        <v>302</v>
      </c>
      <c r="B29" s="30">
        <v>1</v>
      </c>
      <c r="C29" s="32">
        <v>2</v>
      </c>
      <c r="D29" s="189"/>
      <c r="E29" s="31"/>
      <c r="G29" s="456" t="s">
        <v>76</v>
      </c>
    </row>
    <row r="30" spans="1:7">
      <c r="A30" s="315" t="s">
        <v>311</v>
      </c>
      <c r="B30" s="30">
        <v>40</v>
      </c>
      <c r="C30" s="32">
        <f>B30/2</f>
        <v>20</v>
      </c>
      <c r="D30" s="318"/>
      <c r="E30" s="319"/>
      <c r="G30" s="460" t="s">
        <v>76</v>
      </c>
    </row>
    <row r="31" spans="1:7">
      <c r="A31" s="461" t="s">
        <v>312</v>
      </c>
      <c r="B31" s="462">
        <v>1</v>
      </c>
      <c r="C31" s="454">
        <v>5</v>
      </c>
      <c r="D31" s="463"/>
      <c r="E31" s="464"/>
      <c r="F31"/>
      <c r="G31" s="456">
        <v>20</v>
      </c>
    </row>
    <row r="32" spans="1:7">
      <c r="A32" s="461" t="s">
        <v>370</v>
      </c>
      <c r="B32" s="462" t="s">
        <v>371</v>
      </c>
      <c r="C32" s="454">
        <v>10</v>
      </c>
      <c r="D32" s="463"/>
      <c r="E32" s="464"/>
      <c r="F32"/>
      <c r="G32" s="456">
        <f>C32*20</f>
        <v>200</v>
      </c>
    </row>
    <row r="33" spans="1:7">
      <c r="A33" s="665" t="s">
        <v>385</v>
      </c>
      <c r="B33" s="666" t="s">
        <v>371</v>
      </c>
      <c r="C33" s="667">
        <v>10</v>
      </c>
      <c r="D33" s="668" t="s">
        <v>386</v>
      </c>
      <c r="E33" s="669"/>
      <c r="F33"/>
      <c r="G33" s="670" t="s">
        <v>373</v>
      </c>
    </row>
    <row r="34" spans="1:7" ht="16.2" thickBot="1">
      <c r="A34" s="465" t="s">
        <v>384</v>
      </c>
      <c r="B34" s="466">
        <v>6</v>
      </c>
      <c r="C34" s="467">
        <f>B34</f>
        <v>6</v>
      </c>
      <c r="D34" s="468"/>
      <c r="E34" s="469"/>
      <c r="F34" s="336"/>
      <c r="G34" s="470"/>
    </row>
    <row r="35" spans="1:7" ht="16.8" thickTop="1" thickBot="1">
      <c r="A35" s="473" t="s">
        <v>290</v>
      </c>
      <c r="B35" s="474">
        <f>(C35-5)/120</f>
        <v>0.51041666666666663</v>
      </c>
      <c r="C35" s="23">
        <f>SUM(C25:C34,5)</f>
        <v>66.25</v>
      </c>
    </row>
    <row r="37" spans="1:7" ht="23.4" thickBot="1">
      <c r="A37" s="592" t="s">
        <v>346</v>
      </c>
      <c r="B37" s="592"/>
      <c r="C37" s="593"/>
      <c r="D37" s="592"/>
      <c r="E37" s="594"/>
      <c r="F37" s="336"/>
      <c r="G37" s="608">
        <v>30</v>
      </c>
    </row>
    <row r="38" spans="1:7" ht="16.8" thickTop="1" thickBot="1">
      <c r="A38" s="22" t="s">
        <v>61</v>
      </c>
      <c r="B38" s="22" t="s">
        <v>2</v>
      </c>
      <c r="C38" s="23" t="s">
        <v>18</v>
      </c>
      <c r="D38" s="24" t="s">
        <v>62</v>
      </c>
      <c r="E38" s="25" t="s">
        <v>63</v>
      </c>
      <c r="F38" s="336"/>
      <c r="G38" s="595" t="s">
        <v>94</v>
      </c>
    </row>
    <row r="39" spans="1:7">
      <c r="A39" s="453" t="s">
        <v>347</v>
      </c>
      <c r="B39" s="596">
        <v>1</v>
      </c>
      <c r="C39" s="454">
        <v>200</v>
      </c>
      <c r="D39" s="189" t="s">
        <v>348</v>
      </c>
      <c r="E39" s="464"/>
      <c r="F39" s="336"/>
      <c r="G39" s="460">
        <v>15</v>
      </c>
    </row>
    <row r="40" spans="1:7">
      <c r="A40" s="461" t="s">
        <v>313</v>
      </c>
      <c r="B40" s="462">
        <v>1</v>
      </c>
      <c r="C40" s="454">
        <v>30</v>
      </c>
      <c r="D40" s="463"/>
      <c r="E40" s="464"/>
      <c r="F40"/>
      <c r="G40" s="456">
        <v>1000</v>
      </c>
    </row>
    <row r="41" spans="1:7">
      <c r="A41" s="461" t="s">
        <v>314</v>
      </c>
      <c r="B41" s="462">
        <v>1</v>
      </c>
      <c r="C41" s="454">
        <v>30</v>
      </c>
      <c r="D41" s="463"/>
      <c r="E41" s="464"/>
      <c r="F41"/>
      <c r="G41" s="456">
        <v>1000</v>
      </c>
    </row>
    <row r="42" spans="1:7">
      <c r="A42" s="461" t="s">
        <v>315</v>
      </c>
      <c r="B42" s="462">
        <v>1</v>
      </c>
      <c r="C42" s="454">
        <v>40</v>
      </c>
      <c r="D42" s="463"/>
      <c r="E42" s="464"/>
      <c r="F42"/>
      <c r="G42" s="456">
        <v>50</v>
      </c>
    </row>
    <row r="43" spans="1:7">
      <c r="A43" s="461" t="s">
        <v>316</v>
      </c>
      <c r="B43" s="462">
        <v>1</v>
      </c>
      <c r="C43" s="454">
        <v>30</v>
      </c>
      <c r="D43" s="463"/>
      <c r="E43" s="464"/>
      <c r="F43"/>
      <c r="G43" s="456">
        <v>1</v>
      </c>
    </row>
    <row r="44" spans="1:7">
      <c r="A44" s="315" t="s">
        <v>279</v>
      </c>
      <c r="B44" s="316">
        <v>2</v>
      </c>
      <c r="C44" s="317">
        <f>B44*25</f>
        <v>50</v>
      </c>
      <c r="D44" s="318"/>
      <c r="E44" s="319"/>
      <c r="G44" s="320">
        <v>75</v>
      </c>
    </row>
    <row r="45" spans="1:7">
      <c r="A45" s="597" t="s">
        <v>349</v>
      </c>
      <c r="B45" s="598">
        <v>5</v>
      </c>
      <c r="C45" s="599">
        <f>B45*10</f>
        <v>50</v>
      </c>
      <c r="D45" s="600"/>
      <c r="E45" s="601"/>
      <c r="F45" s="336"/>
      <c r="G45" s="602">
        <f>B45*0.05</f>
        <v>0.25</v>
      </c>
    </row>
    <row r="46" spans="1:7">
      <c r="A46" s="597" t="s">
        <v>363</v>
      </c>
      <c r="B46" s="598">
        <v>1500</v>
      </c>
      <c r="C46" s="599">
        <f>B46/100</f>
        <v>15</v>
      </c>
      <c r="D46" s="600"/>
      <c r="E46" s="601"/>
      <c r="F46" s="336"/>
      <c r="G46" s="602">
        <f>B46</f>
        <v>1500</v>
      </c>
    </row>
    <row r="47" spans="1:7">
      <c r="A47" s="461"/>
      <c r="B47" s="462"/>
      <c r="C47" s="454"/>
      <c r="D47" s="463"/>
      <c r="E47" s="464"/>
      <c r="F47"/>
      <c r="G47" s="456"/>
    </row>
    <row r="48" spans="1:7" ht="16.2" thickBot="1">
      <c r="A48" s="603"/>
      <c r="B48" s="604"/>
      <c r="C48" s="467"/>
      <c r="D48" s="605"/>
      <c r="E48" s="469"/>
      <c r="F48" s="336"/>
      <c r="G48" s="606"/>
    </row>
    <row r="49" spans="1:7" ht="16.8" thickTop="1" thickBot="1">
      <c r="A49" s="473" t="s">
        <v>341</v>
      </c>
      <c r="B49" s="607"/>
      <c r="C49" s="23">
        <f>SUM(C39:C48)</f>
        <v>445</v>
      </c>
      <c r="D49" s="343"/>
      <c r="E49" s="343"/>
      <c r="F49" s="336"/>
      <c r="G49" s="343"/>
    </row>
    <row r="50" spans="1:7">
      <c r="E50" s="139" t="s">
        <v>294</v>
      </c>
      <c r="F50" s="195"/>
      <c r="G50" s="472">
        <f>SUM(G3:G48,Martial!M3:M25)</f>
        <v>17119.45</v>
      </c>
    </row>
    <row r="51" spans="1:7">
      <c r="E51" s="282" t="s">
        <v>293</v>
      </c>
      <c r="F51" s="336"/>
      <c r="G51" s="472">
        <v>13000</v>
      </c>
    </row>
  </sheetData>
  <sortState xmlns:xlrd2="http://schemas.microsoft.com/office/spreadsheetml/2017/richdata2" ref="A44:D47">
    <sortCondition ref="A44:A47"/>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cols>
    <col min="1" max="1" width="13.296875" style="282" bestFit="1" customWidth="1"/>
    <col min="2" max="2" width="10" style="283" customWidth="1"/>
    <col min="3" max="3" width="4.59765625" style="283" customWidth="1"/>
    <col min="4" max="4" width="13.69921875" style="282" bestFit="1" customWidth="1"/>
    <col min="5" max="5" width="9.59765625" style="283" bestFit="1" customWidth="1"/>
    <col min="6" max="6" width="9.5" style="282" bestFit="1" customWidth="1"/>
    <col min="7" max="7" width="13.3984375" style="283" bestFit="1" customWidth="1"/>
    <col min="8" max="16384" width="13" style="343"/>
  </cols>
  <sheetData>
    <row r="1" spans="1:7" ht="29.4" thickTop="1" thickBot="1">
      <c r="A1" s="642" t="s">
        <v>362</v>
      </c>
      <c r="B1" s="641"/>
      <c r="C1" s="641"/>
      <c r="D1" s="640"/>
      <c r="E1" s="639"/>
      <c r="F1" s="638"/>
      <c r="G1" s="637" t="s">
        <v>359</v>
      </c>
    </row>
    <row r="2" spans="1:7" ht="17.399999999999999" thickTop="1">
      <c r="A2" s="149" t="s">
        <v>146</v>
      </c>
      <c r="B2" s="636" t="s">
        <v>361</v>
      </c>
      <c r="C2" s="636"/>
      <c r="D2" s="634" t="s">
        <v>154</v>
      </c>
      <c r="E2" s="635" t="s">
        <v>104</v>
      </c>
      <c r="F2" s="634" t="s">
        <v>157</v>
      </c>
      <c r="G2" s="633" t="s">
        <v>73</v>
      </c>
    </row>
    <row r="3" spans="1:7" ht="17.399999999999999" thickBot="1">
      <c r="A3" s="632" t="s">
        <v>155</v>
      </c>
      <c r="B3" s="631" t="s">
        <v>358</v>
      </c>
      <c r="C3" s="630"/>
      <c r="D3" s="628" t="s">
        <v>357</v>
      </c>
      <c r="E3" s="629" t="s">
        <v>360</v>
      </c>
      <c r="F3" s="628" t="s">
        <v>67</v>
      </c>
      <c r="G3" s="627" t="s">
        <v>364</v>
      </c>
    </row>
    <row r="4" spans="1:7" ht="17.399999999999999" thickTop="1">
      <c r="A4" s="162" t="s">
        <v>159</v>
      </c>
      <c r="B4" s="626">
        <v>4</v>
      </c>
      <c r="C4" s="574">
        <f t="shared" ref="C4:C9" si="0">IF(B4&gt;9.9,CONCATENATE("+",ROUNDDOWN((B4-10)/2,0)),ROUNDUP((B4-10)/2,0))</f>
        <v>-3</v>
      </c>
      <c r="D4" s="625" t="s">
        <v>164</v>
      </c>
      <c r="E4" s="624">
        <v>3</v>
      </c>
      <c r="F4" s="644">
        <f>E4</f>
        <v>3</v>
      </c>
      <c r="G4" s="623"/>
    </row>
    <row r="5" spans="1:7" ht="17.399999999999999" thickBot="1">
      <c r="A5" s="165" t="s">
        <v>161</v>
      </c>
      <c r="B5" s="617">
        <v>15</v>
      </c>
      <c r="C5" s="565" t="str">
        <f t="shared" si="0"/>
        <v>+2</v>
      </c>
      <c r="D5" s="622" t="s">
        <v>356</v>
      </c>
      <c r="E5" s="643">
        <v>12</v>
      </c>
      <c r="F5" s="621">
        <f>E5+2+C5</f>
        <v>16</v>
      </c>
      <c r="G5" s="610"/>
    </row>
    <row r="6" spans="1:7" ht="17.399999999999999" thickTop="1">
      <c r="A6" s="169" t="s">
        <v>163</v>
      </c>
      <c r="B6" s="617">
        <v>10</v>
      </c>
      <c r="C6" s="565" t="str">
        <f t="shared" si="0"/>
        <v>+0</v>
      </c>
      <c r="D6" s="618" t="s">
        <v>355</v>
      </c>
      <c r="E6" s="620">
        <v>0</v>
      </c>
      <c r="F6" s="567"/>
      <c r="G6" s="610"/>
    </row>
    <row r="7" spans="1:7" ht="16.8">
      <c r="A7" s="619" t="s">
        <v>165</v>
      </c>
      <c r="B7" s="617">
        <v>3</v>
      </c>
      <c r="C7" s="565">
        <f t="shared" si="0"/>
        <v>-4</v>
      </c>
      <c r="D7" s="618" t="s">
        <v>354</v>
      </c>
      <c r="E7" s="615">
        <v>2</v>
      </c>
      <c r="F7" s="552"/>
      <c r="G7" s="610"/>
    </row>
    <row r="8" spans="1:7" ht="16.8">
      <c r="A8" s="175" t="s">
        <v>167</v>
      </c>
      <c r="B8" s="617">
        <v>12</v>
      </c>
      <c r="C8" s="560" t="str">
        <f t="shared" si="0"/>
        <v>+1</v>
      </c>
      <c r="D8" s="616" t="s">
        <v>353</v>
      </c>
      <c r="E8" s="615">
        <v>4</v>
      </c>
      <c r="F8" s="552"/>
      <c r="G8" s="610"/>
    </row>
    <row r="9" spans="1:7" ht="17.399999999999999" thickBot="1">
      <c r="A9" s="176" t="s">
        <v>169</v>
      </c>
      <c r="B9" s="614">
        <v>5</v>
      </c>
      <c r="C9" s="555">
        <f t="shared" si="0"/>
        <v>-3</v>
      </c>
      <c r="D9" s="613" t="s">
        <v>56</v>
      </c>
      <c r="E9" s="612">
        <v>1</v>
      </c>
      <c r="F9" s="552"/>
      <c r="G9" s="610"/>
    </row>
    <row r="10" spans="1:7" ht="17.399999999999999" thickTop="1">
      <c r="A10" s="149"/>
      <c r="B10" s="609"/>
      <c r="C10" s="609"/>
      <c r="D10" s="609"/>
      <c r="E10" s="154"/>
      <c r="F10" s="611"/>
      <c r="G10" s="610"/>
    </row>
    <row r="11" spans="1:7" ht="16.8">
      <c r="A11" s="183"/>
      <c r="B11" s="609"/>
      <c r="C11" s="609"/>
      <c r="D11" s="609"/>
      <c r="E11" s="154"/>
      <c r="F11" s="609"/>
      <c r="G11" s="154"/>
    </row>
    <row r="12" spans="1:7" ht="17.399999999999999" thickBot="1">
      <c r="A12" s="185"/>
      <c r="B12" s="186"/>
      <c r="C12" s="186"/>
      <c r="D12" s="186"/>
      <c r="E12" s="187"/>
      <c r="F12" s="186"/>
      <c r="G12" s="187"/>
    </row>
    <row r="13" spans="1:7" ht="16.2" thickTop="1"/>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cols>
    <col min="1" max="1" width="13.296875" style="542" bestFit="1" customWidth="1"/>
    <col min="2" max="2" width="10.69921875" style="541" customWidth="1"/>
    <col min="3" max="3" width="5.5" style="541" customWidth="1"/>
    <col min="4" max="4" width="13.69921875" style="542" bestFit="1" customWidth="1"/>
    <col min="5" max="5" width="9.59765625" style="541" bestFit="1" customWidth="1"/>
    <col min="6" max="6" width="10.19921875" style="542" bestFit="1" customWidth="1"/>
    <col min="7" max="7" width="12.09765625" style="541" bestFit="1" customWidth="1"/>
    <col min="8" max="16384" width="13" style="540"/>
  </cols>
  <sheetData>
    <row r="1" spans="1:7" ht="29.4" thickTop="1" thickBot="1">
      <c r="A1" s="591" t="s">
        <v>352</v>
      </c>
      <c r="B1" s="590"/>
      <c r="C1" s="590"/>
      <c r="D1" s="589"/>
      <c r="E1" s="589"/>
      <c r="F1" s="588"/>
      <c r="G1" s="587" t="s">
        <v>342</v>
      </c>
    </row>
    <row r="2" spans="1:7" ht="17.399999999999999" thickTop="1">
      <c r="A2" s="551" t="s">
        <v>340</v>
      </c>
      <c r="B2" s="586" t="s">
        <v>343</v>
      </c>
      <c r="C2" s="586"/>
      <c r="D2" s="584" t="s">
        <v>339</v>
      </c>
      <c r="E2" s="585" t="s">
        <v>104</v>
      </c>
      <c r="F2" s="584" t="s">
        <v>338</v>
      </c>
      <c r="G2" s="583" t="s">
        <v>136</v>
      </c>
    </row>
    <row r="3" spans="1:7" ht="17.399999999999999" thickBot="1">
      <c r="A3" s="582"/>
      <c r="B3" s="581"/>
      <c r="C3" s="580"/>
      <c r="D3" s="578" t="s">
        <v>337</v>
      </c>
      <c r="E3" s="579" t="s">
        <v>344</v>
      </c>
      <c r="F3" s="578" t="s">
        <v>336</v>
      </c>
      <c r="G3" s="577" t="s">
        <v>350</v>
      </c>
    </row>
    <row r="4" spans="1:7" ht="17.399999999999999" thickTop="1">
      <c r="A4" s="576" t="s">
        <v>335</v>
      </c>
      <c r="B4" s="575">
        <v>13</v>
      </c>
      <c r="C4" s="574" t="str">
        <f t="shared" ref="C4:C9" si="0">IF(B4&gt;9.9,CONCATENATE("+",ROUNDDOWN((B4-10)/2,0)),ROUNDUP((B4-10)/2,0))</f>
        <v>+1</v>
      </c>
      <c r="D4" s="564" t="s">
        <v>334</v>
      </c>
      <c r="E4" s="573">
        <v>11</v>
      </c>
      <c r="F4" s="572">
        <v>11</v>
      </c>
      <c r="G4" s="571"/>
    </row>
    <row r="5" spans="1:7" ht="16.8">
      <c r="A5" s="570" t="s">
        <v>333</v>
      </c>
      <c r="B5" s="561">
        <v>13</v>
      </c>
      <c r="C5" s="565" t="str">
        <f t="shared" si="0"/>
        <v>+1</v>
      </c>
      <c r="D5" s="569" t="s">
        <v>332</v>
      </c>
      <c r="E5" s="558" t="s">
        <v>345</v>
      </c>
      <c r="F5" s="558" t="s">
        <v>331</v>
      </c>
      <c r="G5" s="549"/>
    </row>
    <row r="6" spans="1:7" ht="16.8">
      <c r="A6" s="568" t="s">
        <v>330</v>
      </c>
      <c r="B6" s="561">
        <v>12</v>
      </c>
      <c r="C6" s="565" t="str">
        <f t="shared" si="0"/>
        <v>+1</v>
      </c>
      <c r="D6" s="564" t="s">
        <v>329</v>
      </c>
      <c r="E6" s="563">
        <v>1</v>
      </c>
      <c r="F6" s="567"/>
      <c r="G6" s="549"/>
    </row>
    <row r="7" spans="1:7" ht="16.8">
      <c r="A7" s="566" t="s">
        <v>328</v>
      </c>
      <c r="B7" s="561">
        <v>2</v>
      </c>
      <c r="C7" s="565">
        <f t="shared" si="0"/>
        <v>-4</v>
      </c>
      <c r="D7" s="564" t="s">
        <v>327</v>
      </c>
      <c r="E7" s="563">
        <v>4</v>
      </c>
      <c r="F7" s="552"/>
      <c r="G7" s="549"/>
    </row>
    <row r="8" spans="1:7" ht="16.8">
      <c r="A8" s="562" t="s">
        <v>326</v>
      </c>
      <c r="B8" s="561">
        <v>11</v>
      </c>
      <c r="C8" s="560" t="str">
        <f t="shared" si="0"/>
        <v>+0</v>
      </c>
      <c r="D8" s="559" t="s">
        <v>325</v>
      </c>
      <c r="E8" s="558" t="s">
        <v>90</v>
      </c>
      <c r="F8" s="552"/>
      <c r="G8" s="549"/>
    </row>
    <row r="9" spans="1:7" ht="17.399999999999999" thickBot="1">
      <c r="A9" s="557" t="s">
        <v>324</v>
      </c>
      <c r="B9" s="556">
        <v>4</v>
      </c>
      <c r="C9" s="555">
        <f t="shared" si="0"/>
        <v>-3</v>
      </c>
      <c r="D9" s="554" t="s">
        <v>323</v>
      </c>
      <c r="E9" s="553">
        <v>0</v>
      </c>
      <c r="F9" s="552"/>
      <c r="G9" s="549"/>
    </row>
    <row r="10" spans="1:7" ht="17.399999999999999" thickTop="1">
      <c r="A10" s="551"/>
      <c r="B10" s="547"/>
      <c r="C10" s="547"/>
      <c r="D10" s="547"/>
      <c r="E10" s="546"/>
      <c r="F10" s="552"/>
      <c r="G10" s="549"/>
    </row>
    <row r="11" spans="1:7" ht="16.8">
      <c r="A11" s="551"/>
      <c r="B11" s="547"/>
      <c r="C11" s="547"/>
      <c r="D11" s="547"/>
      <c r="E11" s="546"/>
      <c r="F11" s="550"/>
      <c r="G11" s="549"/>
    </row>
    <row r="12" spans="1:7" ht="16.8">
      <c r="A12" s="548"/>
      <c r="B12" s="547"/>
      <c r="C12" s="547"/>
      <c r="D12" s="547"/>
      <c r="E12" s="546"/>
      <c r="F12" s="547"/>
      <c r="G12" s="546"/>
    </row>
    <row r="13" spans="1:7" ht="17.399999999999999" thickBot="1">
      <c r="A13" s="545"/>
      <c r="B13" s="544"/>
      <c r="C13" s="544"/>
      <c r="D13" s="544"/>
      <c r="E13" s="543"/>
      <c r="F13" s="544"/>
      <c r="G13" s="543"/>
    </row>
    <row r="14"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2020-12-18T00:35:41Z</dcterms:modified>
</cp:coreProperties>
</file>