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\Juegos\FrEnt\"/>
    </mc:Choice>
  </mc:AlternateContent>
  <xr:revisionPtr revIDLastSave="0" documentId="13_ncr:1_{9880218F-8A2A-4F05-9C48-F3E939DDAE12}" xr6:coauthVersionLast="47" xr6:coauthVersionMax="47" xr10:uidLastSave="{00000000-0000-0000-0000-000000000000}"/>
  <bookViews>
    <workbookView xWindow="-108" yWindow="-108" windowWidth="23256" windowHeight="13176" tabRatio="720" xr2:uid="{00000000-000D-0000-FFFF-FFFF00000000}"/>
  </bookViews>
  <sheets>
    <sheet name="Factions" sheetId="5" r:id="rId1"/>
    <sheet name="Vehicles" sheetId="6" r:id="rId2"/>
    <sheet name="Weapons" sheetId="8" r:id="rId3"/>
    <sheet name="NPC Generator" sheetId="3" r:id="rId4"/>
    <sheet name="Port Loren regulars" sheetId="7" r:id="rId5"/>
    <sheet name="Purchase DCs" sheetId="9" r:id="rId6"/>
    <sheet name="¡RefTables" sheetId="2" state="hidden" r:id="rId7"/>
    <sheet name="¡RefAbilities" sheetId="1" state="hidden" r:id="rId8"/>
  </sheets>
  <externalReferences>
    <externalReference r:id="rId9"/>
  </externalReferences>
  <definedNames>
    <definedName name="_xlnm._FilterDatabase" localSheetId="0" hidden="1">Factions!$A$1:$AU$1</definedName>
    <definedName name="_xlnm._FilterDatabase" localSheetId="4" hidden="1">'Port Loren regulars'!$A$1:$D$46</definedName>
    <definedName name="NoShade">'[1]Spell Sheet'!$FH$1</definedName>
    <definedName name="_xlnm.Print_Area" localSheetId="2">Weapons!#REF!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91" i="5" l="1"/>
  <c r="AM91" i="5" s="1"/>
  <c r="AL91" i="5" s="1"/>
  <c r="AK90" i="5"/>
  <c r="AM90" i="5" s="1"/>
  <c r="AL90" i="5" s="1"/>
  <c r="AK89" i="5"/>
  <c r="AM89" i="5" s="1"/>
  <c r="AL89" i="5" s="1"/>
  <c r="AK88" i="5"/>
  <c r="AM88" i="5" s="1"/>
  <c r="AL88" i="5" s="1"/>
  <c r="AK87" i="5"/>
  <c r="AM87" i="5" s="1"/>
  <c r="AL87" i="5" s="1"/>
  <c r="AK86" i="5"/>
  <c r="AM86" i="5" s="1"/>
  <c r="AL86" i="5" s="1"/>
  <c r="AK85" i="5"/>
  <c r="AM85" i="5" s="1"/>
  <c r="AL85" i="5" s="1"/>
  <c r="AK84" i="5"/>
  <c r="AM84" i="5" s="1"/>
  <c r="AL84" i="5" s="1"/>
  <c r="AK83" i="5"/>
  <c r="AM83" i="5" s="1"/>
  <c r="AL83" i="5" s="1"/>
  <c r="AK82" i="5"/>
  <c r="AM82" i="5" s="1"/>
  <c r="AL82" i="5" s="1"/>
  <c r="AK81" i="5"/>
  <c r="AM81" i="5" s="1"/>
  <c r="AL81" i="5" s="1"/>
  <c r="AK80" i="5"/>
  <c r="AM80" i="5" s="1"/>
  <c r="AL80" i="5" s="1"/>
  <c r="AK79" i="5"/>
  <c r="AM79" i="5" s="1"/>
  <c r="AL79" i="5" s="1"/>
  <c r="AK78" i="5"/>
  <c r="AM78" i="5" s="1"/>
  <c r="AL78" i="5" s="1"/>
  <c r="AK77" i="5"/>
  <c r="AM77" i="5" s="1"/>
  <c r="AL77" i="5" s="1"/>
  <c r="AK76" i="5"/>
  <c r="AM76" i="5" s="1"/>
  <c r="AL76" i="5" s="1"/>
  <c r="AK75" i="5"/>
  <c r="AM75" i="5" s="1"/>
  <c r="AL75" i="5" s="1"/>
  <c r="AK74" i="5"/>
  <c r="AM74" i="5" s="1"/>
  <c r="AL74" i="5" s="1"/>
  <c r="AK73" i="5"/>
  <c r="AM73" i="5" s="1"/>
  <c r="AL73" i="5" s="1"/>
  <c r="AK72" i="5"/>
  <c r="AM72" i="5" s="1"/>
  <c r="AL72" i="5" s="1"/>
  <c r="AK71" i="5"/>
  <c r="AM71" i="5" s="1"/>
  <c r="AL71" i="5" s="1"/>
  <c r="AK70" i="5"/>
  <c r="AM70" i="5" s="1"/>
  <c r="AL70" i="5" s="1"/>
  <c r="AK69" i="5"/>
  <c r="AM69" i="5" s="1"/>
  <c r="AL69" i="5" s="1"/>
  <c r="AK68" i="5"/>
  <c r="AM68" i="5" s="1"/>
  <c r="AL68" i="5" s="1"/>
  <c r="AK67" i="5"/>
  <c r="AM67" i="5" s="1"/>
  <c r="AL67" i="5" s="1"/>
  <c r="AK66" i="5"/>
  <c r="AM66" i="5" s="1"/>
  <c r="AL66" i="5" s="1"/>
  <c r="AK65" i="5"/>
  <c r="AM65" i="5" s="1"/>
  <c r="AL65" i="5" s="1"/>
  <c r="AK64" i="5"/>
  <c r="AM64" i="5" s="1"/>
  <c r="AL64" i="5" s="1"/>
  <c r="AK63" i="5"/>
  <c r="AM63" i="5" s="1"/>
  <c r="AL63" i="5" s="1"/>
  <c r="AK62" i="5"/>
  <c r="AM62" i="5" s="1"/>
  <c r="AL62" i="5" s="1"/>
  <c r="AK61" i="5"/>
  <c r="AM61" i="5" s="1"/>
  <c r="AL61" i="5" s="1"/>
  <c r="AK60" i="5"/>
  <c r="AM60" i="5" s="1"/>
  <c r="AL60" i="5" s="1"/>
  <c r="AK59" i="5"/>
  <c r="AM59" i="5" s="1"/>
  <c r="AL59" i="5" s="1"/>
  <c r="AK58" i="5"/>
  <c r="AM58" i="5" s="1"/>
  <c r="AL58" i="5" s="1"/>
  <c r="AK57" i="5"/>
  <c r="AM57" i="5" s="1"/>
  <c r="AL57" i="5" s="1"/>
  <c r="AK56" i="5"/>
  <c r="AM56" i="5" s="1"/>
  <c r="AL56" i="5" s="1"/>
  <c r="AK55" i="5"/>
  <c r="AM55" i="5" s="1"/>
  <c r="AL55" i="5" s="1"/>
  <c r="AK54" i="5"/>
  <c r="AM54" i="5" s="1"/>
  <c r="AL54" i="5" s="1"/>
  <c r="AK53" i="5"/>
  <c r="AM53" i="5" s="1"/>
  <c r="AL53" i="5" s="1"/>
  <c r="AK52" i="5"/>
  <c r="AM52" i="5" s="1"/>
  <c r="AL52" i="5" s="1"/>
  <c r="AK51" i="5"/>
  <c r="AM51" i="5" s="1"/>
  <c r="AL51" i="5" s="1"/>
  <c r="AK50" i="5"/>
  <c r="AM50" i="5" s="1"/>
  <c r="AL50" i="5" s="1"/>
  <c r="AK49" i="5"/>
  <c r="AM49" i="5" s="1"/>
  <c r="AL49" i="5" s="1"/>
  <c r="AK48" i="5"/>
  <c r="AM48" i="5" s="1"/>
  <c r="AL48" i="5" s="1"/>
  <c r="AK47" i="5"/>
  <c r="AM47" i="5" s="1"/>
  <c r="AL47" i="5" s="1"/>
  <c r="AK46" i="5"/>
  <c r="AM46" i="5" s="1"/>
  <c r="AL46" i="5" s="1"/>
  <c r="AK45" i="5"/>
  <c r="AM45" i="5" s="1"/>
  <c r="AL45" i="5" s="1"/>
  <c r="AK44" i="5"/>
  <c r="AM44" i="5" s="1"/>
  <c r="AL44" i="5" s="1"/>
  <c r="AK43" i="5"/>
  <c r="AM43" i="5" s="1"/>
  <c r="AL43" i="5" s="1"/>
  <c r="AK42" i="5"/>
  <c r="AM42" i="5" s="1"/>
  <c r="AL42" i="5" s="1"/>
  <c r="AK41" i="5"/>
  <c r="AM41" i="5" s="1"/>
  <c r="AL41" i="5" s="1"/>
  <c r="AK40" i="5"/>
  <c r="AM40" i="5" s="1"/>
  <c r="AL40" i="5" s="1"/>
  <c r="AK39" i="5"/>
  <c r="AM39" i="5" s="1"/>
  <c r="AL39" i="5" s="1"/>
  <c r="AK38" i="5"/>
  <c r="AM38" i="5" s="1"/>
  <c r="AL38" i="5" s="1"/>
  <c r="AK37" i="5"/>
  <c r="AM37" i="5" s="1"/>
  <c r="AL37" i="5" s="1"/>
  <c r="AK36" i="5"/>
  <c r="AM36" i="5" s="1"/>
  <c r="AL36" i="5" s="1"/>
  <c r="AK35" i="5"/>
  <c r="AM35" i="5" s="1"/>
  <c r="AL35" i="5" s="1"/>
  <c r="AK34" i="5"/>
  <c r="AM34" i="5" s="1"/>
  <c r="AL34" i="5" s="1"/>
  <c r="AK33" i="5"/>
  <c r="AM33" i="5" s="1"/>
  <c r="AL33" i="5" s="1"/>
  <c r="AK32" i="5"/>
  <c r="AM32" i="5" s="1"/>
  <c r="AL32" i="5" s="1"/>
  <c r="AK31" i="5"/>
  <c r="AM31" i="5" s="1"/>
  <c r="AL31" i="5" s="1"/>
  <c r="AK30" i="5"/>
  <c r="AM30" i="5" s="1"/>
  <c r="AL30" i="5" s="1"/>
  <c r="AK29" i="5"/>
  <c r="AM29" i="5" s="1"/>
  <c r="AL29" i="5" s="1"/>
  <c r="AK28" i="5"/>
  <c r="AM28" i="5" s="1"/>
  <c r="AL28" i="5" s="1"/>
  <c r="AK27" i="5"/>
  <c r="AM27" i="5" s="1"/>
  <c r="AL27" i="5" s="1"/>
  <c r="AK26" i="5"/>
  <c r="AM26" i="5" s="1"/>
  <c r="AL26" i="5" s="1"/>
  <c r="AK25" i="5"/>
  <c r="AM25" i="5" s="1"/>
  <c r="AL25" i="5" s="1"/>
  <c r="AK24" i="5"/>
  <c r="AM24" i="5" s="1"/>
  <c r="AL24" i="5" s="1"/>
  <c r="AK23" i="5"/>
  <c r="AM23" i="5" s="1"/>
  <c r="AL23" i="5" s="1"/>
  <c r="AK22" i="5"/>
  <c r="AM22" i="5" s="1"/>
  <c r="AL22" i="5" s="1"/>
  <c r="AK21" i="5"/>
  <c r="AM21" i="5" s="1"/>
  <c r="AL21" i="5" s="1"/>
  <c r="AK20" i="5"/>
  <c r="AM20" i="5" s="1"/>
  <c r="AL20" i="5" s="1"/>
  <c r="AK19" i="5"/>
  <c r="AM19" i="5" s="1"/>
  <c r="AL19" i="5" s="1"/>
  <c r="AK18" i="5"/>
  <c r="AM18" i="5" s="1"/>
  <c r="AL18" i="5" s="1"/>
  <c r="AK17" i="5"/>
  <c r="AM17" i="5" s="1"/>
  <c r="AL17" i="5" s="1"/>
  <c r="AK16" i="5"/>
  <c r="AM16" i="5" s="1"/>
  <c r="AL16" i="5" s="1"/>
  <c r="AK15" i="5"/>
  <c r="AM15" i="5" s="1"/>
  <c r="AL15" i="5" s="1"/>
  <c r="AK14" i="5"/>
  <c r="AM14" i="5" s="1"/>
  <c r="AL14" i="5" s="1"/>
  <c r="AK13" i="5"/>
  <c r="AM13" i="5" s="1"/>
  <c r="AL13" i="5" s="1"/>
  <c r="AK12" i="5"/>
  <c r="AM12" i="5" s="1"/>
  <c r="AL12" i="5" s="1"/>
  <c r="AK11" i="5"/>
  <c r="AM11" i="5" s="1"/>
  <c r="AL11" i="5" s="1"/>
  <c r="AK10" i="5"/>
  <c r="AM10" i="5" s="1"/>
  <c r="AL10" i="5" s="1"/>
  <c r="AK9" i="5"/>
  <c r="AM9" i="5" s="1"/>
  <c r="AL9" i="5" s="1"/>
  <c r="AK8" i="5"/>
  <c r="AM8" i="5" s="1"/>
  <c r="AL8" i="5" s="1"/>
  <c r="AK7" i="5"/>
  <c r="AM7" i="5" s="1"/>
  <c r="AL7" i="5" s="1"/>
  <c r="AK6" i="5"/>
  <c r="AM6" i="5" s="1"/>
  <c r="AL6" i="5" s="1"/>
  <c r="AK5" i="5"/>
  <c r="AM5" i="5" s="1"/>
  <c r="AL5" i="5" s="1"/>
  <c r="AK4" i="5"/>
  <c r="AM4" i="5" s="1"/>
  <c r="AL4" i="5" s="1"/>
  <c r="AK3" i="5"/>
  <c r="AM3" i="5" s="1"/>
  <c r="AL3" i="5" s="1"/>
  <c r="AV2" i="5" l="1"/>
  <c r="AV3" i="5"/>
  <c r="AV4" i="5"/>
  <c r="AV5" i="5"/>
  <c r="AV6" i="5"/>
  <c r="AV7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5" i="5"/>
  <c r="AV26" i="5"/>
  <c r="AV27" i="5"/>
  <c r="AV28" i="5"/>
  <c r="AV29" i="5"/>
  <c r="AV30" i="5"/>
  <c r="AV31" i="5"/>
  <c r="AV32" i="5"/>
  <c r="AV33" i="5"/>
  <c r="AV34" i="5"/>
  <c r="AV35" i="5"/>
  <c r="AV36" i="5"/>
  <c r="AV37" i="5"/>
  <c r="AV38" i="5"/>
  <c r="AV39" i="5"/>
  <c r="AV40" i="5"/>
  <c r="AV41" i="5"/>
  <c r="AV42" i="5"/>
  <c r="AV43" i="5"/>
  <c r="AV44" i="5"/>
  <c r="AV45" i="5"/>
  <c r="AV46" i="5"/>
  <c r="AV47" i="5"/>
  <c r="AV48" i="5"/>
  <c r="AV49" i="5"/>
  <c r="AV50" i="5"/>
  <c r="AV51" i="5"/>
  <c r="AV52" i="5"/>
  <c r="AV53" i="5"/>
  <c r="AV54" i="5"/>
  <c r="AV55" i="5"/>
  <c r="AV56" i="5"/>
  <c r="AV57" i="5"/>
  <c r="AV58" i="5"/>
  <c r="AV59" i="5"/>
  <c r="AV60" i="5"/>
  <c r="AV61" i="5"/>
  <c r="AV62" i="5"/>
  <c r="AV63" i="5"/>
  <c r="AV64" i="5"/>
  <c r="AV65" i="5"/>
  <c r="AV66" i="5"/>
  <c r="AV67" i="5"/>
  <c r="AV68" i="5"/>
  <c r="AV69" i="5"/>
  <c r="AV70" i="5"/>
  <c r="AV71" i="5"/>
  <c r="AV72" i="5"/>
  <c r="AV73" i="5"/>
  <c r="AV74" i="5"/>
  <c r="AV75" i="5"/>
  <c r="AV76" i="5"/>
  <c r="AV77" i="5"/>
  <c r="AV78" i="5"/>
  <c r="AV79" i="5"/>
  <c r="AV80" i="5"/>
  <c r="AV81" i="5"/>
  <c r="AV82" i="5"/>
  <c r="AV83" i="5"/>
  <c r="AV84" i="5"/>
  <c r="AV85" i="5"/>
  <c r="AV86" i="5"/>
  <c r="AV87" i="5"/>
  <c r="AV88" i="5"/>
  <c r="AV89" i="5"/>
  <c r="AV90" i="5"/>
  <c r="AV91" i="5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A53" i="9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F91" i="5" l="1"/>
  <c r="AF90" i="5"/>
  <c r="AF89" i="5"/>
  <c r="AF88" i="5"/>
  <c r="AF87" i="5"/>
  <c r="AF86" i="5"/>
  <c r="AF85" i="5"/>
  <c r="AF84" i="5"/>
  <c r="AF83" i="5"/>
  <c r="AF82" i="5"/>
  <c r="AF81" i="5"/>
  <c r="AF79" i="5"/>
  <c r="AF80" i="5"/>
  <c r="AF78" i="5"/>
  <c r="AF77" i="5"/>
  <c r="AF76" i="5"/>
  <c r="AF75" i="5"/>
  <c r="AF74" i="5"/>
  <c r="AF73" i="5"/>
  <c r="AF72" i="5"/>
  <c r="AF70" i="5"/>
  <c r="AF69" i="5"/>
  <c r="AF71" i="5"/>
  <c r="AF68" i="5"/>
  <c r="AF67" i="5"/>
  <c r="AF66" i="5"/>
  <c r="AF65" i="5"/>
  <c r="AF64" i="5"/>
  <c r="AF63" i="5"/>
  <c r="AF62" i="5"/>
  <c r="AF61" i="5"/>
  <c r="AF59" i="5"/>
  <c r="AF60" i="5"/>
  <c r="AF58" i="5"/>
  <c r="AF57" i="5"/>
  <c r="AF56" i="5"/>
  <c r="AF55" i="5"/>
  <c r="AF54" i="5"/>
  <c r="AF53" i="5"/>
  <c r="AF52" i="5"/>
  <c r="AF51" i="5"/>
  <c r="AF49" i="5"/>
  <c r="AF50" i="5"/>
  <c r="AF48" i="5"/>
  <c r="AF47" i="5"/>
  <c r="AF46" i="5"/>
  <c r="AF45" i="5"/>
  <c r="AF43" i="5"/>
  <c r="AF44" i="5"/>
  <c r="AF42" i="5"/>
  <c r="AF40" i="5"/>
  <c r="AF39" i="5"/>
  <c r="AF41" i="5"/>
  <c r="AF38" i="5"/>
  <c r="AF37" i="5"/>
  <c r="AF36" i="5"/>
  <c r="AF34" i="5"/>
  <c r="AF35" i="5"/>
  <c r="AF33" i="5"/>
  <c r="AF32" i="5"/>
  <c r="AF31" i="5"/>
  <c r="AF29" i="5"/>
  <c r="AF28" i="5"/>
  <c r="AF30" i="5"/>
  <c r="AF27" i="5"/>
  <c r="AF26" i="5"/>
  <c r="AF25" i="5"/>
  <c r="AF24" i="5"/>
  <c r="AF23" i="5"/>
  <c r="AF22" i="5"/>
  <c r="AF21" i="5"/>
  <c r="AF19" i="5"/>
  <c r="AF20" i="5"/>
  <c r="AF18" i="5"/>
  <c r="AF17" i="5"/>
  <c r="AF13" i="5"/>
  <c r="AF16" i="5"/>
  <c r="AF14" i="5"/>
  <c r="AF15" i="5"/>
  <c r="AF12" i="5"/>
  <c r="AF11" i="5"/>
  <c r="AF9" i="5"/>
  <c r="AF10" i="5"/>
  <c r="AF8" i="5"/>
  <c r="AF7" i="5"/>
  <c r="AF6" i="5"/>
  <c r="AF4" i="5"/>
  <c r="AF5" i="5"/>
  <c r="AF3" i="5"/>
  <c r="AF2" i="5"/>
  <c r="AD91" i="5"/>
  <c r="AD90" i="5"/>
  <c r="AD89" i="5"/>
  <c r="AD88" i="5"/>
  <c r="AD87" i="5"/>
  <c r="AD86" i="5"/>
  <c r="AD85" i="5"/>
  <c r="AD84" i="5"/>
  <c r="AD83" i="5"/>
  <c r="AD82" i="5"/>
  <c r="AD81" i="5"/>
  <c r="AD79" i="5"/>
  <c r="AD80" i="5"/>
  <c r="AD78" i="5"/>
  <c r="AD77" i="5"/>
  <c r="AD76" i="5"/>
  <c r="AD75" i="5"/>
  <c r="AD74" i="5"/>
  <c r="AD73" i="5"/>
  <c r="AD72" i="5"/>
  <c r="AD70" i="5"/>
  <c r="AD69" i="5"/>
  <c r="AD71" i="5"/>
  <c r="AD68" i="5"/>
  <c r="AD67" i="5"/>
  <c r="AD66" i="5"/>
  <c r="AD65" i="5"/>
  <c r="AD64" i="5"/>
  <c r="AD63" i="5"/>
  <c r="AD62" i="5"/>
  <c r="AD61" i="5"/>
  <c r="AD59" i="5"/>
  <c r="AD60" i="5"/>
  <c r="AD58" i="5"/>
  <c r="AD57" i="5"/>
  <c r="AD56" i="5"/>
  <c r="AD55" i="5"/>
  <c r="AD54" i="5"/>
  <c r="AD53" i="5"/>
  <c r="AD52" i="5"/>
  <c r="AD51" i="5"/>
  <c r="AD49" i="5"/>
  <c r="AD50" i="5"/>
  <c r="AD48" i="5"/>
  <c r="AD47" i="5"/>
  <c r="AD46" i="5"/>
  <c r="AD45" i="5"/>
  <c r="AD43" i="5"/>
  <c r="AD44" i="5"/>
  <c r="AD42" i="5"/>
  <c r="AD40" i="5"/>
  <c r="AD39" i="5"/>
  <c r="AD41" i="5"/>
  <c r="AD38" i="5"/>
  <c r="AD37" i="5"/>
  <c r="AD36" i="5"/>
  <c r="AD34" i="5"/>
  <c r="AD35" i="5"/>
  <c r="AD33" i="5"/>
  <c r="AD32" i="5"/>
  <c r="AD31" i="5"/>
  <c r="AD29" i="5"/>
  <c r="AD28" i="5"/>
  <c r="AD30" i="5"/>
  <c r="AD27" i="5"/>
  <c r="AD26" i="5"/>
  <c r="AD25" i="5"/>
  <c r="AD24" i="5"/>
  <c r="AD23" i="5"/>
  <c r="AD22" i="5"/>
  <c r="AD21" i="5"/>
  <c r="AD19" i="5"/>
  <c r="AD20" i="5"/>
  <c r="AD18" i="5"/>
  <c r="AD17" i="5"/>
  <c r="AD13" i="5"/>
  <c r="AD16" i="5"/>
  <c r="AD14" i="5"/>
  <c r="AD15" i="5"/>
  <c r="AD12" i="5"/>
  <c r="AD11" i="5"/>
  <c r="AD9" i="5"/>
  <c r="AD10" i="5"/>
  <c r="AD8" i="5"/>
  <c r="AD7" i="5"/>
  <c r="AD6" i="5"/>
  <c r="AD4" i="5"/>
  <c r="AD5" i="5"/>
  <c r="AD3" i="5"/>
  <c r="AD2" i="5"/>
  <c r="AJ91" i="5"/>
  <c r="AJ90" i="5"/>
  <c r="AJ89" i="5"/>
  <c r="AJ88" i="5"/>
  <c r="AJ87" i="5"/>
  <c r="AJ86" i="5"/>
  <c r="AJ85" i="5"/>
  <c r="AJ84" i="5"/>
  <c r="AJ83" i="5"/>
  <c r="AJ82" i="5"/>
  <c r="AJ81" i="5"/>
  <c r="AJ79" i="5"/>
  <c r="AJ80" i="5"/>
  <c r="AJ78" i="5"/>
  <c r="AJ77" i="5"/>
  <c r="AJ76" i="5"/>
  <c r="AJ75" i="5"/>
  <c r="AJ74" i="5"/>
  <c r="AJ73" i="5"/>
  <c r="AJ72" i="5"/>
  <c r="AJ70" i="5"/>
  <c r="AJ69" i="5"/>
  <c r="AJ71" i="5"/>
  <c r="AJ68" i="5"/>
  <c r="AJ67" i="5"/>
  <c r="AJ66" i="5"/>
  <c r="AJ65" i="5"/>
  <c r="AJ64" i="5"/>
  <c r="AJ63" i="5"/>
  <c r="AJ62" i="5"/>
  <c r="AJ61" i="5"/>
  <c r="AJ59" i="5"/>
  <c r="AJ60" i="5"/>
  <c r="AJ58" i="5"/>
  <c r="AJ57" i="5"/>
  <c r="AJ56" i="5"/>
  <c r="AJ55" i="5"/>
  <c r="AJ54" i="5"/>
  <c r="AJ53" i="5"/>
  <c r="AJ52" i="5"/>
  <c r="AJ51" i="5"/>
  <c r="AJ49" i="5"/>
  <c r="AJ50" i="5"/>
  <c r="AJ48" i="5"/>
  <c r="AJ47" i="5"/>
  <c r="AJ46" i="5"/>
  <c r="AJ45" i="5"/>
  <c r="AJ43" i="5"/>
  <c r="AJ44" i="5"/>
  <c r="AJ42" i="5"/>
  <c r="AJ40" i="5"/>
  <c r="AJ39" i="5"/>
  <c r="AJ41" i="5"/>
  <c r="AJ38" i="5"/>
  <c r="AJ37" i="5"/>
  <c r="AJ36" i="5"/>
  <c r="AJ34" i="5"/>
  <c r="AJ35" i="5"/>
  <c r="AJ33" i="5"/>
  <c r="AJ32" i="5"/>
  <c r="AJ31" i="5"/>
  <c r="AJ29" i="5"/>
  <c r="AJ28" i="5"/>
  <c r="AJ30" i="5"/>
  <c r="AJ27" i="5"/>
  <c r="AJ26" i="5"/>
  <c r="AJ25" i="5"/>
  <c r="AJ24" i="5"/>
  <c r="AJ23" i="5"/>
  <c r="AJ22" i="5"/>
  <c r="AJ21" i="5"/>
  <c r="AJ19" i="5"/>
  <c r="AJ20" i="5"/>
  <c r="AJ18" i="5"/>
  <c r="AJ17" i="5"/>
  <c r="AJ13" i="5"/>
  <c r="AJ16" i="5"/>
  <c r="AJ14" i="5"/>
  <c r="AJ15" i="5"/>
  <c r="AJ12" i="5"/>
  <c r="AJ11" i="5"/>
  <c r="AJ9" i="5"/>
  <c r="AJ10" i="5"/>
  <c r="AJ8" i="5"/>
  <c r="AJ7" i="5"/>
  <c r="AJ6" i="5"/>
  <c r="AJ4" i="5"/>
  <c r="AJ5" i="5"/>
  <c r="AJ3" i="5"/>
  <c r="AJ2" i="5"/>
  <c r="AH91" i="5"/>
  <c r="AH90" i="5"/>
  <c r="AH89" i="5"/>
  <c r="AH88" i="5"/>
  <c r="AH87" i="5"/>
  <c r="AH86" i="5"/>
  <c r="AH85" i="5"/>
  <c r="AH84" i="5"/>
  <c r="AH83" i="5"/>
  <c r="AH82" i="5"/>
  <c r="AH81" i="5"/>
  <c r="AH79" i="5"/>
  <c r="AH80" i="5"/>
  <c r="AH78" i="5"/>
  <c r="AH77" i="5"/>
  <c r="AH76" i="5"/>
  <c r="AH75" i="5"/>
  <c r="AH74" i="5"/>
  <c r="AH73" i="5"/>
  <c r="AH72" i="5"/>
  <c r="AH70" i="5"/>
  <c r="AH69" i="5"/>
  <c r="AH71" i="5"/>
  <c r="AH68" i="5"/>
  <c r="AH67" i="5"/>
  <c r="AH66" i="5"/>
  <c r="AH65" i="5"/>
  <c r="AH64" i="5"/>
  <c r="AH63" i="5"/>
  <c r="AH62" i="5"/>
  <c r="AH61" i="5"/>
  <c r="AH59" i="5"/>
  <c r="AH60" i="5"/>
  <c r="AH58" i="5"/>
  <c r="AH57" i="5"/>
  <c r="AH56" i="5"/>
  <c r="AH55" i="5"/>
  <c r="AH54" i="5"/>
  <c r="AH53" i="5"/>
  <c r="AH52" i="5"/>
  <c r="AH51" i="5"/>
  <c r="AH49" i="5"/>
  <c r="AH50" i="5"/>
  <c r="AH48" i="5"/>
  <c r="AH47" i="5"/>
  <c r="AH46" i="5"/>
  <c r="AH45" i="5"/>
  <c r="AH43" i="5"/>
  <c r="AH44" i="5"/>
  <c r="AH42" i="5"/>
  <c r="AH40" i="5"/>
  <c r="AH39" i="5"/>
  <c r="AH41" i="5"/>
  <c r="AH38" i="5"/>
  <c r="AH37" i="5"/>
  <c r="AH36" i="5"/>
  <c r="AH34" i="5"/>
  <c r="AH35" i="5"/>
  <c r="AH33" i="5"/>
  <c r="AH32" i="5"/>
  <c r="AH31" i="5"/>
  <c r="AH29" i="5"/>
  <c r="AH28" i="5"/>
  <c r="AH30" i="5"/>
  <c r="AH27" i="5"/>
  <c r="AH26" i="5"/>
  <c r="AH25" i="5"/>
  <c r="AH24" i="5"/>
  <c r="AH23" i="5"/>
  <c r="AH22" i="5"/>
  <c r="AH21" i="5"/>
  <c r="AH19" i="5"/>
  <c r="AH20" i="5"/>
  <c r="AH18" i="5"/>
  <c r="AH17" i="5"/>
  <c r="AH13" i="5"/>
  <c r="AH16" i="5"/>
  <c r="AH14" i="5"/>
  <c r="AH15" i="5"/>
  <c r="AH12" i="5"/>
  <c r="AH11" i="5"/>
  <c r="AH9" i="5"/>
  <c r="AH10" i="5"/>
  <c r="AH8" i="5"/>
  <c r="AH7" i="5"/>
  <c r="AH6" i="5"/>
  <c r="AH4" i="5"/>
  <c r="AH5" i="5"/>
  <c r="AH3" i="5"/>
  <c r="AH2" i="5"/>
  <c r="AO2" i="5"/>
  <c r="AO91" i="5"/>
  <c r="AO90" i="5"/>
  <c r="AO89" i="5"/>
  <c r="AO88" i="5"/>
  <c r="AO87" i="5"/>
  <c r="AO86" i="5"/>
  <c r="AO85" i="5"/>
  <c r="AO84" i="5"/>
  <c r="AO83" i="5"/>
  <c r="AO82" i="5"/>
  <c r="AO81" i="5"/>
  <c r="AO79" i="5"/>
  <c r="AO80" i="5"/>
  <c r="AO78" i="5"/>
  <c r="AO77" i="5"/>
  <c r="AO76" i="5"/>
  <c r="AO75" i="5"/>
  <c r="AO74" i="5"/>
  <c r="AO73" i="5"/>
  <c r="AO72" i="5"/>
  <c r="AO70" i="5"/>
  <c r="AO69" i="5"/>
  <c r="AO71" i="5"/>
  <c r="AO68" i="5"/>
  <c r="AO67" i="5"/>
  <c r="AO66" i="5"/>
  <c r="AO65" i="5"/>
  <c r="AO64" i="5"/>
  <c r="AO63" i="5"/>
  <c r="AO62" i="5"/>
  <c r="AO61" i="5"/>
  <c r="AO59" i="5"/>
  <c r="AO60" i="5"/>
  <c r="AO58" i="5"/>
  <c r="AO57" i="5"/>
  <c r="AO56" i="5"/>
  <c r="AO55" i="5"/>
  <c r="AO54" i="5"/>
  <c r="AO53" i="5"/>
  <c r="AO52" i="5"/>
  <c r="AO51" i="5"/>
  <c r="AO49" i="5"/>
  <c r="AO50" i="5"/>
  <c r="AO48" i="5"/>
  <c r="AO47" i="5"/>
  <c r="AO46" i="5"/>
  <c r="AO45" i="5"/>
  <c r="AO43" i="5"/>
  <c r="AO44" i="5"/>
  <c r="AO42" i="5"/>
  <c r="AO40" i="5"/>
  <c r="AO39" i="5"/>
  <c r="AO41" i="5"/>
  <c r="AO38" i="5"/>
  <c r="AO37" i="5"/>
  <c r="AO36" i="5"/>
  <c r="AO34" i="5"/>
  <c r="AO35" i="5"/>
  <c r="AO33" i="5"/>
  <c r="AO32" i="5"/>
  <c r="AO31" i="5"/>
  <c r="AO29" i="5"/>
  <c r="AO28" i="5"/>
  <c r="AO30" i="5"/>
  <c r="AO27" i="5"/>
  <c r="AO26" i="5"/>
  <c r="AO25" i="5"/>
  <c r="AO24" i="5"/>
  <c r="AO23" i="5"/>
  <c r="AO22" i="5"/>
  <c r="AO21" i="5"/>
  <c r="AO19" i="5"/>
  <c r="AO20" i="5"/>
  <c r="AO18" i="5"/>
  <c r="AO17" i="5"/>
  <c r="AO13" i="5"/>
  <c r="AO16" i="5"/>
  <c r="AO14" i="5"/>
  <c r="AO15" i="5"/>
  <c r="AO12" i="5"/>
  <c r="AO11" i="5"/>
  <c r="AO9" i="5"/>
  <c r="AO10" i="5"/>
  <c r="AO8" i="5"/>
  <c r="AO7" i="5"/>
  <c r="AO6" i="5"/>
  <c r="AO4" i="5"/>
  <c r="AO5" i="5"/>
  <c r="AO3" i="5"/>
  <c r="AN88" i="5"/>
  <c r="AN78" i="5"/>
  <c r="AN75" i="5"/>
  <c r="AN67" i="5"/>
  <c r="AN64" i="5"/>
  <c r="AN44" i="5"/>
  <c r="AN38" i="5"/>
  <c r="AN32" i="5"/>
  <c r="AN31" i="5"/>
  <c r="AN23" i="5"/>
  <c r="AN18" i="5"/>
  <c r="AN15" i="5"/>
  <c r="Y91" i="5" l="1"/>
  <c r="W91" i="5"/>
  <c r="U91" i="5"/>
  <c r="AN91" i="5" s="1"/>
  <c r="S91" i="5"/>
  <c r="Q91" i="5"/>
  <c r="Y90" i="5"/>
  <c r="W90" i="5"/>
  <c r="U90" i="5"/>
  <c r="AN90" i="5" s="1"/>
  <c r="S90" i="5"/>
  <c r="Q90" i="5"/>
  <c r="Y89" i="5"/>
  <c r="W89" i="5"/>
  <c r="U89" i="5"/>
  <c r="AN89" i="5" s="1"/>
  <c r="S89" i="5"/>
  <c r="Q89" i="5"/>
  <c r="Y87" i="5"/>
  <c r="W87" i="5"/>
  <c r="U87" i="5"/>
  <c r="AN87" i="5" s="1"/>
  <c r="S87" i="5"/>
  <c r="Q87" i="5"/>
  <c r="K2" i="5" l="1"/>
  <c r="K3" i="5"/>
  <c r="K4" i="5"/>
  <c r="K5" i="5"/>
  <c r="K6" i="5"/>
  <c r="K12" i="5"/>
  <c r="K16" i="5"/>
  <c r="K14" i="5"/>
  <c r="K13" i="5"/>
  <c r="K15" i="5"/>
  <c r="K21" i="5"/>
  <c r="K22" i="5"/>
  <c r="K24" i="5"/>
  <c r="K23" i="5"/>
  <c r="K25" i="5"/>
  <c r="K26" i="5"/>
  <c r="K27" i="5"/>
  <c r="K29" i="5"/>
  <c r="K31" i="5"/>
  <c r="K28" i="5"/>
  <c r="K30" i="5"/>
  <c r="K42" i="5"/>
  <c r="K43" i="5"/>
  <c r="K44" i="5"/>
  <c r="K46" i="5"/>
  <c r="K45" i="5"/>
  <c r="K52" i="5"/>
  <c r="K53" i="5"/>
  <c r="K54" i="5"/>
  <c r="K56" i="5"/>
  <c r="K55" i="5"/>
  <c r="K72" i="5"/>
  <c r="K73" i="5"/>
  <c r="K74" i="5"/>
  <c r="K76" i="5"/>
  <c r="K75" i="5"/>
  <c r="K77" i="5"/>
  <c r="K78" i="5"/>
  <c r="K79" i="5"/>
  <c r="K81" i="5"/>
  <c r="K80" i="5"/>
  <c r="K7" i="5"/>
  <c r="K10" i="5"/>
  <c r="K9" i="5"/>
  <c r="K11" i="5"/>
  <c r="K8" i="5"/>
  <c r="K17" i="5"/>
  <c r="K18" i="5"/>
  <c r="K20" i="5"/>
  <c r="K19" i="5"/>
  <c r="K32" i="5"/>
  <c r="K33" i="5"/>
  <c r="K35" i="5"/>
  <c r="K36" i="5"/>
  <c r="K34" i="5"/>
  <c r="K37" i="5"/>
  <c r="K38" i="5"/>
  <c r="K41" i="5"/>
  <c r="K39" i="5"/>
  <c r="K40" i="5"/>
  <c r="K47" i="5"/>
  <c r="K48" i="5"/>
  <c r="K49" i="5"/>
  <c r="K51" i="5"/>
  <c r="K50" i="5"/>
  <c r="K57" i="5"/>
  <c r="K58" i="5"/>
  <c r="K60" i="5"/>
  <c r="K59" i="5"/>
  <c r="K61" i="5"/>
  <c r="K62" i="5"/>
  <c r="K63" i="5"/>
  <c r="K64" i="5"/>
  <c r="K65" i="5"/>
  <c r="K66" i="5"/>
  <c r="K67" i="5"/>
  <c r="K68" i="5"/>
  <c r="K70" i="5"/>
  <c r="K69" i="5"/>
  <c r="K71" i="5"/>
  <c r="K82" i="5"/>
  <c r="K86" i="5"/>
  <c r="K83" i="5"/>
  <c r="K84" i="5"/>
  <c r="K85" i="5"/>
  <c r="K87" i="5"/>
  <c r="K88" i="5"/>
  <c r="K91" i="5"/>
  <c r="K89" i="5"/>
  <c r="K90" i="5"/>
  <c r="Q82" i="5"/>
  <c r="S82" i="5"/>
  <c r="U82" i="5"/>
  <c r="AN82" i="5" s="1"/>
  <c r="W82" i="5"/>
  <c r="Y82" i="5"/>
  <c r="Q86" i="5"/>
  <c r="S86" i="5"/>
  <c r="U86" i="5"/>
  <c r="AN86" i="5" s="1"/>
  <c r="W86" i="5"/>
  <c r="Y86" i="5"/>
  <c r="Q83" i="5"/>
  <c r="S83" i="5"/>
  <c r="U83" i="5"/>
  <c r="AN83" i="5" s="1"/>
  <c r="W83" i="5"/>
  <c r="Y83" i="5"/>
  <c r="Q84" i="5"/>
  <c r="S84" i="5"/>
  <c r="U84" i="5"/>
  <c r="AN84" i="5" s="1"/>
  <c r="W84" i="5"/>
  <c r="Y84" i="5"/>
  <c r="Q85" i="5"/>
  <c r="S85" i="5"/>
  <c r="U85" i="5"/>
  <c r="AN85" i="5" s="1"/>
  <c r="W85" i="5"/>
  <c r="Y85" i="5"/>
  <c r="AC86" i="5" l="1"/>
  <c r="AC84" i="5"/>
  <c r="AC83" i="5"/>
  <c r="AC85" i="5"/>
  <c r="AC82" i="5"/>
  <c r="AC56" i="5"/>
  <c r="AC54" i="5"/>
  <c r="AC55" i="5"/>
  <c r="AC53" i="5"/>
  <c r="AC52" i="5"/>
  <c r="AC89" i="5"/>
  <c r="AC90" i="5"/>
  <c r="AC87" i="5"/>
  <c r="AC91" i="5"/>
  <c r="AC88" i="5"/>
  <c r="AC70" i="5"/>
  <c r="AC71" i="5"/>
  <c r="AC69" i="5"/>
  <c r="AC67" i="5"/>
  <c r="AC68" i="5"/>
  <c r="AC74" i="5"/>
  <c r="AC73" i="5"/>
  <c r="AC76" i="5"/>
  <c r="AC75" i="5"/>
  <c r="AC72" i="5"/>
  <c r="AC29" i="5"/>
  <c r="AC27" i="5"/>
  <c r="AC28" i="5"/>
  <c r="AC30" i="5"/>
  <c r="AC31" i="5"/>
  <c r="AC26" i="5"/>
  <c r="AC25" i="5"/>
  <c r="AC24" i="5"/>
  <c r="AC22" i="5"/>
  <c r="AC23" i="5"/>
  <c r="AC21" i="5"/>
  <c r="AC14" i="5"/>
  <c r="AC13" i="5"/>
  <c r="AC16" i="5"/>
  <c r="AC15" i="5"/>
  <c r="AC12" i="5"/>
  <c r="AC65" i="5"/>
  <c r="AC62" i="5"/>
  <c r="AC63" i="5"/>
  <c r="AC66" i="5"/>
  <c r="AC64" i="5"/>
  <c r="AC39" i="5"/>
  <c r="AC37" i="5"/>
  <c r="AC40" i="5"/>
  <c r="AC41" i="5"/>
  <c r="AC38" i="5"/>
  <c r="AC35" i="5"/>
  <c r="AC36" i="5"/>
  <c r="AC34" i="5"/>
  <c r="AC33" i="5"/>
  <c r="AC32" i="5"/>
  <c r="AC17" i="5"/>
  <c r="AC20" i="5"/>
  <c r="AC19" i="5"/>
  <c r="AC18" i="5"/>
  <c r="AC81" i="5"/>
  <c r="AC79" i="5"/>
  <c r="AC77" i="5"/>
  <c r="AC80" i="5"/>
  <c r="AC78" i="5"/>
  <c r="AC42" i="5"/>
  <c r="AC43" i="5"/>
  <c r="AC45" i="5"/>
  <c r="AC46" i="5"/>
  <c r="AC44" i="5"/>
  <c r="AC59" i="5"/>
  <c r="AC61" i="5"/>
  <c r="AC60" i="5"/>
  <c r="AI86" i="5"/>
  <c r="AE86" i="5"/>
  <c r="AB86" i="5"/>
  <c r="AA86" i="5"/>
  <c r="AI84" i="5"/>
  <c r="AE84" i="5"/>
  <c r="AB84" i="5"/>
  <c r="AA84" i="5"/>
  <c r="AI83" i="5"/>
  <c r="AE83" i="5"/>
  <c r="AB83" i="5"/>
  <c r="AA83" i="5"/>
  <c r="AI85" i="5"/>
  <c r="AE85" i="5"/>
  <c r="AB85" i="5"/>
  <c r="AA85" i="5"/>
  <c r="AI82" i="5"/>
  <c r="AE82" i="5"/>
  <c r="AB82" i="5"/>
  <c r="AA82" i="5"/>
  <c r="AI56" i="5"/>
  <c r="AE56" i="5"/>
  <c r="AB56" i="5"/>
  <c r="AA56" i="5"/>
  <c r="Y56" i="5"/>
  <c r="W56" i="5"/>
  <c r="U56" i="5"/>
  <c r="AN56" i="5" s="1"/>
  <c r="S56" i="5"/>
  <c r="Q56" i="5"/>
  <c r="AI54" i="5"/>
  <c r="AE54" i="5"/>
  <c r="AB54" i="5"/>
  <c r="AA54" i="5"/>
  <c r="Y54" i="5"/>
  <c r="W54" i="5"/>
  <c r="U54" i="5"/>
  <c r="AN54" i="5" s="1"/>
  <c r="S54" i="5"/>
  <c r="Q54" i="5"/>
  <c r="AI55" i="5"/>
  <c r="AE55" i="5"/>
  <c r="AB55" i="5"/>
  <c r="AA55" i="5"/>
  <c r="U55" i="5"/>
  <c r="AN55" i="5" s="1"/>
  <c r="S55" i="5"/>
  <c r="Q55" i="5"/>
  <c r="AI53" i="5"/>
  <c r="AE53" i="5"/>
  <c r="AB53" i="5"/>
  <c r="AA53" i="5"/>
  <c r="Y53" i="5"/>
  <c r="W53" i="5"/>
  <c r="U53" i="5"/>
  <c r="AN53" i="5" s="1"/>
  <c r="S53" i="5"/>
  <c r="Q53" i="5"/>
  <c r="AI52" i="5"/>
  <c r="AE52" i="5"/>
  <c r="AB52" i="5"/>
  <c r="AA52" i="5"/>
  <c r="Y52" i="5"/>
  <c r="W52" i="5"/>
  <c r="U52" i="5"/>
  <c r="AN52" i="5" s="1"/>
  <c r="S52" i="5"/>
  <c r="Q52" i="5"/>
  <c r="AG82" i="5" l="1"/>
  <c r="AG85" i="5"/>
  <c r="AG83" i="5"/>
  <c r="AG84" i="5"/>
  <c r="AG86" i="5"/>
  <c r="AG52" i="5"/>
  <c r="AG53" i="5"/>
  <c r="AG55" i="5"/>
  <c r="AG54" i="5"/>
  <c r="AG56" i="5"/>
  <c r="AI29" i="5"/>
  <c r="AE29" i="5"/>
  <c r="AG29" i="5"/>
  <c r="AB29" i="5"/>
  <c r="AA29" i="5"/>
  <c r="Y29" i="5"/>
  <c r="W29" i="5"/>
  <c r="U29" i="5"/>
  <c r="AN29" i="5" s="1"/>
  <c r="S29" i="5"/>
  <c r="Q29" i="5"/>
  <c r="AI89" i="5" l="1"/>
  <c r="AE89" i="5"/>
  <c r="AB89" i="5"/>
  <c r="AA89" i="5"/>
  <c r="AI81" i="5"/>
  <c r="AE81" i="5"/>
  <c r="AB81" i="5"/>
  <c r="AA81" i="5"/>
  <c r="Y81" i="5"/>
  <c r="W81" i="5"/>
  <c r="U81" i="5"/>
  <c r="AN81" i="5" s="1"/>
  <c r="S81" i="5"/>
  <c r="Q81" i="5"/>
  <c r="AI65" i="5"/>
  <c r="AE65" i="5"/>
  <c r="AB65" i="5"/>
  <c r="AA65" i="5"/>
  <c r="Y65" i="5"/>
  <c r="W65" i="5"/>
  <c r="U65" i="5"/>
  <c r="AN65" i="5" s="1"/>
  <c r="S65" i="5"/>
  <c r="Q65" i="5"/>
  <c r="AI42" i="5"/>
  <c r="AE42" i="5"/>
  <c r="AB42" i="5"/>
  <c r="AA42" i="5"/>
  <c r="Y42" i="5"/>
  <c r="W42" i="5"/>
  <c r="U42" i="5"/>
  <c r="AN42" i="5" s="1"/>
  <c r="S42" i="5"/>
  <c r="Q42" i="5"/>
  <c r="AI39" i="5"/>
  <c r="AE39" i="5"/>
  <c r="AB39" i="5"/>
  <c r="AA39" i="5"/>
  <c r="Y39" i="5"/>
  <c r="W39" i="5"/>
  <c r="U39" i="5"/>
  <c r="AN39" i="5" s="1"/>
  <c r="S39" i="5"/>
  <c r="Q39" i="5"/>
  <c r="AI35" i="5"/>
  <c r="AE35" i="5"/>
  <c r="AB35" i="5"/>
  <c r="AA35" i="5"/>
  <c r="Y35" i="5"/>
  <c r="W35" i="5"/>
  <c r="U35" i="5"/>
  <c r="AN35" i="5" s="1"/>
  <c r="S35" i="5"/>
  <c r="Q35" i="5"/>
  <c r="AI59" i="5"/>
  <c r="AE59" i="5"/>
  <c r="AB59" i="5"/>
  <c r="AA59" i="5"/>
  <c r="Y59" i="5"/>
  <c r="W59" i="5"/>
  <c r="U59" i="5"/>
  <c r="AN59" i="5" s="1"/>
  <c r="S59" i="5"/>
  <c r="Q59" i="5"/>
  <c r="AI50" i="5"/>
  <c r="AE50" i="5"/>
  <c r="AC50" i="5"/>
  <c r="AB50" i="5"/>
  <c r="AA50" i="5"/>
  <c r="Y50" i="5"/>
  <c r="W50" i="5"/>
  <c r="U50" i="5"/>
  <c r="AN50" i="5" s="1"/>
  <c r="S50" i="5"/>
  <c r="Q50" i="5"/>
  <c r="AI11" i="5"/>
  <c r="AE11" i="5"/>
  <c r="AC11" i="5"/>
  <c r="AB11" i="5"/>
  <c r="AA11" i="5"/>
  <c r="Y11" i="5"/>
  <c r="W11" i="5"/>
  <c r="U11" i="5"/>
  <c r="AN11" i="5" s="1"/>
  <c r="S11" i="5"/>
  <c r="Q11" i="5"/>
  <c r="AI4" i="5"/>
  <c r="AE4" i="5"/>
  <c r="AC4" i="5"/>
  <c r="AB4" i="5"/>
  <c r="AA4" i="5"/>
  <c r="Y4" i="5"/>
  <c r="W4" i="5"/>
  <c r="U4" i="5"/>
  <c r="AN4" i="5" s="1"/>
  <c r="S4" i="5"/>
  <c r="Q4" i="5"/>
  <c r="AI74" i="5"/>
  <c r="AE74" i="5"/>
  <c r="AB74" i="5"/>
  <c r="AA74" i="5"/>
  <c r="Y74" i="5"/>
  <c r="W74" i="5"/>
  <c r="U74" i="5"/>
  <c r="AN74" i="5" s="1"/>
  <c r="S74" i="5"/>
  <c r="Q74" i="5"/>
  <c r="AI70" i="5"/>
  <c r="AE70" i="5"/>
  <c r="AB70" i="5"/>
  <c r="AA70" i="5"/>
  <c r="Y70" i="5"/>
  <c r="W70" i="5"/>
  <c r="U70" i="5"/>
  <c r="AN70" i="5" s="1"/>
  <c r="S70" i="5"/>
  <c r="Q70" i="5"/>
  <c r="AI27" i="5"/>
  <c r="AE27" i="5"/>
  <c r="AB27" i="5"/>
  <c r="AA27" i="5"/>
  <c r="Y27" i="5"/>
  <c r="W27" i="5"/>
  <c r="U27" i="5"/>
  <c r="AN27" i="5" s="1"/>
  <c r="S27" i="5"/>
  <c r="Q27" i="5"/>
  <c r="AI25" i="5"/>
  <c r="AE25" i="5"/>
  <c r="AB25" i="5"/>
  <c r="AA25" i="5"/>
  <c r="Y25" i="5"/>
  <c r="W25" i="5"/>
  <c r="U25" i="5"/>
  <c r="AN25" i="5" s="1"/>
  <c r="S25" i="5"/>
  <c r="Q25" i="5"/>
  <c r="AI14" i="5"/>
  <c r="AE14" i="5"/>
  <c r="AB14" i="5"/>
  <c r="AA14" i="5"/>
  <c r="Y14" i="5"/>
  <c r="W14" i="5"/>
  <c r="U14" i="5"/>
  <c r="AN14" i="5" s="1"/>
  <c r="S14" i="5"/>
  <c r="Q14" i="5"/>
  <c r="AI90" i="5"/>
  <c r="AE90" i="5"/>
  <c r="AB90" i="5"/>
  <c r="AA90" i="5"/>
  <c r="AI79" i="5"/>
  <c r="AE79" i="5"/>
  <c r="AB79" i="5"/>
  <c r="AA79" i="5"/>
  <c r="Y79" i="5"/>
  <c r="W79" i="5"/>
  <c r="U79" i="5"/>
  <c r="AN79" i="5" s="1"/>
  <c r="S79" i="5"/>
  <c r="Q79" i="5"/>
  <c r="AI62" i="5"/>
  <c r="AE62" i="5"/>
  <c r="AB62" i="5"/>
  <c r="AA62" i="5"/>
  <c r="Y62" i="5"/>
  <c r="W62" i="5"/>
  <c r="U62" i="5"/>
  <c r="AN62" i="5" s="1"/>
  <c r="S62" i="5"/>
  <c r="Q62" i="5"/>
  <c r="AI43" i="5"/>
  <c r="AE43" i="5"/>
  <c r="AB43" i="5"/>
  <c r="AA43" i="5"/>
  <c r="Y43" i="5"/>
  <c r="W43" i="5"/>
  <c r="U43" i="5"/>
  <c r="AN43" i="5" s="1"/>
  <c r="S43" i="5"/>
  <c r="Q43" i="5"/>
  <c r="AI37" i="5"/>
  <c r="AE37" i="5"/>
  <c r="AB37" i="5"/>
  <c r="AA37" i="5"/>
  <c r="Y37" i="5"/>
  <c r="W37" i="5"/>
  <c r="U37" i="5"/>
  <c r="AN37" i="5" s="1"/>
  <c r="S37" i="5"/>
  <c r="Q37" i="5"/>
  <c r="AI36" i="5"/>
  <c r="AE36" i="5"/>
  <c r="AB36" i="5"/>
  <c r="AA36" i="5"/>
  <c r="Y36" i="5"/>
  <c r="W36" i="5"/>
  <c r="U36" i="5"/>
  <c r="AN36" i="5" s="1"/>
  <c r="S36" i="5"/>
  <c r="Q36" i="5"/>
  <c r="AI17" i="5"/>
  <c r="AE17" i="5"/>
  <c r="AB17" i="5"/>
  <c r="AA17" i="5"/>
  <c r="Y17" i="5"/>
  <c r="W17" i="5"/>
  <c r="U17" i="5"/>
  <c r="AN17" i="5" s="1"/>
  <c r="S17" i="5"/>
  <c r="Q17" i="5"/>
  <c r="AI61" i="5"/>
  <c r="AE61" i="5"/>
  <c r="AB61" i="5"/>
  <c r="AA61" i="5"/>
  <c r="Y61" i="5"/>
  <c r="W61" i="5"/>
  <c r="U61" i="5"/>
  <c r="AN61" i="5" s="1"/>
  <c r="S61" i="5"/>
  <c r="Q61" i="5"/>
  <c r="AI49" i="5"/>
  <c r="AE49" i="5"/>
  <c r="AC49" i="5"/>
  <c r="AB49" i="5"/>
  <c r="AA49" i="5"/>
  <c r="Y49" i="5"/>
  <c r="W49" i="5"/>
  <c r="U49" i="5"/>
  <c r="AN49" i="5" s="1"/>
  <c r="S49" i="5"/>
  <c r="Q49" i="5"/>
  <c r="AI9" i="5"/>
  <c r="AE9" i="5"/>
  <c r="AC9" i="5"/>
  <c r="AB9" i="5"/>
  <c r="AA9" i="5"/>
  <c r="Y9" i="5"/>
  <c r="W9" i="5"/>
  <c r="U9" i="5"/>
  <c r="AN9" i="5" s="1"/>
  <c r="S9" i="5"/>
  <c r="Q9" i="5"/>
  <c r="AI5" i="5"/>
  <c r="AE5" i="5"/>
  <c r="AC5" i="5"/>
  <c r="AB5" i="5"/>
  <c r="AA5" i="5"/>
  <c r="Y5" i="5"/>
  <c r="W5" i="5"/>
  <c r="U5" i="5"/>
  <c r="AN5" i="5" s="1"/>
  <c r="S5" i="5"/>
  <c r="Q5" i="5"/>
  <c r="AI73" i="5"/>
  <c r="AE73" i="5"/>
  <c r="AB73" i="5"/>
  <c r="AA73" i="5"/>
  <c r="Y73" i="5"/>
  <c r="W73" i="5"/>
  <c r="U73" i="5"/>
  <c r="AN73" i="5" s="1"/>
  <c r="S73" i="5"/>
  <c r="Q73" i="5"/>
  <c r="AI71" i="5"/>
  <c r="AE71" i="5"/>
  <c r="AB71" i="5"/>
  <c r="AA71" i="5"/>
  <c r="Y71" i="5"/>
  <c r="W71" i="5"/>
  <c r="U71" i="5"/>
  <c r="AN71" i="5" s="1"/>
  <c r="S71" i="5"/>
  <c r="Q71" i="5"/>
  <c r="AI28" i="5"/>
  <c r="AE28" i="5"/>
  <c r="AB28" i="5"/>
  <c r="AA28" i="5"/>
  <c r="Y28" i="5"/>
  <c r="W28" i="5"/>
  <c r="U28" i="5"/>
  <c r="AN28" i="5" s="1"/>
  <c r="S28" i="5"/>
  <c r="Q28" i="5"/>
  <c r="AI24" i="5"/>
  <c r="AE24" i="5"/>
  <c r="AB24" i="5"/>
  <c r="AA24" i="5"/>
  <c r="Y24" i="5"/>
  <c r="W24" i="5"/>
  <c r="U24" i="5"/>
  <c r="AN24" i="5" s="1"/>
  <c r="S24" i="5"/>
  <c r="Q24" i="5"/>
  <c r="AI13" i="5"/>
  <c r="AE13" i="5"/>
  <c r="AB13" i="5"/>
  <c r="AA13" i="5"/>
  <c r="Y13" i="5"/>
  <c r="W13" i="5"/>
  <c r="U13" i="5"/>
  <c r="AN13" i="5" s="1"/>
  <c r="S13" i="5"/>
  <c r="Q13" i="5"/>
  <c r="AI87" i="5"/>
  <c r="AE87" i="5"/>
  <c r="AB87" i="5"/>
  <c r="AA87" i="5"/>
  <c r="AI77" i="5"/>
  <c r="AE77" i="5"/>
  <c r="AB77" i="5"/>
  <c r="AA77" i="5"/>
  <c r="Y77" i="5"/>
  <c r="W77" i="5"/>
  <c r="U77" i="5"/>
  <c r="AN77" i="5" s="1"/>
  <c r="S77" i="5"/>
  <c r="Q77" i="5"/>
  <c r="AI63" i="5"/>
  <c r="AE63" i="5"/>
  <c r="AB63" i="5"/>
  <c r="AA63" i="5"/>
  <c r="Y63" i="5"/>
  <c r="W63" i="5"/>
  <c r="U63" i="5"/>
  <c r="AN63" i="5" s="1"/>
  <c r="S63" i="5"/>
  <c r="Q63" i="5"/>
  <c r="AI45" i="5"/>
  <c r="AE45" i="5"/>
  <c r="AB45" i="5"/>
  <c r="AA45" i="5"/>
  <c r="Y45" i="5"/>
  <c r="W45" i="5"/>
  <c r="U45" i="5"/>
  <c r="AN45" i="5" s="1"/>
  <c r="S45" i="5"/>
  <c r="Q45" i="5"/>
  <c r="AI40" i="5"/>
  <c r="AE40" i="5"/>
  <c r="AB40" i="5"/>
  <c r="AA40" i="5"/>
  <c r="Y40" i="5"/>
  <c r="W40" i="5"/>
  <c r="U40" i="5"/>
  <c r="AN40" i="5" s="1"/>
  <c r="S40" i="5"/>
  <c r="Q40" i="5"/>
  <c r="AI34" i="5"/>
  <c r="AE34" i="5"/>
  <c r="AB34" i="5"/>
  <c r="AA34" i="5"/>
  <c r="Y34" i="5"/>
  <c r="W34" i="5"/>
  <c r="U34" i="5"/>
  <c r="AN34" i="5" s="1"/>
  <c r="S34" i="5"/>
  <c r="Q34" i="5"/>
  <c r="AI20" i="5"/>
  <c r="AE20" i="5"/>
  <c r="AB20" i="5"/>
  <c r="AA20" i="5"/>
  <c r="Y20" i="5"/>
  <c r="W20" i="5"/>
  <c r="U20" i="5"/>
  <c r="AN20" i="5" s="1"/>
  <c r="S20" i="5"/>
  <c r="Q20" i="5"/>
  <c r="AI60" i="5"/>
  <c r="AE60" i="5"/>
  <c r="AB60" i="5"/>
  <c r="AA60" i="5"/>
  <c r="Y60" i="5"/>
  <c r="W60" i="5"/>
  <c r="U60" i="5"/>
  <c r="AN60" i="5" s="1"/>
  <c r="S60" i="5"/>
  <c r="Q60" i="5"/>
  <c r="AG50" i="5" l="1"/>
  <c r="AG81" i="5"/>
  <c r="AG14" i="5"/>
  <c r="AG27" i="5"/>
  <c r="AG11" i="5"/>
  <c r="AG59" i="5"/>
  <c r="AG35" i="5"/>
  <c r="AG4" i="5"/>
  <c r="AG65" i="5"/>
  <c r="AG74" i="5"/>
  <c r="AG42" i="5"/>
  <c r="AG70" i="5"/>
  <c r="AG39" i="5"/>
  <c r="AG60" i="5"/>
  <c r="AG20" i="5"/>
  <c r="AG34" i="5"/>
  <c r="AG40" i="5"/>
  <c r="AG45" i="5"/>
  <c r="AG63" i="5"/>
  <c r="AG77" i="5"/>
  <c r="AG87" i="5"/>
  <c r="AG13" i="5"/>
  <c r="AG24" i="5"/>
  <c r="AG28" i="5"/>
  <c r="AG71" i="5"/>
  <c r="AG73" i="5"/>
  <c r="AG5" i="5"/>
  <c r="AG9" i="5"/>
  <c r="AG49" i="5"/>
  <c r="AG61" i="5"/>
  <c r="AG17" i="5"/>
  <c r="AG36" i="5"/>
  <c r="AG37" i="5"/>
  <c r="AG43" i="5"/>
  <c r="AG62" i="5"/>
  <c r="AG79" i="5"/>
  <c r="AG90" i="5"/>
  <c r="AG25" i="5"/>
  <c r="AG89" i="5"/>
  <c r="AI51" i="5"/>
  <c r="AE51" i="5"/>
  <c r="AC51" i="5"/>
  <c r="AB51" i="5"/>
  <c r="AA51" i="5"/>
  <c r="Y51" i="5"/>
  <c r="W51" i="5"/>
  <c r="U51" i="5"/>
  <c r="AN51" i="5" s="1"/>
  <c r="S51" i="5"/>
  <c r="Q51" i="5"/>
  <c r="AI10" i="5"/>
  <c r="AE10" i="5"/>
  <c r="AC10" i="5"/>
  <c r="AB10" i="5"/>
  <c r="AA10" i="5"/>
  <c r="Y10" i="5"/>
  <c r="W10" i="5"/>
  <c r="U10" i="5"/>
  <c r="AN10" i="5" s="1"/>
  <c r="S10" i="5"/>
  <c r="Q10" i="5"/>
  <c r="AI6" i="5"/>
  <c r="AE6" i="5"/>
  <c r="AC6" i="5"/>
  <c r="AB6" i="5"/>
  <c r="AA6" i="5"/>
  <c r="Y6" i="5"/>
  <c r="W6" i="5"/>
  <c r="U6" i="5"/>
  <c r="AN6" i="5" s="1"/>
  <c r="S6" i="5"/>
  <c r="Q6" i="5"/>
  <c r="AI76" i="5"/>
  <c r="AE76" i="5"/>
  <c r="AG76" i="5"/>
  <c r="AB76" i="5"/>
  <c r="AA76" i="5"/>
  <c r="Y76" i="5"/>
  <c r="W76" i="5"/>
  <c r="U76" i="5"/>
  <c r="AN76" i="5" s="1"/>
  <c r="S76" i="5"/>
  <c r="Q76" i="5"/>
  <c r="AI69" i="5"/>
  <c r="AE69" i="5"/>
  <c r="AG69" i="5"/>
  <c r="AB69" i="5"/>
  <c r="AA69" i="5"/>
  <c r="Y69" i="5"/>
  <c r="W69" i="5"/>
  <c r="U69" i="5"/>
  <c r="AN69" i="5" s="1"/>
  <c r="S69" i="5"/>
  <c r="Q69" i="5"/>
  <c r="AI30" i="5"/>
  <c r="AE30" i="5"/>
  <c r="AB30" i="5"/>
  <c r="AA30" i="5"/>
  <c r="Y30" i="5"/>
  <c r="W30" i="5"/>
  <c r="U30" i="5"/>
  <c r="AN30" i="5" s="1"/>
  <c r="S30" i="5"/>
  <c r="Q30" i="5"/>
  <c r="AI22" i="5"/>
  <c r="AE22" i="5"/>
  <c r="AB22" i="5"/>
  <c r="AA22" i="5"/>
  <c r="Y22" i="5"/>
  <c r="W22" i="5"/>
  <c r="U22" i="5"/>
  <c r="AN22" i="5" s="1"/>
  <c r="S22" i="5"/>
  <c r="Q22" i="5"/>
  <c r="AI16" i="5"/>
  <c r="AE16" i="5"/>
  <c r="AB16" i="5"/>
  <c r="AA16" i="5"/>
  <c r="Y16" i="5"/>
  <c r="W16" i="5"/>
  <c r="U16" i="5"/>
  <c r="AN16" i="5" s="1"/>
  <c r="S16" i="5"/>
  <c r="Q16" i="5"/>
  <c r="AI91" i="5"/>
  <c r="AE91" i="5"/>
  <c r="AB91" i="5"/>
  <c r="AA91" i="5"/>
  <c r="AI80" i="5"/>
  <c r="AE80" i="5"/>
  <c r="AB80" i="5"/>
  <c r="AA80" i="5"/>
  <c r="Y80" i="5"/>
  <c r="W80" i="5"/>
  <c r="U80" i="5"/>
  <c r="AN80" i="5" s="1"/>
  <c r="S80" i="5"/>
  <c r="Q80" i="5"/>
  <c r="AI66" i="5"/>
  <c r="AE66" i="5"/>
  <c r="AG66" i="5"/>
  <c r="AB66" i="5"/>
  <c r="AA66" i="5"/>
  <c r="Y66" i="5"/>
  <c r="W66" i="5"/>
  <c r="U66" i="5"/>
  <c r="AN66" i="5" s="1"/>
  <c r="S66" i="5"/>
  <c r="Q66" i="5"/>
  <c r="AI46" i="5"/>
  <c r="AE46" i="5"/>
  <c r="AG46" i="5"/>
  <c r="AB46" i="5"/>
  <c r="AA46" i="5"/>
  <c r="Y46" i="5"/>
  <c r="W46" i="5"/>
  <c r="U46" i="5"/>
  <c r="AN46" i="5" s="1"/>
  <c r="S46" i="5"/>
  <c r="Q46" i="5"/>
  <c r="AI41" i="5"/>
  <c r="AE41" i="5"/>
  <c r="AB41" i="5"/>
  <c r="AA41" i="5"/>
  <c r="Y41" i="5"/>
  <c r="W41" i="5"/>
  <c r="U41" i="5"/>
  <c r="AN41" i="5" s="1"/>
  <c r="S41" i="5"/>
  <c r="Q41" i="5"/>
  <c r="AI33" i="5"/>
  <c r="AE33" i="5"/>
  <c r="AB33" i="5"/>
  <c r="AA33" i="5"/>
  <c r="Y33" i="5"/>
  <c r="W33" i="5"/>
  <c r="U33" i="5"/>
  <c r="AN33" i="5" s="1"/>
  <c r="S33" i="5"/>
  <c r="Q33" i="5"/>
  <c r="AI19" i="5"/>
  <c r="AE19" i="5"/>
  <c r="AB19" i="5"/>
  <c r="AA19" i="5"/>
  <c r="Y19" i="5"/>
  <c r="W19" i="5"/>
  <c r="U19" i="5"/>
  <c r="AN19" i="5" s="1"/>
  <c r="S19" i="5"/>
  <c r="Q19" i="5"/>
  <c r="AI57" i="5"/>
  <c r="AE57" i="5"/>
  <c r="AC57" i="5"/>
  <c r="AB57" i="5"/>
  <c r="AA57" i="5"/>
  <c r="Y57" i="5"/>
  <c r="W57" i="5"/>
  <c r="U57" i="5"/>
  <c r="AN57" i="5" s="1"/>
  <c r="S57" i="5"/>
  <c r="Q57" i="5"/>
  <c r="AI47" i="5"/>
  <c r="AE47" i="5"/>
  <c r="AC47" i="5"/>
  <c r="AB47" i="5"/>
  <c r="AA47" i="5"/>
  <c r="Y47" i="5"/>
  <c r="W47" i="5"/>
  <c r="U47" i="5"/>
  <c r="AN47" i="5" s="1"/>
  <c r="S47" i="5"/>
  <c r="Q47" i="5"/>
  <c r="AI8" i="5"/>
  <c r="AE8" i="5"/>
  <c r="AC8" i="5"/>
  <c r="AB8" i="5"/>
  <c r="AA8" i="5"/>
  <c r="Y8" i="5"/>
  <c r="W8" i="5"/>
  <c r="U8" i="5"/>
  <c r="AN8" i="5" s="1"/>
  <c r="S8" i="5"/>
  <c r="Q8" i="5"/>
  <c r="AI2" i="5"/>
  <c r="AE2" i="5"/>
  <c r="AC2" i="5"/>
  <c r="AK2" i="5" s="1"/>
  <c r="AM2" i="5" s="1"/>
  <c r="AB2" i="5"/>
  <c r="AA2" i="5"/>
  <c r="Y2" i="5"/>
  <c r="W2" i="5"/>
  <c r="U2" i="5"/>
  <c r="AN2" i="5" s="1"/>
  <c r="S2" i="5"/>
  <c r="Q2" i="5"/>
  <c r="AB75" i="5"/>
  <c r="AB67" i="5"/>
  <c r="AB31" i="5"/>
  <c r="AB23" i="5"/>
  <c r="AB15" i="5"/>
  <c r="AB88" i="5"/>
  <c r="AB78" i="5"/>
  <c r="AB64" i="5"/>
  <c r="AB44" i="5"/>
  <c r="AB38" i="5"/>
  <c r="AB32" i="5"/>
  <c r="AB18" i="5"/>
  <c r="AI58" i="5"/>
  <c r="AE58" i="5"/>
  <c r="AC58" i="5"/>
  <c r="AB58" i="5"/>
  <c r="AA58" i="5"/>
  <c r="Y58" i="5"/>
  <c r="W58" i="5"/>
  <c r="U58" i="5"/>
  <c r="AN58" i="5" s="1"/>
  <c r="S58" i="5"/>
  <c r="Q58" i="5"/>
  <c r="AI48" i="5"/>
  <c r="AE48" i="5"/>
  <c r="AC48" i="5"/>
  <c r="AB48" i="5"/>
  <c r="AA48" i="5"/>
  <c r="Y48" i="5"/>
  <c r="W48" i="5"/>
  <c r="U48" i="5"/>
  <c r="AN48" i="5" s="1"/>
  <c r="S48" i="5"/>
  <c r="Q48" i="5"/>
  <c r="AI7" i="5"/>
  <c r="AE7" i="5"/>
  <c r="AC7" i="5"/>
  <c r="AB7" i="5"/>
  <c r="AA7" i="5"/>
  <c r="Y7" i="5"/>
  <c r="W7" i="5"/>
  <c r="U7" i="5"/>
  <c r="AN7" i="5" s="1"/>
  <c r="S7" i="5"/>
  <c r="Q7" i="5"/>
  <c r="AI3" i="5"/>
  <c r="AE3" i="5"/>
  <c r="AC3" i="5"/>
  <c r="AB3" i="5"/>
  <c r="AA3" i="5"/>
  <c r="Y3" i="5"/>
  <c r="W3" i="5"/>
  <c r="U3" i="5"/>
  <c r="AN3" i="5" s="1"/>
  <c r="S3" i="5"/>
  <c r="Q3" i="5"/>
  <c r="AI72" i="5"/>
  <c r="AE72" i="5"/>
  <c r="AG72" i="5"/>
  <c r="AB72" i="5"/>
  <c r="AA72" i="5"/>
  <c r="Y72" i="5"/>
  <c r="W72" i="5"/>
  <c r="U72" i="5"/>
  <c r="AN72" i="5" s="1"/>
  <c r="S72" i="5"/>
  <c r="Q72" i="5"/>
  <c r="AI68" i="5"/>
  <c r="AE68" i="5"/>
  <c r="AG68" i="5"/>
  <c r="AB68" i="5"/>
  <c r="AA68" i="5"/>
  <c r="Y68" i="5"/>
  <c r="W68" i="5"/>
  <c r="U68" i="5"/>
  <c r="AN68" i="5" s="1"/>
  <c r="S68" i="5"/>
  <c r="Q68" i="5"/>
  <c r="AI26" i="5"/>
  <c r="AE26" i="5"/>
  <c r="AB26" i="5"/>
  <c r="AA26" i="5"/>
  <c r="Y26" i="5"/>
  <c r="W26" i="5"/>
  <c r="U26" i="5"/>
  <c r="AN26" i="5" s="1"/>
  <c r="S26" i="5"/>
  <c r="Q26" i="5"/>
  <c r="AI21" i="5"/>
  <c r="AE21" i="5"/>
  <c r="AB21" i="5"/>
  <c r="AA21" i="5"/>
  <c r="Y21" i="5"/>
  <c r="W21" i="5"/>
  <c r="U21" i="5"/>
  <c r="AN21" i="5" s="1"/>
  <c r="S21" i="5"/>
  <c r="Q21" i="5"/>
  <c r="AI12" i="5"/>
  <c r="AE12" i="5"/>
  <c r="AB12" i="5"/>
  <c r="AA12" i="5"/>
  <c r="Y12" i="5"/>
  <c r="W12" i="5"/>
  <c r="U12" i="5"/>
  <c r="AN12" i="5" s="1"/>
  <c r="S12" i="5"/>
  <c r="Q12" i="5"/>
  <c r="AG57" i="5" l="1"/>
  <c r="AG12" i="5"/>
  <c r="AG30" i="5"/>
  <c r="AG41" i="5"/>
  <c r="AG16" i="5"/>
  <c r="AL2" i="5"/>
  <c r="AG26" i="5"/>
  <c r="AG6" i="5"/>
  <c r="AG3" i="5"/>
  <c r="AG58" i="5"/>
  <c r="AG33" i="5"/>
  <c r="AG2" i="5"/>
  <c r="AG7" i="5"/>
  <c r="AG8" i="5"/>
  <c r="AG80" i="5"/>
  <c r="AG10" i="5"/>
  <c r="AG48" i="5"/>
  <c r="AG47" i="5"/>
  <c r="AG91" i="5"/>
  <c r="AG51" i="5"/>
  <c r="AG21" i="5"/>
  <c r="AG19" i="5"/>
  <c r="AG22" i="5"/>
  <c r="E10" i="3" l="1"/>
  <c r="E9" i="3"/>
  <c r="E8" i="3"/>
  <c r="E7" i="3"/>
  <c r="E6" i="3"/>
  <c r="E5" i="3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  <c r="K8" i="1"/>
  <c r="J8" i="1"/>
  <c r="I8" i="1"/>
  <c r="H8" i="1"/>
  <c r="K7" i="1"/>
  <c r="J7" i="1"/>
  <c r="I7" i="1"/>
  <c r="H7" i="1"/>
  <c r="K6" i="1"/>
  <c r="J6" i="1"/>
  <c r="I6" i="1"/>
  <c r="H6" i="1"/>
  <c r="K5" i="1"/>
  <c r="J5" i="1"/>
  <c r="I5" i="1"/>
  <c r="H5" i="1"/>
  <c r="K4" i="1"/>
  <c r="J4" i="1"/>
  <c r="I4" i="1"/>
  <c r="H4" i="1"/>
  <c r="K3" i="1"/>
  <c r="J3" i="1"/>
  <c r="I3" i="1"/>
  <c r="H3" i="1"/>
  <c r="T8" i="1"/>
  <c r="S8" i="1"/>
  <c r="R8" i="1"/>
  <c r="Q8" i="1"/>
  <c r="P8" i="1"/>
  <c r="T7" i="1"/>
  <c r="S7" i="1"/>
  <c r="R7" i="1"/>
  <c r="Q7" i="1"/>
  <c r="P7" i="1"/>
  <c r="T6" i="1"/>
  <c r="S6" i="1"/>
  <c r="R6" i="1"/>
  <c r="Q6" i="1"/>
  <c r="P6" i="1"/>
  <c r="T5" i="1"/>
  <c r="S5" i="1"/>
  <c r="R5" i="1"/>
  <c r="Q5" i="1"/>
  <c r="P5" i="1"/>
  <c r="T4" i="1"/>
  <c r="S4" i="1"/>
  <c r="R4" i="1"/>
  <c r="Q4" i="1"/>
  <c r="P4" i="1"/>
  <c r="T3" i="1"/>
  <c r="S3" i="1"/>
  <c r="R3" i="1"/>
  <c r="Q3" i="1"/>
  <c r="P3" i="1"/>
  <c r="E11" i="3" l="1"/>
  <c r="E7" i="1"/>
  <c r="B9" i="3" s="1"/>
  <c r="E8" i="1"/>
  <c r="B10" i="3" s="1"/>
  <c r="L5" i="1"/>
  <c r="M5" i="1" s="1"/>
  <c r="C7" i="3" s="1"/>
  <c r="E6" i="1"/>
  <c r="B8" i="3" s="1"/>
  <c r="E4" i="1"/>
  <c r="B6" i="3" s="1"/>
  <c r="E5" i="1"/>
  <c r="B7" i="3" s="1"/>
  <c r="E3" i="1"/>
  <c r="B5" i="3" s="1"/>
  <c r="L3" i="1"/>
  <c r="M3" i="1" s="1"/>
  <c r="C5" i="3" s="1"/>
  <c r="L7" i="1"/>
  <c r="M7" i="1" s="1"/>
  <c r="C9" i="3" s="1"/>
  <c r="L6" i="1"/>
  <c r="M6" i="1" s="1"/>
  <c r="C8" i="3" s="1"/>
  <c r="L4" i="1"/>
  <c r="M4" i="1" s="1"/>
  <c r="C6" i="3" s="1"/>
  <c r="L8" i="1"/>
  <c r="M8" i="1" s="1"/>
  <c r="C10" i="3" s="1"/>
  <c r="U5" i="1"/>
  <c r="V5" i="1" s="1"/>
  <c r="D7" i="3" s="1"/>
  <c r="U8" i="1"/>
  <c r="V8" i="1" s="1"/>
  <c r="D10" i="3" s="1"/>
  <c r="U4" i="1"/>
  <c r="V4" i="1" s="1"/>
  <c r="D6" i="3" s="1"/>
  <c r="U7" i="1"/>
  <c r="V7" i="1" s="1"/>
  <c r="D9" i="3" s="1"/>
  <c r="U3" i="1"/>
  <c r="V3" i="1" s="1"/>
  <c r="D5" i="3" s="1"/>
  <c r="U6" i="1"/>
  <c r="V6" i="1" s="1"/>
  <c r="D8" i="3" s="1"/>
  <c r="F6" i="3" l="1"/>
  <c r="F10" i="3"/>
  <c r="F9" i="3"/>
  <c r="F7" i="3"/>
  <c r="F8" i="3"/>
  <c r="D11" i="3"/>
  <c r="B11" i="3"/>
  <c r="F5" i="3"/>
  <c r="C11" i="3"/>
  <c r="J37" i="3" l="1"/>
  <c r="J36" i="3"/>
  <c r="J35" i="3"/>
  <c r="J34" i="3"/>
  <c r="J33" i="3"/>
  <c r="J32" i="3"/>
  <c r="J31" i="3"/>
  <c r="J26" i="3"/>
  <c r="J27" i="3"/>
  <c r="J30" i="3"/>
  <c r="J28" i="3"/>
  <c r="J29" i="3"/>
  <c r="J25" i="3"/>
  <c r="J23" i="3"/>
  <c r="J24" i="3"/>
  <c r="J21" i="3"/>
  <c r="J22" i="3"/>
  <c r="J19" i="3"/>
  <c r="J20" i="3"/>
  <c r="J17" i="3"/>
  <c r="J18" i="3"/>
  <c r="J15" i="3"/>
  <c r="J16" i="3"/>
  <c r="J10" i="3"/>
  <c r="J14" i="3"/>
  <c r="J8" i="3"/>
  <c r="J11" i="3"/>
  <c r="J13" i="3"/>
  <c r="J4" i="3"/>
  <c r="J2" i="3"/>
  <c r="J5" i="3"/>
  <c r="J7" i="3"/>
  <c r="J3" i="3"/>
  <c r="J9" i="3"/>
  <c r="J6" i="3"/>
  <c r="F11" i="3"/>
  <c r="J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B1" authorId="0" shapeId="0" xr:uid="{58223975-CB78-4C8D-A345-397C588EAC24}">
      <text>
        <r>
          <rPr>
            <sz val="12"/>
            <color indexed="81"/>
            <rFont val="Times New Roman"/>
            <family val="1"/>
          </rPr>
          <t>P = Prototype, not owned in quantity</t>
        </r>
      </text>
    </comment>
    <comment ref="G1" authorId="0" shapeId="0" xr:uid="{B48AFBAA-D1A8-4AF4-A77D-9F2C4638648F}">
      <text>
        <r>
          <rPr>
            <sz val="12"/>
            <color indexed="81"/>
            <rFont val="Times New Roman"/>
            <family val="1"/>
          </rPr>
          <t>Anti-Accident System</t>
        </r>
      </text>
    </comment>
    <comment ref="H1" authorId="0" shapeId="0" xr:uid="{D94984DF-8120-4A84-BE12-D7AAE109C313}">
      <text>
        <r>
          <rPr>
            <sz val="12"/>
            <color indexed="81"/>
            <rFont val="Times New Roman"/>
            <family val="1"/>
          </rPr>
          <t>Autocomp: Driver</t>
        </r>
      </text>
    </comment>
    <comment ref="I1" authorId="0" shapeId="0" xr:uid="{92324DDB-AEF6-42E2-8AAC-A61CD598FEEF}">
      <text>
        <r>
          <rPr>
            <sz val="12"/>
            <color indexed="81"/>
            <rFont val="Times New Roman"/>
            <family val="1"/>
          </rPr>
          <t>Autocomp: Gunner</t>
        </r>
      </text>
    </comment>
    <comment ref="J1" authorId="0" shapeId="0" xr:uid="{7A27FB00-DCCF-4A89-AAC5-5BA838679F53}">
      <text>
        <r>
          <rPr>
            <sz val="12"/>
            <color indexed="81"/>
            <rFont val="Times New Roman"/>
            <family val="1"/>
          </rPr>
          <t>Remote Shutdown System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K1" authorId="0" shapeId="0" xr:uid="{E1137F7A-F1ED-44DB-AA72-1AAC2552FA8A}">
      <text>
        <r>
          <rPr>
            <sz val="12"/>
            <color indexed="81"/>
            <rFont val="Times New Roman"/>
            <family val="1"/>
          </rPr>
          <t>This reflects a 10th-level cap.</t>
        </r>
      </text>
    </comment>
  </commentList>
</comments>
</file>

<file path=xl/sharedStrings.xml><?xml version="1.0" encoding="utf-8"?>
<sst xmlns="http://schemas.openxmlformats.org/spreadsheetml/2006/main" count="4322" uniqueCount="1396">
  <si>
    <t>d6</t>
  </si>
  <si>
    <t>4d6</t>
  </si>
  <si>
    <t>4d6-low</t>
  </si>
  <si>
    <t>Rolls</t>
  </si>
  <si>
    <t>Int</t>
  </si>
  <si>
    <t>Wis</t>
  </si>
  <si>
    <t>Cha</t>
  </si>
  <si>
    <t>Str</t>
  </si>
  <si>
    <t>Dex</t>
  </si>
  <si>
    <t>Con</t>
  </si>
  <si>
    <t>5d6</t>
  </si>
  <si>
    <r>
      <t>5d6-low</t>
    </r>
    <r>
      <rPr>
        <b/>
        <vertAlign val="subscript"/>
        <sz val="12"/>
        <color theme="1"/>
        <rFont val="Times New Roman"/>
        <family val="1"/>
      </rPr>
      <t>2</t>
    </r>
  </si>
  <si>
    <t>3d6</t>
  </si>
  <si>
    <t>Heroic (Best 3 of 5 rolls)</t>
  </si>
  <si>
    <t>Augmented (Best 3 of 4 rolls)</t>
  </si>
  <si>
    <t>Average (3d6)</t>
  </si>
  <si>
    <t>Race:</t>
  </si>
  <si>
    <t>Race</t>
  </si>
  <si>
    <t>Dralasite</t>
  </si>
  <si>
    <t>Human</t>
  </si>
  <si>
    <t>Vrusk</t>
  </si>
  <si>
    <t>Yazirian</t>
  </si>
  <si>
    <t>Prominent Class</t>
  </si>
  <si>
    <t>Soldier</t>
  </si>
  <si>
    <t>Martial Artist</t>
  </si>
  <si>
    <t>Gunslinger</t>
  </si>
  <si>
    <t>Infiltrator</t>
  </si>
  <si>
    <t>Daredevil</t>
  </si>
  <si>
    <t>Bodyguard</t>
  </si>
  <si>
    <t>Field Scientist</t>
  </si>
  <si>
    <t>Techie</t>
  </si>
  <si>
    <t>Field Medic</t>
  </si>
  <si>
    <t>Investigator</t>
  </si>
  <si>
    <t>Personality</t>
  </si>
  <si>
    <t>Negotiator</t>
  </si>
  <si>
    <t>Ambassador</t>
  </si>
  <si>
    <t>Dogfighter</t>
  </si>
  <si>
    <t>Dreadnought</t>
  </si>
  <si>
    <t>Engineer</t>
  </si>
  <si>
    <t>Explorer</t>
  </si>
  <si>
    <t>Field Officer</t>
  </si>
  <si>
    <t>Helix Warrior</t>
  </si>
  <si>
    <t>Space Monkey</t>
  </si>
  <si>
    <t>Swindler</t>
  </si>
  <si>
    <t>Technosavant</t>
  </si>
  <si>
    <t>Tracer</t>
  </si>
  <si>
    <t>Xenophile</t>
  </si>
  <si>
    <t>Bionic Agent</t>
  </si>
  <si>
    <t>Cyberwarrior</t>
  </si>
  <si>
    <t>Implant Hack</t>
  </si>
  <si>
    <t>Roll</t>
  </si>
  <si>
    <t>unclassed</t>
  </si>
  <si>
    <t>Average</t>
  </si>
  <si>
    <t>Augmented</t>
  </si>
  <si>
    <t>Heroic</t>
  </si>
  <si>
    <t>Scope:</t>
  </si>
  <si>
    <t>Scope</t>
  </si>
  <si>
    <t>Racial Mods</t>
  </si>
  <si>
    <t>Total</t>
  </si>
  <si>
    <t>Last</t>
  </si>
  <si>
    <t>ECL</t>
  </si>
  <si>
    <t>Sex</t>
  </si>
  <si>
    <t>Strength</t>
  </si>
  <si>
    <t>Dexterity</t>
  </si>
  <si>
    <t>Constitution</t>
  </si>
  <si>
    <t>Intelligence</t>
  </si>
  <si>
    <t>Wisdom</t>
  </si>
  <si>
    <t>Charisma</t>
  </si>
  <si>
    <t>m</t>
  </si>
  <si>
    <t>Init</t>
  </si>
  <si>
    <t>Fort</t>
  </si>
  <si>
    <t>Fortitude</t>
  </si>
  <si>
    <t>Ref</t>
  </si>
  <si>
    <t>Reflex</t>
  </si>
  <si>
    <t>Wil</t>
  </si>
  <si>
    <t>Will</t>
  </si>
  <si>
    <t>BAB</t>
  </si>
  <si>
    <t>FF</t>
  </si>
  <si>
    <t>HP</t>
  </si>
  <si>
    <t>Skill Ranks</t>
  </si>
  <si>
    <t>Weapons</t>
  </si>
  <si>
    <t>Armor</t>
  </si>
  <si>
    <t>Notable Equipment</t>
  </si>
  <si>
    <t>+0</t>
  </si>
  <si>
    <t>+2</t>
  </si>
  <si>
    <t>+3</t>
  </si>
  <si>
    <t>+1</t>
  </si>
  <si>
    <t>+4</t>
  </si>
  <si>
    <t>Def</t>
  </si>
  <si>
    <t>TDef</t>
  </si>
  <si>
    <t>Ebb &amp; Flow Astronautics</t>
  </si>
  <si>
    <t>Frontierwide Freight and Shipping</t>
  </si>
  <si>
    <t>Hivemind Enterprises</t>
  </si>
  <si>
    <t>Speakeasy Pharmacopoeia, Ltd.</t>
  </si>
  <si>
    <t>Anti-Android League</t>
  </si>
  <si>
    <t>P.C.U.O.C.T.N.S.</t>
  </si>
  <si>
    <t>Star Devil</t>
  </si>
  <si>
    <t>Zethra</t>
  </si>
  <si>
    <t>Smart</t>
  </si>
  <si>
    <t>Charismatic</t>
  </si>
  <si>
    <t>Dedicated</t>
  </si>
  <si>
    <t>Fast</t>
  </si>
  <si>
    <t>Tough</t>
  </si>
  <si>
    <t>Strong</t>
  </si>
  <si>
    <t>Champion</t>
  </si>
  <si>
    <t>M</t>
  </si>
  <si>
    <t>F</t>
  </si>
  <si>
    <t>Vicequeen</t>
  </si>
  <si>
    <t>Star Law Officer</t>
  </si>
  <si>
    <t>Bughunter</t>
  </si>
  <si>
    <t>Genetech</t>
  </si>
  <si>
    <t>Occupation</t>
  </si>
  <si>
    <t>Academic</t>
  </si>
  <si>
    <t>Adventurer</t>
  </si>
  <si>
    <t>Athlete</t>
  </si>
  <si>
    <t>Blue Collar</t>
  </si>
  <si>
    <t>Celebrity</t>
  </si>
  <si>
    <t>Creative</t>
  </si>
  <si>
    <t>Criminal</t>
  </si>
  <si>
    <t>Dilettante</t>
  </si>
  <si>
    <t>Doctor</t>
  </si>
  <si>
    <t>Emergency Services</t>
  </si>
  <si>
    <t>Entrepreneur</t>
  </si>
  <si>
    <t>Investigative</t>
  </si>
  <si>
    <t>Law Enforcement</t>
  </si>
  <si>
    <t>Military</t>
  </si>
  <si>
    <t>Religious</t>
  </si>
  <si>
    <t>Rural</t>
  </si>
  <si>
    <t>Student</t>
  </si>
  <si>
    <t>Technician</t>
  </si>
  <si>
    <t>White Collar</t>
  </si>
  <si>
    <t>Astronaut</t>
  </si>
  <si>
    <t>Colonist</t>
  </si>
  <si>
    <t>Drifter</t>
  </si>
  <si>
    <t>Gladiator</t>
  </si>
  <si>
    <t>Heir</t>
  </si>
  <si>
    <t>Outcast</t>
  </si>
  <si>
    <t>Scavenger</t>
  </si>
  <si>
    <t>Transporter</t>
  </si>
  <si>
    <t>Corporate Zombie</t>
  </si>
  <si>
    <t>Noderunner</t>
  </si>
  <si>
    <t>No-Man</t>
  </si>
  <si>
    <t>other</t>
  </si>
  <si>
    <t>Recommended?</t>
  </si>
  <si>
    <t>Source</t>
  </si>
  <si>
    <t>D20 Modern</t>
  </si>
  <si>
    <t>D20 Future</t>
  </si>
  <si>
    <t>D20 Cyberscape</t>
  </si>
  <si>
    <t>Leader</t>
  </si>
  <si>
    <t>Driver</t>
  </si>
  <si>
    <t>Security</t>
  </si>
  <si>
    <t>Role</t>
  </si>
  <si>
    <t>Type</t>
  </si>
  <si>
    <t>C</t>
  </si>
  <si>
    <t>Z</t>
  </si>
  <si>
    <t>Faction</t>
  </si>
  <si>
    <t>G</t>
  </si>
  <si>
    <t>Press Delete to re-roll</t>
  </si>
  <si>
    <t>PL</t>
  </si>
  <si>
    <t>Locomotion</t>
  </si>
  <si>
    <t>Body</t>
  </si>
  <si>
    <t>HydroDyn SeaHawk</t>
  </si>
  <si>
    <t>Hover</t>
  </si>
  <si>
    <t>Sedan</t>
  </si>
  <si>
    <t>Cycle</t>
  </si>
  <si>
    <t>Bus</t>
  </si>
  <si>
    <t>Truck</t>
  </si>
  <si>
    <t>Kirsh Sunflower</t>
  </si>
  <si>
    <t>Nakazawa Delta-9</t>
  </si>
  <si>
    <t>SKG Lamplighter</t>
  </si>
  <si>
    <t>Wheeled</t>
  </si>
  <si>
    <t>AAS</t>
  </si>
  <si>
    <t>AD</t>
  </si>
  <si>
    <t>AG</t>
  </si>
  <si>
    <t>RSS</t>
  </si>
  <si>
    <t>Duralloy Armor</t>
  </si>
  <si>
    <t>none</t>
  </si>
  <si>
    <t>þ</t>
  </si>
  <si>
    <t>q</t>
  </si>
  <si>
    <t>S.Wagon</t>
  </si>
  <si>
    <t>Notes</t>
  </si>
  <si>
    <t>Coupe</t>
  </si>
  <si>
    <t>HM Dirt Bike</t>
  </si>
  <si>
    <t>Hecaton Explorer</t>
  </si>
  <si>
    <t>Kentaur Pickup Scout</t>
  </si>
  <si>
    <t>Minivan</t>
  </si>
  <si>
    <r>
      <t>TM Willow</t>
    </r>
    <r>
      <rPr>
        <vertAlign val="superscript"/>
        <sz val="12"/>
        <color theme="1"/>
        <rFont val="Times New Roman"/>
        <family val="1"/>
      </rPr>
      <t>P</t>
    </r>
  </si>
  <si>
    <r>
      <t>Stadtler Valkyrie</t>
    </r>
    <r>
      <rPr>
        <vertAlign val="superscript"/>
        <sz val="12"/>
        <color theme="1"/>
        <rFont val="Times New Roman"/>
        <family val="1"/>
      </rPr>
      <t>P</t>
    </r>
  </si>
  <si>
    <r>
      <t>Bendel Motors Spirit</t>
    </r>
    <r>
      <rPr>
        <vertAlign val="superscript"/>
        <sz val="12"/>
        <color theme="1"/>
        <rFont val="Times New Roman"/>
        <family val="1"/>
      </rPr>
      <t>P</t>
    </r>
  </si>
  <si>
    <t>Gaia Virgo</t>
  </si>
  <si>
    <t>Shang XRL</t>
  </si>
  <si>
    <t>Sport</t>
  </si>
  <si>
    <t>AutoDyn Hoverboard</t>
  </si>
  <si>
    <t>Misc</t>
  </si>
  <si>
    <r>
      <t>WGM Wyoming</t>
    </r>
    <r>
      <rPr>
        <vertAlign val="superscript"/>
        <sz val="12"/>
        <color theme="1"/>
        <rFont val="Times New Roman"/>
        <family val="1"/>
      </rPr>
      <t>P</t>
    </r>
  </si>
  <si>
    <t>SUV</t>
  </si>
  <si>
    <t>Gyrocopter</t>
  </si>
  <si>
    <t>Flight</t>
  </si>
  <si>
    <t>Copter</t>
  </si>
  <si>
    <t>Turtledove</t>
  </si>
  <si>
    <t>EU2A1 Personnel Carrier</t>
  </si>
  <si>
    <t>M-300 Hovertank</t>
  </si>
  <si>
    <t>Tank</t>
  </si>
  <si>
    <r>
      <t>IS-2000 Personnel Carrier</t>
    </r>
    <r>
      <rPr>
        <vertAlign val="superscript"/>
        <sz val="12"/>
        <color theme="1"/>
        <rFont val="Times New Roman"/>
        <family val="1"/>
      </rPr>
      <t>P</t>
    </r>
  </si>
  <si>
    <t>Disguised for stealth</t>
  </si>
  <si>
    <t>Ballistic</t>
  </si>
  <si>
    <t>Genetic Tags</t>
  </si>
  <si>
    <t>Collapsible</t>
  </si>
  <si>
    <t>Misc. Gadgets</t>
  </si>
  <si>
    <t>Flaws</t>
  </si>
  <si>
    <t>Interface for entry/exit to/from Fortress Campus</t>
  </si>
  <si>
    <t>AutoMac Taxi</t>
  </si>
  <si>
    <t>AutoDyn Hoverbike</t>
  </si>
  <si>
    <t>AutoDyn Hoverbus</t>
  </si>
  <si>
    <t>AutoDyn Hovercar</t>
  </si>
  <si>
    <t>AutoDyn Hovertruck</t>
  </si>
  <si>
    <t>Jetta Mid-size Wagon</t>
  </si>
  <si>
    <t>250CC Dirt Bike</t>
  </si>
  <si>
    <t>Taiga Pickup</t>
  </si>
  <si>
    <t>Caravan</t>
  </si>
  <si>
    <t>Phoenix Cavalier</t>
  </si>
  <si>
    <t>Rinkidink Moving Truck</t>
  </si>
  <si>
    <r>
      <t>Bavaria M</t>
    </r>
    <r>
      <rPr>
        <vertAlign val="superscript"/>
        <sz val="12"/>
        <color theme="1"/>
        <rFont val="Times New Roman"/>
        <family val="1"/>
      </rPr>
      <t>3</t>
    </r>
  </si>
  <si>
    <t>Custom Delta-9</t>
  </si>
  <si>
    <t>Custom Lamplighter</t>
  </si>
  <si>
    <t>Custom Virgo</t>
  </si>
  <si>
    <t>Custom Moving Truck</t>
  </si>
  <si>
    <t>Custom Gyrocopter</t>
  </si>
  <si>
    <t>Custom Hoverbike: Speed</t>
  </si>
  <si>
    <t>Custom Hoverbike: Torque</t>
  </si>
  <si>
    <t>Custom Hoverbike: Lift</t>
  </si>
  <si>
    <t>Custom Hoverbike: Spikes</t>
  </si>
  <si>
    <t>PoLo Militia</t>
  </si>
  <si>
    <t>Queenstemple</t>
  </si>
  <si>
    <t>Four Horsemen</t>
  </si>
  <si>
    <t>Legion</t>
  </si>
  <si>
    <t>Narnak</t>
  </si>
  <si>
    <t>“Shivers”</t>
  </si>
  <si>
    <t>Queen</t>
  </si>
  <si>
    <t>Stephanja 291</t>
  </si>
  <si>
    <t>Collector, Investor, Speculator</t>
  </si>
  <si>
    <t>Hon. Solange Royce</t>
  </si>
  <si>
    <t>Cigar Vendor</t>
  </si>
  <si>
    <t>Zsa-zsa van Rockefeller</t>
  </si>
  <si>
    <t>Attorney General</t>
  </si>
  <si>
    <t>Att. Grl. José Gates</t>
  </si>
  <si>
    <t>Writer, Philosopher, Activist</t>
  </si>
  <si>
    <t>Prof. Federico Balintawak</t>
  </si>
  <si>
    <t>Restaurant Manager</t>
  </si>
  <si>
    <t>Hiu Hoang</t>
  </si>
  <si>
    <t>Holovid Director</t>
  </si>
  <si>
    <t>Apollo Iskombisza</t>
  </si>
  <si>
    <t>Building Manager</t>
  </si>
  <si>
    <t>Insp. Sophia Ferrari</t>
  </si>
  <si>
    <t>Judge, Former Prosecutor</t>
  </si>
  <si>
    <t>Hon. Nastassia Godiva</t>
  </si>
  <si>
    <t>Satsuki McCartney</t>
  </si>
  <si>
    <t>Neurosurgeon</t>
  </si>
  <si>
    <t>Hiroki Kimushi-Kura</t>
  </si>
  <si>
    <t>Custodian, Security Guard</t>
  </si>
  <si>
    <t>Sarasvati Star-Buck</t>
  </si>
  <si>
    <t>Historian, Machinist</t>
  </si>
  <si>
    <t>Dr. Fenris D. Wolfgang</t>
  </si>
  <si>
    <t>Distiller, Barkeep</t>
  </si>
  <si>
    <t>Mischka Svenlor</t>
  </si>
  <si>
    <t>Traffic Constable</t>
  </si>
  <si>
    <t>Off. Sonja bint Abdel-Qadir</t>
  </si>
  <si>
    <t>Social Activist, Writer, Teacher</t>
  </si>
  <si>
    <t>Malcolm de Angus</t>
  </si>
  <si>
    <t>Roboticist, Entrepreneur</t>
  </si>
  <si>
    <t>“Motherboard” Jimm Eyepod</t>
  </si>
  <si>
    <t>Tatiana Prudenshol</t>
  </si>
  <si>
    <t>Combat Specialist</t>
  </si>
  <si>
    <t>Cyrus Vonantioch</t>
  </si>
  <si>
    <t>Butcher, Spice Vendor</t>
  </si>
  <si>
    <t>Artist, Translator, Cultural Anthropologist</t>
  </si>
  <si>
    <t>Prof. Achilles Makeba</t>
  </si>
  <si>
    <t>Merchant, Adventurer</t>
  </si>
  <si>
    <t>Nedjma Firenze</t>
  </si>
  <si>
    <t>Stunt Driver</t>
  </si>
  <si>
    <t>Uma Mike-Rosof</t>
  </si>
  <si>
    <t>Health Instructor, Baker</t>
  </si>
  <si>
    <t>Artemisia Kitcha Om</t>
  </si>
  <si>
    <t>Detective</t>
  </si>
  <si>
    <t>Bouncer, Bodyguard, Usher</t>
  </si>
  <si>
    <t>Chef, Florist</t>
  </si>
  <si>
    <t>Merritt Gamorrah</t>
  </si>
  <si>
    <t>Party Promoter, PR Agent</t>
  </si>
  <si>
    <t>Fuel Station Attendant</t>
  </si>
  <si>
    <t>Loris Cabrenovich</t>
  </si>
  <si>
    <t>Bartender, Server</t>
  </si>
  <si>
    <t>Welder, Mechanic, Spy</t>
  </si>
  <si>
    <t>Boris Cabrenovich</t>
  </si>
  <si>
    <t>Qaleb Cambyses</t>
  </si>
  <si>
    <t>Grunge Oldsmobile</t>
  </si>
  <si>
    <t>Jay-Rad Sudofed</t>
  </si>
  <si>
    <t>Information Clerk</t>
  </si>
  <si>
    <t>Freyja Bacardi</t>
  </si>
  <si>
    <t>Card Player, Ex-Convict, Spy</t>
  </si>
  <si>
    <t>“Perpetrator”</t>
  </si>
  <si>
    <t>“Cerebellum”</t>
  </si>
  <si>
    <t>Kidof Plaiuviu</t>
  </si>
  <si>
    <t>Kidof Plumpen</t>
  </si>
  <si>
    <t>N</t>
  </si>
  <si>
    <t>Technical</t>
  </si>
  <si>
    <t>Diplomat</t>
  </si>
  <si>
    <t>Espionage</t>
  </si>
  <si>
    <t>Anker</t>
  </si>
  <si>
    <t>Cass</t>
  </si>
  <si>
    <t>Corpco</t>
  </si>
  <si>
    <t>Dillon</t>
  </si>
  <si>
    <t>Exodus</t>
  </si>
  <si>
    <t>Gollywog</t>
  </si>
  <si>
    <t>Gran Quivera</t>
  </si>
  <si>
    <t>Groth</t>
  </si>
  <si>
    <t>Hargut</t>
  </si>
  <si>
    <t>Henz</t>
  </si>
  <si>
    <t>Histran</t>
  </si>
  <si>
    <t>Infi</t>
  </si>
  <si>
    <t>Inner Reach</t>
  </si>
  <si>
    <t>Jupiter</t>
  </si>
  <si>
    <t>Kawdl-Kit</t>
  </si>
  <si>
    <t>Kdikit</t>
  </si>
  <si>
    <t>Ken’zah-Kit</t>
  </si>
  <si>
    <t>Kir’-Kut</t>
  </si>
  <si>
    <t>Kraatar</t>
  </si>
  <si>
    <t>Leen</t>
  </si>
  <si>
    <t>Minotaur</t>
  </si>
  <si>
    <t>Moonworld</t>
  </si>
  <si>
    <t>Morgaine’s World</t>
  </si>
  <si>
    <t>Ringar</t>
  </si>
  <si>
    <t>Rupert’s Hole</t>
  </si>
  <si>
    <t>Shang-Ti</t>
  </si>
  <si>
    <t>Triad</t>
  </si>
  <si>
    <t>Yast</t>
  </si>
  <si>
    <t>Zik-Kit</t>
  </si>
  <si>
    <t>Cassidine</t>
  </si>
  <si>
    <t>Logistics</t>
  </si>
  <si>
    <t>Planet of Origin</t>
  </si>
  <si>
    <t>?</t>
  </si>
  <si>
    <t>Siu-Ling</t>
  </si>
  <si>
    <t>Yreva</t>
  </si>
  <si>
    <t>Borealis</t>
  </si>
  <si>
    <t>Fazmin</t>
  </si>
  <si>
    <t>Threnchtar</t>
  </si>
  <si>
    <t>Gigi</t>
  </si>
  <si>
    <t>Potentuous</t>
  </si>
  <si>
    <t>Kali</t>
  </si>
  <si>
    <t>Su-Izra</t>
  </si>
  <si>
    <t>Port Loren Municipal Force</t>
  </si>
  <si>
    <t>UPF Military</t>
  </si>
  <si>
    <t>P</t>
  </si>
  <si>
    <t>Chief</t>
  </si>
  <si>
    <t>Sargeant</t>
  </si>
  <si>
    <t>Officer</t>
  </si>
  <si>
    <t>Admiral</t>
  </si>
  <si>
    <t>Yeshua</t>
  </si>
  <si>
    <t>McChang</t>
  </si>
  <si>
    <t>“Sourgrapes”</t>
  </si>
  <si>
    <t>Barnaby-Dubai’i</t>
  </si>
  <si>
    <t>Vortexi</t>
  </si>
  <si>
    <t>Graylen</t>
  </si>
  <si>
    <t>Tralfamadore</t>
  </si>
  <si>
    <t>Kidof Onegut</t>
  </si>
  <si>
    <t>Basic Class</t>
  </si>
  <si>
    <t>Idiosyncrasies</t>
  </si>
  <si>
    <t>Quick to shoot suspected traitors</t>
  </si>
  <si>
    <t>Broma</t>
  </si>
  <si>
    <t>Kidof Jherush</t>
  </si>
  <si>
    <t>Quixote “Sádico”</t>
  </si>
  <si>
    <t>Karamazov</t>
  </si>
  <si>
    <t>Chrysalis</t>
  </si>
  <si>
    <t>Jivrik</t>
  </si>
  <si>
    <t>Portia</t>
  </si>
  <si>
    <t>Kidof Effrivesent</t>
  </si>
  <si>
    <r>
      <t>Kzk!</t>
    </r>
    <r>
      <rPr>
        <b/>
        <i/>
        <vertAlign val="subscript"/>
        <sz val="12"/>
        <color theme="1"/>
        <rFont val="Times New Roman"/>
        <family val="1"/>
      </rPr>
      <t>2</t>
    </r>
  </si>
  <si>
    <r>
      <t>Kzk!</t>
    </r>
    <r>
      <rPr>
        <b/>
        <i/>
        <vertAlign val="subscript"/>
        <sz val="12"/>
        <color theme="1"/>
        <rFont val="Times New Roman"/>
        <family val="1"/>
      </rPr>
      <t>1</t>
    </r>
  </si>
  <si>
    <r>
      <t>Kzk!</t>
    </r>
    <r>
      <rPr>
        <b/>
        <i/>
        <vertAlign val="subscript"/>
        <sz val="12"/>
        <color theme="1"/>
        <rFont val="Times New Roman"/>
        <family val="1"/>
      </rPr>
      <t>3</t>
    </r>
  </si>
  <si>
    <r>
      <t>Kzk!</t>
    </r>
    <r>
      <rPr>
        <b/>
        <i/>
        <vertAlign val="subscript"/>
        <sz val="12"/>
        <color theme="1"/>
        <rFont val="Times New Roman"/>
        <family val="1"/>
      </rPr>
      <t>4</t>
    </r>
  </si>
  <si>
    <r>
      <t>Kzk!</t>
    </r>
    <r>
      <rPr>
        <b/>
        <i/>
        <vertAlign val="subscript"/>
        <sz val="12"/>
        <color theme="1"/>
        <rFont val="Times New Roman"/>
        <family val="1"/>
      </rPr>
      <t>5</t>
    </r>
  </si>
  <si>
    <t>Cogitor</t>
  </si>
  <si>
    <t>Forgepriest</t>
  </si>
  <si>
    <t>Moniker/Title</t>
  </si>
  <si>
    <t>Restor</t>
  </si>
  <si>
    <t>Worsh’n’n</t>
  </si>
  <si>
    <t>Marshal</t>
  </si>
  <si>
    <t>Commodore</t>
  </si>
  <si>
    <t>Captain</t>
  </si>
  <si>
    <t>Lieutenant</t>
  </si>
  <si>
    <t>Keni</t>
  </si>
  <si>
    <t>Qetzinem</t>
  </si>
  <si>
    <t>Hawkmoth</t>
  </si>
  <si>
    <t>Yamamoto</t>
  </si>
  <si>
    <t>Elvis</t>
  </si>
  <si>
    <t>Pepsi</t>
  </si>
  <si>
    <t>D’Avignon</t>
  </si>
  <si>
    <t>Qôph</t>
  </si>
  <si>
    <t>Akamenes</t>
  </si>
  <si>
    <t>Kidof Serendip</t>
  </si>
  <si>
    <t>Dynamo</t>
  </si>
  <si>
    <t>Fluviel-Garu</t>
  </si>
  <si>
    <t>Dr. Brodd Xar</t>
  </si>
  <si>
    <t>Apollo “Tiny”</t>
  </si>
  <si>
    <t>Za’lintavvak</t>
  </si>
  <si>
    <t>Berenga’ana</t>
  </si>
  <si>
    <t>[unknown]</t>
  </si>
  <si>
    <t>“Grog”</t>
  </si>
  <si>
    <t>“Slick”</t>
  </si>
  <si>
    <t>Kvozz “Morgie”</t>
  </si>
  <si>
    <t>“Plugenplay”</t>
  </si>
  <si>
    <t>Kidof Belthezer</t>
  </si>
  <si>
    <t>Gygax</t>
  </si>
  <si>
    <t>Gruna-Orbiter</t>
  </si>
  <si>
    <t>Figurehead for Order</t>
  </si>
  <si>
    <t>Maligig</t>
  </si>
  <si>
    <t>Maximilian</t>
  </si>
  <si>
    <t>Merkator</t>
  </si>
  <si>
    <t>Krull</t>
  </si>
  <si>
    <t>Windinhair</t>
  </si>
  <si>
    <t>Zz-Klk</t>
  </si>
  <si>
    <t>Verenz</t>
  </si>
  <si>
    <t>Jinx</t>
  </si>
  <si>
    <t>Vrik</t>
  </si>
  <si>
    <t>N’kralik</t>
  </si>
  <si>
    <t>“Ridgeback”</t>
  </si>
  <si>
    <t>Pointdexter</t>
  </si>
  <si>
    <t>Mischka</t>
  </si>
  <si>
    <t>Peabody</t>
  </si>
  <si>
    <t>Sativa</t>
  </si>
  <si>
    <t>Saxony</t>
  </si>
  <si>
    <t>X.K.</t>
  </si>
  <si>
    <t>Javi</t>
  </si>
  <si>
    <t>Mortimer</t>
  </si>
  <si>
    <t>Bubs</t>
  </si>
  <si>
    <t>G’ryo</t>
  </si>
  <si>
    <t>Kritik</t>
  </si>
  <si>
    <t>Vizuvin</t>
  </si>
  <si>
    <t>Glazzit</t>
  </si>
  <si>
    <t>Kizk’-Kari</t>
  </si>
  <si>
    <t>Elder Mar</t>
  </si>
  <si>
    <t>Elder Vrem</t>
  </si>
  <si>
    <t>de Niro</t>
  </si>
  <si>
    <t>K’tsa-Kari</t>
  </si>
  <si>
    <t>Elder Ishtar</t>
  </si>
  <si>
    <t>Elder Blip</t>
  </si>
  <si>
    <t>Kidof Fror</t>
  </si>
  <si>
    <t>bin Osama</t>
  </si>
  <si>
    <t>Einstein-Rosen</t>
  </si>
  <si>
    <t>Confrederich</t>
  </si>
  <si>
    <t>Aquidens</t>
  </si>
  <si>
    <t>Ruvilatus</t>
  </si>
  <si>
    <t>Bashir</t>
  </si>
  <si>
    <t>Drementior</t>
  </si>
  <si>
    <t>Svetlana</t>
  </si>
  <si>
    <t>Rockefeller-Singh</t>
  </si>
  <si>
    <t>Metamucil-Goodyear</t>
  </si>
  <si>
    <t>Elder Isis</t>
  </si>
  <si>
    <t>Vendetta</t>
  </si>
  <si>
    <t>Avdelkadir</t>
  </si>
  <si>
    <t>Ken’zah-Kiti</t>
  </si>
  <si>
    <t>Anon</t>
  </si>
  <si>
    <t>Zenith</t>
  </si>
  <si>
    <t>Enthooz</t>
  </si>
  <si>
    <t>Zappa</t>
  </si>
  <si>
    <t>Konradd</t>
  </si>
  <si>
    <t>Gaia</t>
  </si>
  <si>
    <t>Pan-Gali</t>
  </si>
  <si>
    <t>Vivifrochir</t>
  </si>
  <si>
    <t>Kidof Skee</t>
  </si>
  <si>
    <t>Kidof Denimjeen</t>
  </si>
  <si>
    <t>Azimuth</t>
  </si>
  <si>
    <t>Kidof Redempt</t>
  </si>
  <si>
    <t>Kidof Chevy</t>
  </si>
  <si>
    <t>Kidof Sevenitou</t>
  </si>
  <si>
    <t>Agent Mun-Sok</t>
  </si>
  <si>
    <t>Kidof Dao-Vu</t>
  </si>
  <si>
    <t>Kidof Malcone</t>
  </si>
  <si>
    <t>Kidof Jibdindar</t>
  </si>
  <si>
    <t>Kidof Hanguk</t>
  </si>
  <si>
    <t>Kidof Bonapart</t>
  </si>
  <si>
    <t>Kidof Balintawak</t>
  </si>
  <si>
    <t>Playboy</t>
  </si>
  <si>
    <t>Computer Programmer</t>
  </si>
  <si>
    <t>Flying Traffic Controller</t>
  </si>
  <si>
    <t>Iskombiza</t>
  </si>
  <si>
    <t>HD</t>
  </si>
  <si>
    <t>Cadet</t>
  </si>
  <si>
    <t>Sk.Pts.</t>
  </si>
  <si>
    <t>Shang Initiative</t>
  </si>
  <si>
    <t>Shiv-råm Consortium</t>
  </si>
  <si>
    <t>Order of the Prescient</t>
  </si>
  <si>
    <t xml:space="preserve">Demetria Gita </t>
  </si>
  <si>
    <t>-</t>
  </si>
  <si>
    <t>Notable Skills</t>
  </si>
  <si>
    <t>Advanced Class</t>
  </si>
  <si>
    <t>Level</t>
  </si>
  <si>
    <t>Kalashnikov</t>
  </si>
  <si>
    <t>Genghis</t>
  </si>
  <si>
    <t>Shepherdson</t>
  </si>
  <si>
    <t>Streel-Zelenud</t>
  </si>
  <si>
    <t>AD-Bright Police Cruiser</t>
  </si>
  <si>
    <t>Custom Police Cruiser</t>
  </si>
  <si>
    <t>+1 Extra Seat</t>
  </si>
  <si>
    <t>Not one to parlay</t>
  </si>
  <si>
    <t>Tries anything once</t>
  </si>
  <si>
    <t>Addicted to narcotics</t>
  </si>
  <si>
    <t>Has lots of STDs</t>
  </si>
  <si>
    <t>Scared of thunder</t>
  </si>
  <si>
    <t>14 tours of duty</t>
  </si>
  <si>
    <t>Likes brown peel bananas</t>
  </si>
  <si>
    <t>Showoff</t>
  </si>
  <si>
    <t>Undercover cop</t>
  </si>
  <si>
    <t>Gets seasick, but not airsick</t>
  </si>
  <si>
    <t>Nonprofit mogul</t>
  </si>
  <si>
    <t>Served 10 years for fraud on a penal moon colony</t>
  </si>
  <si>
    <t>Extremely competitive</t>
  </si>
  <si>
    <t>The most racist member</t>
  </si>
  <si>
    <t>Overly organized</t>
  </si>
  <si>
    <t>Moonlights as rival contractor</t>
  </si>
  <si>
    <t>Failed standup comic</t>
  </si>
  <si>
    <t>Signed a deal relinquishing rights</t>
  </si>
  <si>
    <t>Still plays FarmVille</t>
  </si>
  <si>
    <t>Has voodoo dolls of all of his adversaries</t>
  </si>
  <si>
    <t>Ascetic</t>
  </si>
  <si>
    <t>Argumentative</t>
  </si>
  <si>
    <t>About to quit and go work for Speakeasy Enterprises</t>
  </si>
  <si>
    <t>Clean; can’t even with dirt</t>
  </si>
  <si>
    <t>Still watches larva cartoons</t>
  </si>
  <si>
    <t>Plays D&amp;D 19th Ed.</t>
  </si>
  <si>
    <t>Bigamist; has a second family back on Minotaur</t>
  </si>
  <si>
    <t>Working on a Master’s in Security Studies; having affair with ZZ-Klk</t>
  </si>
  <si>
    <t>Former nude dancer</t>
  </si>
  <si>
    <t>Broken childhood</t>
  </si>
  <si>
    <t>Raped by three Shiv-råm gladiators</t>
  </si>
  <si>
    <t>Thinks weapons are for cowards</t>
  </si>
  <si>
    <t>Thinks weapons and vehicles are standard in combat</t>
  </si>
  <si>
    <t>Takes zero chances</t>
  </si>
  <si>
    <t>Daughter of KS Founder</t>
  </si>
  <si>
    <t>Invented several popular games</t>
  </si>
  <si>
    <t>Outcast from his noble house for copulating with a commoner</t>
  </si>
  <si>
    <t>Enjoys eating live animals</t>
  </si>
  <si>
    <t>Learning to dance</t>
  </si>
  <si>
    <t>Chronically sick or calling in sick lately</t>
  </si>
  <si>
    <t>Writing a blog on how to pick conventional locks</t>
  </si>
  <si>
    <t>Tortures people more than necessary</t>
  </si>
  <si>
    <t>Believes antibiotics are a sathar plot to enslave us all</t>
  </si>
  <si>
    <t>Perfects his form daily at dawn</t>
  </si>
  <si>
    <t>Studies criminology</t>
  </si>
  <si>
    <t>Old Money family from the Old Planet</t>
  </si>
  <si>
    <t>Not really doing a good job</t>
  </si>
  <si>
    <t>Collects Beta Ray Bill comics</t>
  </si>
  <si>
    <t>Enjoys watching full-contact sports</t>
  </si>
  <si>
    <t>Doesn’t celebrate any calendrical events</t>
  </si>
  <si>
    <t>Owns a Tomar’s horse ranch about 20 miles west of Port Loren</t>
  </si>
  <si>
    <t>Claims to identify as a dralasite</t>
  </si>
  <si>
    <t>Barely graduated with Special Ed provisions</t>
  </si>
  <si>
    <t>Also a client</t>
  </si>
  <si>
    <t>Not good with crowds</t>
  </si>
  <si>
    <t>Smokes pipe but does not inhale</t>
  </si>
  <si>
    <t>Clone Node</t>
  </si>
  <si>
    <t>Enchanter</t>
  </si>
  <si>
    <t>Diviner</t>
  </si>
  <si>
    <t>Conjurer</t>
  </si>
  <si>
    <t>Abjurer</t>
  </si>
  <si>
    <t>Necromancer</t>
  </si>
  <si>
    <t>Thief, Photographer</t>
  </si>
  <si>
    <t>Medic, Architect, Tourist</t>
  </si>
  <si>
    <t>Detective, Sharpshooter</t>
  </si>
  <si>
    <t>Medic’s Assistant, Masseur</t>
  </si>
  <si>
    <t>Entrepreneur, Day Care Proprietor</t>
  </si>
  <si>
    <t>Joaquín Nguyen</t>
  </si>
  <si>
    <t>Yul the Freckled</t>
  </si>
  <si>
    <t>Dr. Eva Saavedra</t>
  </si>
  <si>
    <t>Prof. Hiroko Mitsubishi</t>
  </si>
  <si>
    <t>Georgia Berlusconi</t>
  </si>
  <si>
    <t>Vanderbilt Dungaree</t>
  </si>
  <si>
    <t>Not quite convinced of the purpose of her collaboration; easily swayed</t>
  </si>
  <si>
    <t>Takes one for the team</t>
  </si>
  <si>
    <t>In the pocket of the Shiv-Råm Consortium</t>
  </si>
  <si>
    <t>Lamborg Diablo</t>
  </si>
  <si>
    <t>Kidof Fring</t>
  </si>
  <si>
    <t>Chauffeur’ stats ar the same as Chrysalis Jivrik’s</t>
  </si>
  <si>
    <t>Diesel 4 Limousine</t>
  </si>
  <si>
    <t>Driven by Elder Mar Kidof Fring</t>
  </si>
  <si>
    <r>
      <t>Bendel Motors Spirit</t>
    </r>
    <r>
      <rPr>
        <vertAlign val="superscript"/>
        <sz val="12"/>
        <color theme="1"/>
        <rFont val="Times New Roman"/>
        <family val="1"/>
      </rPr>
      <t>P1</t>
    </r>
  </si>
  <si>
    <r>
      <t>Bendel Motors Spirit</t>
    </r>
    <r>
      <rPr>
        <vertAlign val="superscript"/>
        <sz val="12"/>
        <color theme="1"/>
        <rFont val="Times New Roman"/>
        <family val="1"/>
      </rPr>
      <t>P2</t>
    </r>
  </si>
  <si>
    <t>54 confirmed bare-hand kills</t>
  </si>
  <si>
    <t>Matron Dynasty</t>
  </si>
  <si>
    <t>Matron Amnesty</t>
  </si>
  <si>
    <t>Matron Arnesån</t>
  </si>
  <si>
    <t>Matron “Bubbles”</t>
  </si>
  <si>
    <t>Matron Zhelanja</t>
  </si>
  <si>
    <t>Entrepreneur, Suspected Drug Smuggler</t>
  </si>
  <si>
    <t>Krav Sisterhood</t>
  </si>
  <si>
    <t>AutoDyn Aircar</t>
  </si>
  <si>
    <t>Orphanspawn</t>
  </si>
  <si>
    <t>Smoke Screen</t>
  </si>
  <si>
    <t>Hubcap Spikes</t>
  </si>
  <si>
    <t>Cerebellum’s Bird</t>
  </si>
  <si>
    <t>Genghis’ Ride</t>
  </si>
  <si>
    <t>Perpetrator’s Hog</t>
  </si>
  <si>
    <t>Ridgeback’s Sickle</t>
  </si>
  <si>
    <t>UPF-EU2A1 P5214</t>
  </si>
  <si>
    <t>UPF-GC X9107</t>
  </si>
  <si>
    <t>Vehicle Name/ID</t>
  </si>
  <si>
    <t>UPF-M3C T1000</t>
  </si>
  <si>
    <t>UPF-TD19 X4469</t>
  </si>
  <si>
    <t>Airdrop Unit</t>
  </si>
  <si>
    <t>PLMF-IS2K 002</t>
  </si>
  <si>
    <t>UPF-IS2K Ω6483</t>
  </si>
  <si>
    <t>PLMF-EU2A1 029</t>
  </si>
  <si>
    <t>PLMF-GC 016</t>
  </si>
  <si>
    <t>PLMF-M3C 008</t>
  </si>
  <si>
    <t>PLMF-TD19 006</t>
  </si>
  <si>
    <t>PLMF-AC 023</t>
  </si>
  <si>
    <t>Legion K’s Car</t>
  </si>
  <si>
    <t>Spare Vehicle</t>
  </si>
  <si>
    <t>Championmobile</t>
  </si>
  <si>
    <t>Reconnaissance Van</t>
  </si>
  <si>
    <t>Getaway Car</t>
  </si>
  <si>
    <t>Transport Rig</t>
  </si>
  <si>
    <t>Vortexi’s Pickup</t>
  </si>
  <si>
    <t>Kali’s Trike</t>
  </si>
  <si>
    <t>Kali’s Board</t>
  </si>
  <si>
    <t>GP Lemon</t>
  </si>
  <si>
    <t>Yreva’s Car</t>
  </si>
  <si>
    <t>Interceptor</t>
  </si>
  <si>
    <t>Connor</t>
  </si>
  <si>
    <t>Tour Bus</t>
  </si>
  <si>
    <t>Executive Vehicle</t>
  </si>
  <si>
    <t>Operations Vehicle</t>
  </si>
  <si>
    <t>Express Unit</t>
  </si>
  <si>
    <t>Public Services Unit</t>
  </si>
  <si>
    <t>Gaia Virgo (Wheelchair)</t>
  </si>
  <si>
    <t>All-terrain Unit</t>
  </si>
  <si>
    <t>SeaHawk</t>
  </si>
  <si>
    <t>GP Pickup</t>
  </si>
  <si>
    <t>Zenith’s Property</t>
  </si>
  <si>
    <t>Kali’s Convertible</t>
  </si>
  <si>
    <t>Pa’ Kch Krakar</t>
  </si>
  <si>
    <t>Executive Board</t>
  </si>
  <si>
    <t>Reference Model</t>
  </si>
  <si>
    <t>Security Unit</t>
  </si>
  <si>
    <t>Hoverbus</t>
  </si>
  <si>
    <t>Hovercar</t>
  </si>
  <si>
    <t>Hovertruck</t>
  </si>
  <si>
    <t>Shuttle</t>
  </si>
  <si>
    <t>Hovertrike</t>
  </si>
  <si>
    <t>Boat</t>
  </si>
  <si>
    <t>Miniyacht</t>
  </si>
  <si>
    <t>Pickup</t>
  </si>
  <si>
    <t>Sportscar</t>
  </si>
  <si>
    <t>Station Wagon</t>
  </si>
  <si>
    <t>Limo</t>
  </si>
  <si>
    <t>Landscape Truck</t>
  </si>
  <si>
    <t>Mephisto</t>
  </si>
  <si>
    <t>Adjunctmobile</t>
  </si>
  <si>
    <t>Test Delivery Truck</t>
  </si>
  <si>
    <t>Proctor Skywalker</t>
  </si>
  <si>
    <t>Main Ride</t>
  </si>
  <si>
    <t>MuFo Unit</t>
  </si>
  <si>
    <t>Old Wagon</t>
  </si>
  <si>
    <t>Queen’s Coupe</t>
  </si>
  <si>
    <t>Temple Bus</t>
  </si>
  <si>
    <t>Temple Van</t>
  </si>
  <si>
    <t>Company Bus</t>
  </si>
  <si>
    <t>Company Truck</t>
  </si>
  <si>
    <t>Company Car</t>
  </si>
  <si>
    <t>Dealmaker</t>
  </si>
  <si>
    <t>Dealbreaker</t>
  </si>
  <si>
    <t>Dust Devil</t>
  </si>
  <si>
    <t>Towtruck</t>
  </si>
  <si>
    <t>Next Year’s Model</t>
  </si>
  <si>
    <t>Helix</t>
  </si>
  <si>
    <t>Rustic Vixen</t>
  </si>
  <si>
    <t>Temple Limo</t>
  </si>
  <si>
    <r>
      <t>AutoDyn Hoverboard</t>
    </r>
    <r>
      <rPr>
        <vertAlign val="superscript"/>
        <sz val="12"/>
        <color theme="1"/>
        <rFont val="Times New Roman"/>
        <family val="1"/>
      </rPr>
      <t>P</t>
    </r>
  </si>
  <si>
    <t>Rendezvous</t>
  </si>
  <si>
    <t>Zethra Graviton Box</t>
  </si>
  <si>
    <t>Charity Bus</t>
  </si>
  <si>
    <t>Zeitgeist Zoomer</t>
  </si>
  <si>
    <t>Limousine</t>
  </si>
  <si>
    <t>Refurbished Van</t>
  </si>
  <si>
    <t>Bomb Car</t>
  </si>
  <si>
    <t>Cichlid</t>
  </si>
  <si>
    <t>Black Car</t>
  </si>
  <si>
    <t>Cab</t>
  </si>
  <si>
    <t>Chopper</t>
  </si>
  <si>
    <t>Grampappy</t>
  </si>
  <si>
    <t>Initiative Executor</t>
  </si>
  <si>
    <t>Infinit Valkyrie</t>
  </si>
  <si>
    <t>Shroomscaper</t>
  </si>
  <si>
    <t>Psychedelia</t>
  </si>
  <si>
    <t>Ventura Boss</t>
  </si>
  <si>
    <t>Ornate, red SD insignia and rank markings</t>
  </si>
  <si>
    <t>Compact</t>
  </si>
  <si>
    <t>HoloScreen</t>
  </si>
  <si>
    <t>Reflective Plating</t>
  </si>
  <si>
    <t>Armored Plating</t>
  </si>
  <si>
    <t>Armored Plating, Reflective Plating</t>
  </si>
  <si>
    <t>E-Seal</t>
  </si>
  <si>
    <t>E-Seal, HoloScreen</t>
  </si>
  <si>
    <t>Armored Plating, E-Seal</t>
  </si>
  <si>
    <t>Oil Slick</t>
  </si>
  <si>
    <t>Armored Hovertruck</t>
  </si>
  <si>
    <t>Virgin; shy</t>
  </si>
  <si>
    <t>2 girlfriends defected to to the Krav Sisterhood</t>
  </si>
  <si>
    <t>Larandor</t>
  </si>
  <si>
    <t>Gargantuar</t>
  </si>
  <si>
    <t>Krelemnar</t>
  </si>
  <si>
    <t>Martyrdom</t>
  </si>
  <si>
    <t>Shrik Vok</t>
  </si>
  <si>
    <t>Malfynar</t>
  </si>
  <si>
    <t>D20 Urban Arcana</t>
  </si>
  <si>
    <t>Archaic Weaponsmaster</t>
  </si>
  <si>
    <t>Glamourist</t>
  </si>
  <si>
    <t>Shadowjack</t>
  </si>
  <si>
    <t>Speed Demon</t>
  </si>
  <si>
    <t>Street Warrior</t>
  </si>
  <si>
    <t>Swashbuckler</t>
  </si>
  <si>
    <t>Thrasher</t>
  </si>
  <si>
    <t>Rep</t>
  </si>
  <si>
    <t>Fanatical</t>
  </si>
  <si>
    <t>Extreme Effort</t>
  </si>
  <si>
    <t>Melee Smash</t>
  </si>
  <si>
    <t>Ignore Harness</t>
  </si>
  <si>
    <t>Talent Tree / Abilities</t>
  </si>
  <si>
    <t>Defensive</t>
  </si>
  <si>
    <t>Increased Speed</t>
  </si>
  <si>
    <t>Research</t>
  </si>
  <si>
    <t>Strategy</t>
  </si>
  <si>
    <t>Charm</t>
  </si>
  <si>
    <t>Fast Talk</t>
  </si>
  <si>
    <t>Leadership</t>
  </si>
  <si>
    <t>Empathic</t>
  </si>
  <si>
    <t>Healing</t>
  </si>
  <si>
    <t>Insightful</t>
  </si>
  <si>
    <t>Damage Reduction</t>
  </si>
  <si>
    <t>Resistance</t>
  </si>
  <si>
    <t>Unbreakable</t>
  </si>
  <si>
    <t>Archaic Weapons Proficiency, Combat Martial Arts</t>
  </si>
  <si>
    <t>Brawl, Improved Brawl</t>
  </si>
  <si>
    <t>Blind-Fight, Brawl</t>
  </si>
  <si>
    <t>Athletic, Combat Reflexes</t>
  </si>
  <si>
    <t>Athletic, Blind-Fight</t>
  </si>
  <si>
    <t>Athletic, Power Attack</t>
  </si>
  <si>
    <t>Acrobatic, Improved Disarm</t>
  </si>
  <si>
    <t>Focused, Personal Firearms Proficiency</t>
  </si>
  <si>
    <t>Acrobatic, Elusive Target</t>
  </si>
  <si>
    <t>Elusive Target, Stealthy</t>
  </si>
  <si>
    <t>Acrobatic, Stealthy</t>
  </si>
  <si>
    <t>Combat Expertise, Focused</t>
  </si>
  <si>
    <t>Personal Firearms Proficiency, Point Blank Shot</t>
  </si>
  <si>
    <t>Mobility, Point Blank Shot</t>
  </si>
  <si>
    <t>Defensive Martial Arts, Combat Throw</t>
  </si>
  <si>
    <t>Mobility, Focused</t>
  </si>
  <si>
    <t>Personal Firearms Proficiency, Weapon Finesse</t>
  </si>
  <si>
    <t>Acrobatic, Weapon Finesse</t>
  </si>
  <si>
    <t>Stealthy, Combat Throw</t>
  </si>
  <si>
    <t>Streetfighting, Toughness</t>
  </si>
  <si>
    <t>Confident, Endurance</t>
  </si>
  <si>
    <t>Great Fortitude, Vehicle Expert</t>
  </si>
  <si>
    <t>Power Attack, Knockout Punch</t>
  </si>
  <si>
    <t>Gearhead, Educated</t>
  </si>
  <si>
    <t>Builder, Educated</t>
  </si>
  <si>
    <t>Educated, Studious</t>
  </si>
  <si>
    <t>Meticulous, Studious</t>
  </si>
  <si>
    <t>Gearhead, Meticulous</t>
  </si>
  <si>
    <t>Cautious, Meticulous</t>
  </si>
  <si>
    <t>Cautious, Gearhead</t>
  </si>
  <si>
    <t>Cautious</t>
  </si>
  <si>
    <t>Cautious, Combat Expertise</t>
  </si>
  <si>
    <t>Combat Expertise, Studious</t>
  </si>
  <si>
    <t>Gearhead, Vehicle Expert</t>
  </si>
  <si>
    <t>Improved Disarm, Meticulous</t>
  </si>
  <si>
    <t>Builder, Gearhead</t>
  </si>
  <si>
    <t>Gearhead, Lightning Reflexes</t>
  </si>
  <si>
    <t>Iron Will, Meticulous</t>
  </si>
  <si>
    <t>Meticulous, Weapon Focus</t>
  </si>
  <si>
    <t>Cautious, Improved Trip</t>
  </si>
  <si>
    <t>Improved Trip, Combat Expertise</t>
  </si>
  <si>
    <t>Gearhead, Studious</t>
  </si>
  <si>
    <t>Cautious, Studious</t>
  </si>
  <si>
    <t>Improved Trip, Studious</t>
  </si>
  <si>
    <t>Archaic Weapons Proficiency, Weapon Focus</t>
  </si>
  <si>
    <t>Attentive, Deceptive</t>
  </si>
  <si>
    <t>Suggested Basic Feats</t>
  </si>
  <si>
    <t>Suggested Feats, Other</t>
  </si>
  <si>
    <t>Medical Expert, Surgery</t>
  </si>
  <si>
    <t>Deceptive, Educated</t>
  </si>
  <si>
    <t>Deceptive, Iron Will</t>
  </si>
  <si>
    <t>Alertness, Blind-Fight</t>
  </si>
  <si>
    <t>Deceptive, Weapon Focus</t>
  </si>
  <si>
    <t>Advanced Firearms Proficiency, Weapon Focus</t>
  </si>
  <si>
    <t>Advanced Firearms Proficiency, Alertness</t>
  </si>
  <si>
    <t>Alertness, Meticulous</t>
  </si>
  <si>
    <t>Deceptive, Track</t>
  </si>
  <si>
    <t>Alertness, Far Shot</t>
  </si>
  <si>
    <t>Advanced Firearms Proficiency, Far Shot</t>
  </si>
  <si>
    <t>Agile Riposte, Dodge</t>
  </si>
  <si>
    <t>Deceptive, Trustworthy</t>
  </si>
  <si>
    <t>Renown, Trustworthy</t>
  </si>
  <si>
    <t>Deceptive, Low Profile</t>
  </si>
  <si>
    <t>Renown, Windfall</t>
  </si>
  <si>
    <t>Trustworthy, Windfall</t>
  </si>
  <si>
    <t>Dodge, Low Profile</t>
  </si>
  <si>
    <t>Low Profile, Trustworthy</t>
  </si>
  <si>
    <t>Agile Riposte, Lightning Reflexes</t>
  </si>
  <si>
    <t>Iron Will, Windfall</t>
  </si>
  <si>
    <t>Frightful Presence, Windfall</t>
  </si>
  <si>
    <t>Gearhead, Nimble</t>
  </si>
  <si>
    <t>Nimble, Run</t>
  </si>
  <si>
    <t>Nimble, Windfall</t>
  </si>
  <si>
    <t>Force Stop, Vehicle Dodge</t>
  </si>
  <si>
    <t>Force Stop, Run, Surface Vehicle Operation</t>
  </si>
  <si>
    <t>Double Tap, Point Blank Shot</t>
  </si>
  <si>
    <t>Precise Shot, Weapon Finesse</t>
  </si>
  <si>
    <t>Heroic Surge, Run</t>
  </si>
  <si>
    <t>Heroic Surge, Nimble</t>
  </si>
  <si>
    <t>Nimble, Studious</t>
  </si>
  <si>
    <t>Combat Expertise, Windfall</t>
  </si>
  <si>
    <t>Combat Expertise, Run</t>
  </si>
  <si>
    <t>Improved Brawl, Knockout Punch</t>
  </si>
  <si>
    <t>Advanced Combat Martial Arts, Improved Combat Martial Arts</t>
  </si>
  <si>
    <t>Action Boost, Heroic Surge</t>
  </si>
  <si>
    <t>Action Boost, Windfall</t>
  </si>
  <si>
    <t>Charismatic Plus, Frightful Presence</t>
  </si>
  <si>
    <t>Charismatic Plus, Windfall</t>
  </si>
  <si>
    <t>Craft Cybernetics, Cybernetic Surgery, Heroic Surge</t>
  </si>
  <si>
    <t>Cybertaker, Nimble</t>
  </si>
  <si>
    <t>Dedicated Plus, Run</t>
  </si>
  <si>
    <t>Dedicated Plus, Windfall</t>
  </si>
  <si>
    <t>Dedicated Plus, Jack of All Trades</t>
  </si>
  <si>
    <t>Jack of All Trades, Mastercrafter</t>
  </si>
  <si>
    <t>Gearhead, Mastercrafter</t>
  </si>
  <si>
    <t>Mastercrafter, Windfall</t>
  </si>
  <si>
    <t>Brawl, Oathbound</t>
  </si>
  <si>
    <t>Combat Martial Arts, Nerve Pinch, Oathbound</t>
  </si>
  <si>
    <t>Action Boost, Drive-by Attack, Oathbound</t>
  </si>
  <si>
    <t>Confident, Oathbound</t>
  </si>
  <si>
    <t>Acrobatic, Nimble, Oathbound</t>
  </si>
  <si>
    <t>Dodge, Oathbound</t>
  </si>
  <si>
    <t>Charismatic Plus, Oathbound</t>
  </si>
  <si>
    <t>Jack of All Trades, Oathbound</t>
  </si>
  <si>
    <t>Drive-by Attack, Oathbound</t>
  </si>
  <si>
    <t>Frightful Presence, Oathbound</t>
  </si>
  <si>
    <t>Dedicated Plus, Oathbound</t>
  </si>
  <si>
    <t>Combat Expertise, Smart Plus</t>
  </si>
  <si>
    <t>Strong Plus, Streetfighting</t>
  </si>
  <si>
    <t>Heroic Surge, Strong Plus</t>
  </si>
  <si>
    <t>Alien Weapons Proficiency, Ultra Immune System</t>
  </si>
  <si>
    <t>Smart Plus, Ultra Immune System</t>
  </si>
  <si>
    <t>Confident, Frightful Presence, Ultra Immune System</t>
  </si>
  <si>
    <t>Dedicated Plus, Urban Tracking</t>
  </si>
  <si>
    <t>Smart Plus, Urban Tracking</t>
  </si>
  <si>
    <t>Ultra Immune System, Xenomedic</t>
  </si>
  <si>
    <t>Combat Expertise, Cybernetic Weapons Proficiency, Oathbound</t>
  </si>
  <si>
    <t>Diplomacy, Sense Motive</t>
  </si>
  <si>
    <t>Diplomacy, Intimidate</t>
  </si>
  <si>
    <t>Bluff, Diplomacy</t>
  </si>
  <si>
    <t>Bluff, Sense Motive</t>
  </si>
  <si>
    <t>Balance, Tumble</t>
  </si>
  <si>
    <t>Climb, Tumble</t>
  </si>
  <si>
    <t>Search, Spot</t>
  </si>
  <si>
    <t>Listen, Spot</t>
  </si>
  <si>
    <t>Search, Swim</t>
  </si>
  <si>
    <t>Climb, Jump</t>
  </si>
  <si>
    <t>Diplomacy, Know: History</t>
  </si>
  <si>
    <t>Computer Use, Know: Tech</t>
  </si>
  <si>
    <t>Computer Use, Craft: Elect &amp; Mech, Know: Tech</t>
  </si>
  <si>
    <t>Search, Survival</t>
  </si>
  <si>
    <t>Know: Physical Sciences, Treat Injury</t>
  </si>
  <si>
    <t>Spot, Treat Injury</t>
  </si>
  <si>
    <t>Ride, Search</t>
  </si>
  <si>
    <t>Concentration, Escape Artist</t>
  </si>
  <si>
    <t>Concentration, Move Silently</t>
  </si>
  <si>
    <t>Concentration, Tumble</t>
  </si>
  <si>
    <t>Computer Use, Craft: Elect &amp; Mech, Research</t>
  </si>
  <si>
    <t>Computer Use, Research, Know: Tech</t>
  </si>
  <si>
    <t>Research, Sense Motive</t>
  </si>
  <si>
    <t>Know: Physical Sciences, Research</t>
  </si>
  <si>
    <t>Craft: Elect &amp; Mech, Know: Tech, Research</t>
  </si>
  <si>
    <t>Computer Use, Know: Tech, Research</t>
  </si>
  <si>
    <t>Computer Use, Craft: Elect &amp; Mech, Know: Tech, Research</t>
  </si>
  <si>
    <t>Repair, Sleight of Hand</t>
  </si>
  <si>
    <t>Know: Tech, Research</t>
  </si>
  <si>
    <t>Spot, Tumble</t>
  </si>
  <si>
    <t>Move Silently, Tumble</t>
  </si>
  <si>
    <t>Jump, Tumble</t>
  </si>
  <si>
    <t>Bluff, Gather Information</t>
  </si>
  <si>
    <t>Drive, Research, Know: Tech</t>
  </si>
  <si>
    <t>Bluff, Drive</t>
  </si>
  <si>
    <t>Craft: Chemical, Demolitions</t>
  </si>
  <si>
    <t>Concentration, Disable Device</t>
  </si>
  <si>
    <t>Drive, Sleight of Hand</t>
  </si>
  <si>
    <t>Forgery, Gamble</t>
  </si>
  <si>
    <t>Gather Information, Investigate, Research</t>
  </si>
  <si>
    <t>Gather Information, Investigate, Sense Motive</t>
  </si>
  <si>
    <t>Computer Use, Gather Information, Investigate</t>
  </si>
  <si>
    <t>Investigate, Sleight of Hand</t>
  </si>
  <si>
    <t>Investigate, Research</t>
  </si>
  <si>
    <t>Forgery, Investigate</t>
  </si>
  <si>
    <t>Computer Use, Investigate, Research</t>
  </si>
  <si>
    <t>Computer Use, Investigate, Know: Tech</t>
  </si>
  <si>
    <t>Computer Use,  Investigate</t>
  </si>
  <si>
    <t>Gamble, Investigate</t>
  </si>
  <si>
    <t>Hide, Search</t>
  </si>
  <si>
    <t>Investigate, Spot</t>
  </si>
  <si>
    <t>Hide, Spot</t>
  </si>
  <si>
    <t>Gamble, Know: Tactics</t>
  </si>
  <si>
    <t>Computer Use, Craft: Elect &amp; Mech</t>
  </si>
  <si>
    <t>Craft: Elect &amp; Mech, Know: Tech</t>
  </si>
  <si>
    <t>Diplomacy, Perform</t>
  </si>
  <si>
    <t>Disguise, Perform</t>
  </si>
  <si>
    <t>Diplomacy, Handle Animal, Perform</t>
  </si>
  <si>
    <t>Gather Information, Investigate</t>
  </si>
  <si>
    <t>Craft: Elect &amp; Mech, Repair</t>
  </si>
  <si>
    <t>Concentration, Pilot</t>
  </si>
  <si>
    <t>Gather Information, Sleight of Hand</t>
  </si>
  <si>
    <t>Concentration, Gamble</t>
  </si>
  <si>
    <t>Gamble, Sleight of Hand</t>
  </si>
  <si>
    <t>Craft: Elect &amp; Mech, Disable Device</t>
  </si>
  <si>
    <t>Cautious, Smart Plus</t>
  </si>
  <si>
    <t>Athletic, Fast Plus</t>
  </si>
  <si>
    <t>Quick Draw, Weapon Finesse</t>
  </si>
  <si>
    <t>Combat Reflexes, Quick Reload</t>
  </si>
  <si>
    <t>Improved Feint, Toughness</t>
  </si>
  <si>
    <t>Cautious, Ultra Immune System</t>
  </si>
  <si>
    <t>Cautious, Jack of All Trades</t>
  </si>
  <si>
    <t>Cautious, Windfall</t>
  </si>
  <si>
    <t>Oathbound, Run</t>
  </si>
  <si>
    <t>Action Boost, Deceptive</t>
  </si>
  <si>
    <t>Confident, Urban Tracking</t>
  </si>
  <si>
    <t>Charismatic Plus, Trustworthy</t>
  </si>
  <si>
    <t>Mastercrafter, Oathbound, Salvager</t>
  </si>
  <si>
    <t>Attentive, Charismatic Plus</t>
  </si>
  <si>
    <t>Cybernetic Weapons Proficiency, Heroic Surge</t>
  </si>
  <si>
    <t>Focused, Surface Vehicle Operation</t>
  </si>
  <si>
    <t>Cybernetic Weapons Proficiency, Cybertaker</t>
  </si>
  <si>
    <t>Force Stop, Surface Vehicle Operation, Vehicle Dodge</t>
  </si>
  <si>
    <t>Heroic Surge, Oathbound</t>
  </si>
  <si>
    <t>Oathbound, Studious</t>
  </si>
  <si>
    <t>Archaic Weapons Proficiency, Oathbound, Weapon Focus</t>
  </si>
  <si>
    <t>Oathbound, Sunder</t>
  </si>
  <si>
    <t>Low Profile, Smart Plus</t>
  </si>
  <si>
    <t>Improved Bull Rush, Tough Plus</t>
  </si>
  <si>
    <t>Katana</t>
  </si>
  <si>
    <t>Lajatang</t>
  </si>
  <si>
    <t>Sang Kauw</t>
  </si>
  <si>
    <t>Siangham, Shuriken</t>
  </si>
  <si>
    <t>Naginata, Sai</t>
  </si>
  <si>
    <t>Voyeur; watches worms in a jar and gets off; lead vocalist</t>
  </si>
  <si>
    <t>Alcoholic; fishing enthusiast</t>
  </si>
  <si>
    <t>Likes to pick fights; bassist</t>
  </si>
  <si>
    <t>Has 3 kids from 4 moms; doesn’t understand; drummer</t>
  </si>
  <si>
    <t>Prefers outer space to planets; guitarist</t>
  </si>
  <si>
    <t>Fully loyal to FF&amp;S; opportunistic on their behalf</t>
  </si>
  <si>
    <t>Disgusted by skin; hair; and reptile scales</t>
  </si>
  <si>
    <t>Habitually promiscuous; and married</t>
  </si>
  <si>
    <t>Reclusive; cloistered; only talks to other Elders</t>
  </si>
  <si>
    <t>Animal lover; usually surrounded by dogs</t>
  </si>
  <si>
    <t>Makes good money; and wouldn’t be doing this otherwise</t>
  </si>
  <si>
    <t>Has never disobeyed an order; direct or indirect; not much of a free thinker</t>
  </si>
  <si>
    <t>Art collector; married into aristocracy</t>
  </si>
  <si>
    <t>Likes to cook; still uses MySpace</t>
  </si>
  <si>
    <t>Disguise expert; hypocritical</t>
  </si>
  <si>
    <t>Likes fast cars; and all kinds of vrusk women</t>
  </si>
  <si>
    <t>Has zero sympathy for victims; even innocent kids</t>
  </si>
  <si>
    <t>Has 49 DNA-confirmed offspring: 6 kids; 41 grandkids and 2 great grandkids</t>
  </si>
  <si>
    <t>Trusts no one; drug free</t>
  </si>
  <si>
    <t>S</t>
  </si>
  <si>
    <t>15’</t>
  </si>
  <si>
    <t>Slashing</t>
  </si>
  <si>
    <t>x2</t>
  </si>
  <si>
    <t>1d2</t>
  </si>
  <si>
    <t>Archaic</t>
  </si>
  <si>
    <t>Whip</t>
  </si>
  <si>
    <t>5’</t>
  </si>
  <si>
    <t>Electric</t>
  </si>
  <si>
    <t>1d4</t>
  </si>
  <si>
    <t>Special</t>
  </si>
  <si>
    <t>Taser</t>
  </si>
  <si>
    <t>T</t>
  </si>
  <si>
    <t>Chemical</t>
  </si>
  <si>
    <t>Pepper Spray</t>
  </si>
  <si>
    <t>30’</t>
  </si>
  <si>
    <t>Piercing</t>
  </si>
  <si>
    <t>1d6</t>
  </si>
  <si>
    <t>Javelin</t>
  </si>
  <si>
    <t>L</t>
  </si>
  <si>
    <t>Fire</t>
  </si>
  <si>
    <t>Flamethrower</t>
  </si>
  <si>
    <t>40’</t>
  </si>
  <si>
    <t>1d10</t>
  </si>
  <si>
    <t>Crossbow</t>
  </si>
  <si>
    <t>1d8</t>
  </si>
  <si>
    <t>Compound Bow</t>
  </si>
  <si>
    <t>1</t>
  </si>
  <si>
    <t>Siangham, MW</t>
  </si>
  <si>
    <t>Siangham</t>
  </si>
  <si>
    <t>10’</t>
  </si>
  <si>
    <t>Shuriken, MW</t>
  </si>
  <si>
    <t>Shuriken</t>
  </si>
  <si>
    <t>x3</t>
  </si>
  <si>
    <t>1d8/1d8</t>
  </si>
  <si>
    <t>Sang Kauw, MW</t>
  </si>
  <si>
    <t>Bludgeoning</t>
  </si>
  <si>
    <t>Sai, MW</t>
  </si>
  <si>
    <t>Sai</t>
  </si>
  <si>
    <t>Naginata, MW</t>
  </si>
  <si>
    <t>Naginata</t>
  </si>
  <si>
    <t>Lajatang, MW</t>
  </si>
  <si>
    <t>19-20/x2</t>
  </si>
  <si>
    <t>Katana, MW</t>
  </si>
  <si>
    <t>Grenade</t>
  </si>
  <si>
    <t>Tangler Grenade</t>
  </si>
  <si>
    <t>Fireflush Grenade</t>
  </si>
  <si>
    <t>20’</t>
  </si>
  <si>
    <t>EMP Grenade</t>
  </si>
  <si>
    <t>Concussion</t>
  </si>
  <si>
    <t>4d6 nl</t>
  </si>
  <si>
    <t>Concussion Grenade</t>
  </si>
  <si>
    <t>SA</t>
  </si>
  <si>
    <t>Tangler Gun</t>
  </si>
  <si>
    <t>150’</t>
  </si>
  <si>
    <t>Varies</t>
  </si>
  <si>
    <t>Mini-Rocket Launcher</t>
  </si>
  <si>
    <t>70’</t>
  </si>
  <si>
    <t>Mini-Grenade Launcher</t>
  </si>
  <si>
    <t>120’</t>
  </si>
  <si>
    <t>3d8</t>
  </si>
  <si>
    <t>Rifle</t>
  </si>
  <si>
    <t>Laser Sniper Rifle</t>
  </si>
  <si>
    <t>80’</t>
  </si>
  <si>
    <t>Laser Rifle</t>
  </si>
  <si>
    <t>2d8</t>
  </si>
  <si>
    <t>Handgun</t>
  </si>
  <si>
    <t>Laser Pistol</t>
  </si>
  <si>
    <t>3d6 nl+</t>
  </si>
  <si>
    <t>Sonic Pulse Grenade</t>
  </si>
  <si>
    <t>Shrapnel Grenade</t>
  </si>
  <si>
    <t>H</t>
  </si>
  <si>
    <t>Linked</t>
  </si>
  <si>
    <t>A</t>
  </si>
  <si>
    <t>100’</t>
  </si>
  <si>
    <t>2d10</t>
  </si>
  <si>
    <t>Twin Thunder Machine Gun</t>
  </si>
  <si>
    <t>Machine Gun</t>
  </si>
  <si>
    <t>TacMil Sniper Rifle</t>
  </si>
  <si>
    <t>Sniper Rifle</t>
  </si>
  <si>
    <t>OICW Assault Rifle</t>
  </si>
  <si>
    <t>Assault Rifle</t>
  </si>
  <si>
    <t>2d6</t>
  </si>
  <si>
    <t>Falcon .45</t>
  </si>
  <si>
    <t>White Phosphorus Grenade</t>
  </si>
  <si>
    <t>Willie Pete</t>
  </si>
  <si>
    <t>6d6</t>
  </si>
  <si>
    <t>Thermite Grenade</t>
  </si>
  <si>
    <t>Tear Gas Grenade</t>
  </si>
  <si>
    <t>Smoke Grenade</t>
  </si>
  <si>
    <t>Molotov Cocktail</t>
  </si>
  <si>
    <t>Acid</t>
  </si>
  <si>
    <t>Acid, Mild</t>
  </si>
  <si>
    <t>Acid Flask</t>
  </si>
  <si>
    <t>1d6+</t>
  </si>
  <si>
    <t>Melee</t>
  </si>
  <si>
    <t>Stun Baton</t>
  </si>
  <si>
    <t>High-Frequency Sword</t>
  </si>
  <si>
    <t>Electric Sword</t>
  </si>
  <si>
    <t>Fragmentation Grenade</t>
  </si>
  <si>
    <t>Explosive</t>
  </si>
  <si>
    <t>Dynamite</t>
  </si>
  <si>
    <t>Detonation Cord</t>
  </si>
  <si>
    <t>C4/Semtex</t>
  </si>
  <si>
    <t>Heavy</t>
  </si>
  <si>
    <t>M79</t>
  </si>
  <si>
    <t>Grenade Launcher</t>
  </si>
  <si>
    <t>10d6</t>
  </si>
  <si>
    <t>M72A3 LAW</t>
  </si>
  <si>
    <t>Rocket Launcher</t>
  </si>
  <si>
    <t>110’</t>
  </si>
  <si>
    <t>2d12</t>
  </si>
  <si>
    <t>M2HB</t>
  </si>
  <si>
    <t>Heavy Gat</t>
  </si>
  <si>
    <t>M-60</t>
  </si>
  <si>
    <t>Standard Gat</t>
  </si>
  <si>
    <t>Remington 700</t>
  </si>
  <si>
    <t>Hunting Rifle</t>
  </si>
  <si>
    <t>Steyr AUG</t>
  </si>
  <si>
    <t>Shredder</t>
  </si>
  <si>
    <t>Sawed-off Shotgun</t>
  </si>
  <si>
    <t>Beretta M3P</t>
  </si>
  <si>
    <t>Shotgun</t>
  </si>
  <si>
    <t>Uzi</t>
  </si>
  <si>
    <t>Downtown</t>
  </si>
  <si>
    <t>90’</t>
  </si>
  <si>
    <t>HK PSG1</t>
  </si>
  <si>
    <t>Retro Sniper Rifle</t>
  </si>
  <si>
    <t>AKM/AK-47</t>
  </si>
  <si>
    <t>TEC-9</t>
  </si>
  <si>
    <t>Auto-Pistol</t>
  </si>
  <si>
    <t>Derringer</t>
  </si>
  <si>
    <t>Princess Zefiya</t>
  </si>
  <si>
    <t>Glock 17</t>
  </si>
  <si>
    <t>Mini Handgun</t>
  </si>
  <si>
    <t>Beretta 92F</t>
  </si>
  <si>
    <t>Retro Handgun</t>
  </si>
  <si>
    <t>Value</t>
  </si>
  <si>
    <t>Size</t>
  </si>
  <si>
    <t>Magazine</t>
  </si>
  <si>
    <t>RoF</t>
  </si>
  <si>
    <t>Rng/Brst</t>
  </si>
  <si>
    <t>Dmg. Type</t>
  </si>
  <si>
    <t>Critical</t>
  </si>
  <si>
    <t>TH+</t>
  </si>
  <si>
    <t>Dmg</t>
  </si>
  <si>
    <t>Canon Name</t>
  </si>
  <si>
    <t>Name</t>
  </si>
  <si>
    <t>Increment</t>
  </si>
  <si>
    <t>Item Cost</t>
  </si>
  <si>
    <t>Purchase DC</t>
  </si>
  <si>
    <t>Midnighter Grenade</t>
  </si>
  <si>
    <t>Sleep Grenade</t>
  </si>
  <si>
    <t>Superadhesive Grenade</t>
  </si>
  <si>
    <t>Superlube Grenade</t>
  </si>
  <si>
    <t>0</t>
  </si>
  <si>
    <t>Doze Grenade</t>
  </si>
  <si>
    <t>Charge Pistol</t>
  </si>
  <si>
    <t>Compression Gun</t>
  </si>
  <si>
    <t>Falcon .55</t>
  </si>
  <si>
    <t>Charge Rifle</t>
  </si>
  <si>
    <t>Flechette Pistol</t>
  </si>
  <si>
    <t>Flechette Rifle</t>
  </si>
  <si>
    <t>Gyrojet Pistol</t>
  </si>
  <si>
    <t>Gyrojet Rifle</t>
  </si>
  <si>
    <t>Sleep Pistol</t>
  </si>
  <si>
    <t>Doosie</t>
  </si>
  <si>
    <t>2d10 nl</t>
  </si>
  <si>
    <t>60’</t>
  </si>
  <si>
    <t>140’</t>
  </si>
  <si>
    <t>Chainsword</t>
  </si>
  <si>
    <t>Mini Frag Grenade</t>
  </si>
  <si>
    <t>40mm Frag Grenade</t>
  </si>
  <si>
    <t>Bat</t>
  </si>
  <si>
    <t>Club</t>
  </si>
  <si>
    <t>Switchblade</t>
  </si>
  <si>
    <t>1d3</t>
  </si>
  <si>
    <t>Sonic Pulse Grenades</t>
  </si>
  <si>
    <t>Gyrojet Rifle, Stun Baton</t>
  </si>
  <si>
    <t>Tangler Grenades</t>
  </si>
  <si>
    <t>Switchblade, Whip, Doze Grenades</t>
  </si>
  <si>
    <t>Sawed-off Shotgun, Molotov Cocktail</t>
  </si>
  <si>
    <t>Tangler Gun, EMP Grenade</t>
  </si>
  <si>
    <t>Laser Sniper Rifle, Taser</t>
  </si>
  <si>
    <t>Flechette Pistol, Taser</t>
  </si>
  <si>
    <t>Flechette Pistol, Pepper Spray</t>
  </si>
  <si>
    <t>Handgun, Shredder</t>
  </si>
  <si>
    <t>Klash</t>
  </si>
  <si>
    <t>Handgun, Sniper Rifle, Stun Baton</t>
  </si>
  <si>
    <t>Handgun, Flechette Rifle, Taser</t>
  </si>
  <si>
    <t>Auto-Pistol, Rocket Launcher, Grenade Launcher</t>
  </si>
  <si>
    <t>Mini Handgun, Tangler Grenades</t>
  </si>
  <si>
    <t>Mini Handgun, Fireflush Grenade</t>
  </si>
  <si>
    <t>Retro Sniper Rifle, Klash, Stun Baton, Willie Pete</t>
  </si>
  <si>
    <t>Flamethrower, Smoke Grenade, Fireflush Grenade</t>
  </si>
  <si>
    <t>Handgun, Laser Rifle, Taser, Shrapnel Grenades</t>
  </si>
  <si>
    <t>Auto-Pistol, Machine Gun, Mini-Grenade Launcher, Mini Frag Grenades</t>
  </si>
  <si>
    <t>Auto-Pistol, Grenade Launcher, Mini-Rocket Launcher, Shrapnel Grenades</t>
  </si>
  <si>
    <t>Frag Grenade</t>
  </si>
  <si>
    <t>Midnighter Grenades, Frag Grenades</t>
  </si>
  <si>
    <t>Auto-Pistol, Charge Rifle, Stun Baton, Doze Grenades</t>
  </si>
  <si>
    <t>Auto-Pistol, Frag Grenades</t>
  </si>
  <si>
    <t>Handgun, Tangler Gun, C4/Semtex, Detonation Cords, Dynamite</t>
  </si>
  <si>
    <t>Doosie, Sonic Pulse Grenade</t>
  </si>
  <si>
    <t>Laser Sniper Rifle, Concussion Grenade</t>
  </si>
  <si>
    <t>Electric Sword, Handgun</t>
  </si>
  <si>
    <t>Auto-Pistol, Concussion Grenades</t>
  </si>
  <si>
    <t>Sword Cane</t>
  </si>
  <si>
    <t>18-20/x2</t>
  </si>
  <si>
    <t>Knife</t>
  </si>
  <si>
    <t>4</t>
  </si>
  <si>
    <t>Leather Jacket</t>
  </si>
  <si>
    <t>Leather Armor</t>
  </si>
  <si>
    <t>Light Undercover Shirt</t>
  </si>
  <si>
    <t>Pull-up Pouch Vest</t>
  </si>
  <si>
    <t>Undercover Vest</t>
  </si>
  <si>
    <t>Concealable Vest</t>
  </si>
  <si>
    <t>Chainmail Shirt</t>
  </si>
  <si>
    <t>Light-duty Vest</t>
  </si>
  <si>
    <t>Tactical Vest</t>
  </si>
  <si>
    <t>Special Response Vest</t>
  </si>
  <si>
    <t>Plate Mail</t>
  </si>
  <si>
    <t>Forced Entry Unit</t>
  </si>
  <si>
    <t>Flight Suit and Helmet</t>
  </si>
  <si>
    <t>Land Warrior Armor</t>
  </si>
  <si>
    <t>Briefcase</t>
  </si>
  <si>
    <t>Caltrops</t>
  </si>
  <si>
    <t>Travel Case (10 lb.)</t>
  </si>
  <si>
    <t>Duct Tape</t>
  </si>
  <si>
    <t>Briefcase, Electrical Toolkit</t>
  </si>
  <si>
    <t>Travel Case (10 lb.), Electrical Toolkit</t>
  </si>
  <si>
    <t>Briefcase, Duct Tape, Electrical Toolkit</t>
  </si>
  <si>
    <t>Sir B-Rad</t>
  </si>
  <si>
    <t>Evidence Kit</t>
  </si>
  <si>
    <t>Briefcase, Evidence Kit</t>
  </si>
  <si>
    <t>Caltrops, Evidence Kit</t>
  </si>
  <si>
    <t>Briefcase, Forgery Kit</t>
  </si>
  <si>
    <t>Disguise Kit, Forgery Kit</t>
  </si>
  <si>
    <t>Handbag, Lock-Release Gun</t>
  </si>
  <si>
    <t>Car Opening Kit, Lockpick Set</t>
  </si>
  <si>
    <t>Search-and-Rescue Kit</t>
  </si>
  <si>
    <t>Briefcase, Handcuffs, Spike Strips</t>
  </si>
  <si>
    <t>Backpack, Electrical Toolkit</t>
  </si>
  <si>
    <t>Backpack</t>
  </si>
  <si>
    <t>Briefcase, Evidence Kit, Mesh Vest</t>
  </si>
  <si>
    <t>Evidence Kit, Mesh Vest</t>
  </si>
  <si>
    <t>Briefcase, Electrical Toolkit, Mesh Vest</t>
  </si>
  <si>
    <t>Binoculars</t>
  </si>
  <si>
    <t>Binoculars, Evidence Kit</t>
  </si>
  <si>
    <t>Briefcase, Forgery Kit, Binoculars</t>
  </si>
  <si>
    <t>Backpack, Binoculars, Mesh Vest</t>
  </si>
  <si>
    <t>Binoculars, Briefcase, Pharmacist Kit</t>
  </si>
  <si>
    <t>Sniper Rifle (Laser Sight)</t>
  </si>
  <si>
    <t>Retro Handgun (Speed Loader), EMP Grenade</t>
  </si>
  <si>
    <t>Doosie (Speed Loader), Midnighter Grenade</t>
  </si>
  <si>
    <t>Flechette Pistol (Speed Loader)</t>
  </si>
  <si>
    <t>Chainsword, Mini Handgun (Suppressor), Midnighter Grenade</t>
  </si>
  <si>
    <t>Downtown (Suppressor), Smoke Grenade, Flamethrower</t>
  </si>
  <si>
    <t>Princess Zefiya (Suppressor), Pepper Spray</t>
  </si>
  <si>
    <t>Princess Zefiya (Suppressor), Crossbow</t>
  </si>
  <si>
    <t>Gyrojet Pistol (Suppressor), Pepper Spray</t>
  </si>
  <si>
    <t>Auto-Pistol (Suppressor)</t>
  </si>
  <si>
    <t>Sniper Rifle (Laser Sight, Suppressor)</t>
  </si>
  <si>
    <t>Sniper Rifle (Speed Loader, Suppressor)</t>
  </si>
  <si>
    <t>Retro Sniper Rifle (Laser Sight, Suppressor)</t>
  </si>
  <si>
    <t>Laser Sniper Rifle (Laser Sight, Suppressor), Assault Rifle</t>
  </si>
  <si>
    <t>Sniper Rifle (Suppressor)</t>
  </si>
  <si>
    <t>Backpack, Car Opening Kit, Mesh Vest, Nanobeacon</t>
  </si>
  <si>
    <t>Disguise Kit (Morphic), Evidence Kit, Instrument (wind)</t>
  </si>
  <si>
    <t>Disguise Kit (Morphic)</t>
  </si>
  <si>
    <t>Binoculars, Disguise Kit (Morphic), Evidence Kit</t>
  </si>
  <si>
    <t>Backpack, Disguise Kit (Morphic)</t>
  </si>
  <si>
    <t>Binoculars, Nausea Wand</t>
  </si>
  <si>
    <t>Wallcrawler Gear</t>
  </si>
  <si>
    <t>Backpack, Wallcrawler Gear</t>
  </si>
  <si>
    <t>Blackout Goggles</t>
  </si>
  <si>
    <t>Electrical Toolkit</t>
  </si>
  <si>
    <t>Blackout Goggles, Disguise Kit</t>
  </si>
  <si>
    <t>Binoculars, Bolt Cutter, Briefcase, Evidence Kit</t>
  </si>
  <si>
    <t>Forgery Kit, Handbag, Instrument (stringed)</t>
  </si>
  <si>
    <t>Chemical Kit, Electrical Toolkit, Travel Case (40 lb.)</t>
  </si>
  <si>
    <t>Duct Tape, Electrical Toolkit, Jetpack, Travel Case (40 lb.)</t>
  </si>
  <si>
    <t>Electrical Toolkit, Travel Case (10 lb.)</t>
  </si>
  <si>
    <t>Electrical Toolkit, Travel Case (40 lb.)</t>
  </si>
  <si>
    <t>Disguise Kit (Morphic), Evidence Kit, Travel Case (40 lb.)</t>
  </si>
  <si>
    <t>Car Opening Kit, Demolitions Kit, Detonators, Handcuffs, Mesh Vest</t>
  </si>
  <si>
    <t>MedKit, Puritizer, Travel Case (10 lb.)</t>
  </si>
  <si>
    <t>Duct Tape, Electrical Toolkit, Travel Case (40 lb.)</t>
  </si>
  <si>
    <r>
      <t>100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200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300</t>
    </r>
  </si>
  <si>
    <r>
      <t>153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306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460</t>
    </r>
  </si>
  <si>
    <r>
      <t>133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266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400</t>
    </r>
  </si>
  <si>
    <r>
      <t>116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233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350</t>
    </r>
  </si>
  <si>
    <r>
      <t>86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173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260</t>
    </r>
  </si>
  <si>
    <r>
      <t>76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153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230</t>
    </r>
  </si>
  <si>
    <r>
      <t>66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133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200</t>
    </r>
  </si>
  <si>
    <r>
      <t>58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116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175</t>
    </r>
  </si>
  <si>
    <r>
      <t>50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100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150</t>
    </r>
  </si>
  <si>
    <r>
      <t>43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86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130</t>
    </r>
  </si>
  <si>
    <r>
      <t>38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76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115</t>
    </r>
  </si>
  <si>
    <r>
      <t>33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66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100</t>
    </r>
  </si>
  <si>
    <r>
      <t>30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60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90</t>
    </r>
  </si>
  <si>
    <r>
      <t>26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53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80</t>
    </r>
  </si>
  <si>
    <r>
      <t>23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46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70</t>
    </r>
  </si>
  <si>
    <r>
      <t>20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40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60</t>
    </r>
  </si>
  <si>
    <r>
      <t>16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33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50</t>
    </r>
  </si>
  <si>
    <r>
      <t>13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40</t>
    </r>
  </si>
  <si>
    <r>
      <t>10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20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30</t>
    </r>
  </si>
  <si>
    <r>
      <t>6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13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20</t>
    </r>
  </si>
  <si>
    <r>
      <t>3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10</t>
    </r>
  </si>
  <si>
    <t>Lg. Capacity</t>
  </si>
  <si>
    <t>Rigged with bomb</t>
  </si>
  <si>
    <t>Armored Plating, Reflective Plating, HoloScreen, Sensor Baffling, Self-Repairing, E-Seal</t>
  </si>
  <si>
    <t>Armored Plating, Reflective Plating, E-Seal</t>
  </si>
  <si>
    <t>Armored Plating, Reflective Plating, Self-Repairing, E-Seal</t>
  </si>
  <si>
    <t>Armored Plating, Reflective Plating, HoloScreen, Sensor Baffling, E-Seal</t>
  </si>
  <si>
    <t>Gas Guzzler</t>
  </si>
  <si>
    <t>Battery Hog</t>
  </si>
  <si>
    <t>Einstein-Rosen XV</t>
  </si>
  <si>
    <t>Holocamera</t>
  </si>
  <si>
    <t>Armored Plating, HoloScreen, Reflective Plating</t>
  </si>
  <si>
    <t>Daughters of Amnesty</t>
  </si>
  <si>
    <t>Collapsible, Compact</t>
  </si>
  <si>
    <t>AudioAct, C-DIS</t>
  </si>
  <si>
    <t>Smoke Screen, Swivel Turret (Laser Rifle)</t>
  </si>
  <si>
    <t>Swivel Turret (Flechette Rifle)</t>
  </si>
  <si>
    <t>Swivel Turret (Laser Rifle)</t>
  </si>
  <si>
    <t>Poisoned Smoke Screen (poison type)</t>
  </si>
  <si>
    <t>Defensive Gadgets</t>
  </si>
  <si>
    <t>Offensive Gadgets</t>
  </si>
  <si>
    <t>Swivel Turret (Rocket Launcher)</t>
  </si>
  <si>
    <t>Swivel Turret (Sleep Pistol)</t>
  </si>
  <si>
    <t>Swivel Turret (Heavy Gat)</t>
  </si>
  <si>
    <t>Swivel Turret (Grenade Launcher), Swivel Turret (Heavy Gat)</t>
  </si>
  <si>
    <t>Squad Unit</t>
  </si>
  <si>
    <t>Swivel Turret (Assault Rifle)</t>
  </si>
  <si>
    <t>Armored Plating, Reflective Plating, Sensor Baffling, Self-Repairing</t>
  </si>
  <si>
    <t>Hubcap Spikes, Smoke Screen</t>
  </si>
  <si>
    <t>Hubcap Spikes, Poisoned Smoke Screen (poison)</t>
  </si>
  <si>
    <t>Oil Slick, Smoke Screen</t>
  </si>
  <si>
    <t>Smoke Screen, Swivel Turret (Mini-Grenade Launcher)</t>
  </si>
  <si>
    <t>Armored Plating, Reflective Plating, Sensor Baffling</t>
  </si>
  <si>
    <t>Air Brakes, SkidHold</t>
  </si>
  <si>
    <t xml:space="preserve">Air Brakes, </t>
  </si>
  <si>
    <t>Air Brakes</t>
  </si>
  <si>
    <t>Air Brakes, AudioAct, C-DIS</t>
  </si>
  <si>
    <t>Air Brakes, AudioAct, SkidHold</t>
  </si>
  <si>
    <t>SkidHold, Harbulary Turbines</t>
  </si>
  <si>
    <t>Air Brakes, Harbulary Turbines, SkidHold</t>
  </si>
  <si>
    <t>Harbulary Turbines</t>
  </si>
  <si>
    <t>AudioAct, C-DIS, Harbulary Turbines</t>
  </si>
  <si>
    <t>Anulax Turbines, Harbulary Turbines</t>
  </si>
  <si>
    <t>Hubcap Spikes, Swivel Turret (Shredder)</t>
  </si>
  <si>
    <t>Swivel Turret (Charge Rifle)</t>
  </si>
  <si>
    <t>Air Brakes, Harbulary Turbines</t>
  </si>
  <si>
    <t>Anulax Turbines</t>
  </si>
  <si>
    <t>Air Brakes, AudioAct, SkidHold, Anulax Turbines</t>
  </si>
  <si>
    <t>Air Brakes, Stun Module, Ultralight, Voice Recognition, TurnQuick</t>
  </si>
  <si>
    <t>Air Brakes, SkidHold, Harbulary Turbines, TurnQuick</t>
  </si>
  <si>
    <t>Mass</t>
  </si>
  <si>
    <t>Def+</t>
  </si>
  <si>
    <t>Duessel Kidof Barmit</t>
  </si>
  <si>
    <t>Armend Kidof Gumibehr</t>
  </si>
  <si>
    <t>Parjheah Kidof Blastileen</t>
  </si>
  <si>
    <t>Runnor Kidof Farfeigh</t>
  </si>
  <si>
    <t>Blackstar Kidof Surdorm</t>
  </si>
  <si>
    <t>Quinta Kidof Orion</t>
  </si>
  <si>
    <t>Zelenorr Kidof Zelenrem</t>
  </si>
  <si>
    <t>Gragatnam Kidof Brey-Tar</t>
  </si>
  <si>
    <t>Lars Thagomizer</t>
  </si>
  <si>
    <t>Vreknar Jebron-Xia</t>
  </si>
  <si>
    <t>Kalbrun Kidof Farfeigh</t>
  </si>
  <si>
    <t>Yale Gorgon-Zoloft</t>
  </si>
  <si>
    <t>Pragnilar De’eromdaati</t>
  </si>
  <si>
    <t>Xhila Rex</t>
  </si>
  <si>
    <t>Bragi Cisne-Shang</t>
  </si>
  <si>
    <t>Cedric Butros</t>
  </si>
  <si>
    <t>Tenerife Zodiac</t>
  </si>
  <si>
    <t>Balzac the Larlumite</t>
  </si>
  <si>
    <t>Vashte Miramoto</t>
  </si>
  <si>
    <t>Tourism Executive</t>
  </si>
  <si>
    <t>Weimar Larfshnagg</t>
  </si>
  <si>
    <t>Gruna Defendparry</t>
  </si>
  <si>
    <t>Niles Steiz</t>
  </si>
  <si>
    <t>Vektor Narnak</t>
  </si>
  <si>
    <t>Spaceport Longshoreman</t>
  </si>
  <si>
    <t>Sociology Professor</t>
  </si>
  <si>
    <t>Field Anthropologist</t>
  </si>
  <si>
    <t>Aggravated Assaulter</t>
  </si>
  <si>
    <t>Madame, Bartender, Medic</t>
  </si>
  <si>
    <t>Heir (Shang), College Student</t>
  </si>
  <si>
    <t>Veterinarian, Schrax Whisperer</t>
  </si>
  <si>
    <t>Bounty Hunter, Trophy Hunter, Butcher</t>
  </si>
  <si>
    <t>Fashion Model, Youth Influencer</t>
  </si>
  <si>
    <t>Plumber, Tinkerer, Junk Artist</t>
  </si>
  <si>
    <t>Adjunct Xenobiology Instructor</t>
  </si>
  <si>
    <t>Jeweler, Gem Cutter, Physics Buff</t>
  </si>
  <si>
    <t>Cartographer, Graphic Artist</t>
  </si>
  <si>
    <t>Fellowship Recipient, Researcher</t>
  </si>
  <si>
    <t>Private Investigator, Former Hitwoman</t>
  </si>
  <si>
    <t>Martia di Manila</t>
  </si>
  <si>
    <t>Martial Artist, Bodyguard, Private Eye</t>
  </si>
  <si>
    <t>Bail Bondsperson, Bounty Hunter</t>
  </si>
  <si>
    <t>Scrognar Dregaværiu</t>
  </si>
  <si>
    <t>Spencer Arango</t>
  </si>
  <si>
    <t>Tåriq Sarkrin</t>
  </si>
  <si>
    <t>Drifter, Prostitute, Arsonist, Hairdresser, Amateur Demolitionist</t>
  </si>
  <si>
    <t>Taxi Driver, Homewrecker</t>
  </si>
  <si>
    <t>Freestyle Fighter, Extreme Sportsman</t>
  </si>
  <si>
    <t>Homebody, Artisan, Holovid Addict</t>
  </si>
  <si>
    <t>Attorney, Animal Rights Activist, Ex-Con</t>
  </si>
  <si>
    <t>Cult Leader, Degenerate Pervert</t>
  </si>
  <si>
    <t>Glutton, Restaurant Owner</t>
  </si>
  <si>
    <t>Profession/Idiosyncrasies</t>
  </si>
  <si>
    <t>Elected Official, Chief of Transportation</t>
  </si>
  <si>
    <t>Monorail Conductor, Employee of the Year</t>
  </si>
  <si>
    <t>Holo-book Narrator, Voice Actor</t>
  </si>
  <si>
    <t>University Campus Security Chief</t>
  </si>
  <si>
    <t>Zarg “Redrum” Ulright</t>
  </si>
  <si>
    <t>Stevia “Rumours” Fleetmac</t>
  </si>
  <si>
    <t>Greta-Darcy Chevrolet</t>
  </si>
  <si>
    <t>Lana “Szlerelek” Vergogna</t>
  </si>
  <si>
    <t>Dance Instructor, Broker</t>
  </si>
  <si>
    <t>Pet Shop Owner, Musician</t>
  </si>
  <si>
    <t>City Planner, Former Schoolteacher</t>
  </si>
  <si>
    <t>Food Vendor, Cuisine Blogger</t>
  </si>
  <si>
    <t>Street Performer, Undercover Agent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</si>
</sst>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₡-140A]#,##0"/>
  </numFmts>
  <fonts count="48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51"/>
      <name val="Times New Roman"/>
      <family val="1"/>
    </font>
    <font>
      <b/>
      <sz val="13"/>
      <color indexed="52"/>
      <name val="Times New Roman"/>
      <family val="1"/>
    </font>
    <font>
      <b/>
      <sz val="13"/>
      <color rgb="FF00CC00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46"/>
      <name val="Times New Roman"/>
      <family val="1"/>
    </font>
    <font>
      <b/>
      <sz val="12"/>
      <color indexed="12"/>
      <name val="Times New Roman"/>
      <family val="1"/>
    </font>
    <font>
      <b/>
      <sz val="12"/>
      <color rgb="FF00CC00"/>
      <name val="Times New Roman"/>
      <family val="1"/>
    </font>
    <font>
      <b/>
      <sz val="12"/>
      <color indexed="51"/>
      <name val="Times New Roman"/>
      <family val="1"/>
    </font>
    <font>
      <b/>
      <sz val="12"/>
      <color indexed="5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3"/>
      <color theme="0"/>
      <name val="Times New Roman"/>
      <family val="1"/>
    </font>
    <font>
      <b/>
      <sz val="13"/>
      <color indexed="17"/>
      <name val="Times New Roman"/>
      <family val="1"/>
    </font>
    <font>
      <b/>
      <sz val="13"/>
      <name val="Symbol"/>
      <family val="1"/>
      <charset val="2"/>
    </font>
    <font>
      <b/>
      <sz val="13"/>
      <color rgb="FFFFC000"/>
      <name val="Times New Roman"/>
      <family val="1"/>
    </font>
    <font>
      <b/>
      <sz val="13"/>
      <color rgb="FF00FF00"/>
      <name val="Times New Roman"/>
      <family val="1"/>
    </font>
    <font>
      <b/>
      <i/>
      <sz val="12"/>
      <color theme="1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FFC000"/>
      <name val="Times New Roman"/>
      <family val="1"/>
    </font>
    <font>
      <sz val="12"/>
      <color theme="0"/>
      <name val="Times New Roman"/>
      <family val="2"/>
    </font>
    <font>
      <sz val="12"/>
      <color theme="1"/>
      <name val="Wingdings"/>
      <charset val="2"/>
    </font>
    <font>
      <sz val="12"/>
      <color indexed="8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name val="Times New Roman"/>
      <family val="1"/>
    </font>
    <font>
      <b/>
      <i/>
      <sz val="12"/>
      <color indexed="17"/>
      <name val="Times New Roman"/>
      <family val="1"/>
    </font>
    <font>
      <b/>
      <i/>
      <vertAlign val="subscript"/>
      <sz val="12"/>
      <color theme="1"/>
      <name val="Times New Roman"/>
      <family val="1"/>
    </font>
    <font>
      <sz val="12"/>
      <name val="Times New Roman"/>
      <family val="2"/>
    </font>
    <font>
      <b/>
      <sz val="12"/>
      <color indexed="9"/>
      <name val="Times New Roman"/>
      <family val="1"/>
    </font>
    <font>
      <b/>
      <sz val="12"/>
      <color theme="0" tint="-0.14999847407452621"/>
      <name val="Times New Roman"/>
      <family val="1"/>
    </font>
    <font>
      <sz val="12"/>
      <color theme="0" tint="-0.14999847407452621"/>
      <name val="Times New Roman"/>
      <family val="1"/>
    </font>
    <font>
      <sz val="12"/>
      <name val="Times New Roman"/>
      <family val="1"/>
    </font>
    <font>
      <sz val="13"/>
      <color indexed="17"/>
      <name val="Times New Roman"/>
      <family val="1"/>
    </font>
    <font>
      <sz val="13"/>
      <name val="Times New Roman"/>
      <family val="1"/>
    </font>
    <font>
      <sz val="13"/>
      <color indexed="51"/>
      <name val="Times New Roman"/>
      <family val="1"/>
    </font>
    <font>
      <sz val="13"/>
      <color indexed="10"/>
      <name val="Times New Roman"/>
      <family val="1"/>
    </font>
    <font>
      <sz val="13"/>
      <color indexed="52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0000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auto="1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7" fillId="0" borderId="0"/>
    <xf numFmtId="0" fontId="35" fillId="0" borderId="0"/>
    <xf numFmtId="9" fontId="17" fillId="0" borderId="0" applyFont="0" applyFill="0" applyBorder="0" applyAlignment="0" applyProtection="0"/>
    <xf numFmtId="0" fontId="42" fillId="0" borderId="0"/>
  </cellStyleXfs>
  <cellXfs count="2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Continuous"/>
    </xf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3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8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Continuous" vertical="center"/>
    </xf>
    <xf numFmtId="0" fontId="20" fillId="0" borderId="3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23" fillId="0" borderId="3" xfId="1" applyFont="1" applyBorder="1" applyAlignment="1">
      <alignment horizontal="centerContinuous" vertical="center"/>
    </xf>
    <xf numFmtId="0" fontId="24" fillId="0" borderId="3" xfId="1" applyFont="1" applyBorder="1" applyAlignment="1">
      <alignment horizontal="center" vertical="center"/>
    </xf>
    <xf numFmtId="49" fontId="19" fillId="0" borderId="3" xfId="1" applyNumberFormat="1" applyFont="1" applyBorder="1" applyAlignment="1">
      <alignment horizontal="center" vertical="center"/>
    </xf>
    <xf numFmtId="0" fontId="17" fillId="0" borderId="0" xfId="1" applyAlignment="1">
      <alignment horizontal="center" vertical="center" wrapText="1"/>
    </xf>
    <xf numFmtId="0" fontId="17" fillId="0" borderId="14" xfId="1" applyBorder="1" applyAlignment="1">
      <alignment horizontal="center" vertical="center" wrapText="1"/>
    </xf>
    <xf numFmtId="0" fontId="17" fillId="0" borderId="14" xfId="1" applyBorder="1" applyAlignment="1">
      <alignment horizontal="center" vertical="center"/>
    </xf>
    <xf numFmtId="0" fontId="17" fillId="0" borderId="17" xfId="1" applyBorder="1" applyAlignment="1">
      <alignment horizontal="center" vertical="center" wrapText="1"/>
    </xf>
    <xf numFmtId="0" fontId="17" fillId="0" borderId="18" xfId="1" applyBorder="1" applyAlignment="1">
      <alignment horizontal="center" vertical="center" wrapText="1"/>
    </xf>
    <xf numFmtId="0" fontId="17" fillId="0" borderId="19" xfId="1" applyBorder="1" applyAlignment="1">
      <alignment horizontal="center" vertical="center" wrapText="1"/>
    </xf>
    <xf numFmtId="164" fontId="17" fillId="0" borderId="20" xfId="1" applyNumberFormat="1" applyBorder="1" applyAlignment="1">
      <alignment horizontal="center" vertical="center" wrapText="1"/>
    </xf>
    <xf numFmtId="0" fontId="17" fillId="0" borderId="20" xfId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7" fillId="0" borderId="11" xfId="1" applyFont="1" applyBorder="1" applyAlignment="1">
      <alignment horizontal="center" vertical="center" wrapText="1"/>
    </xf>
    <xf numFmtId="0" fontId="26" fillId="0" borderId="21" xfId="1" applyFont="1" applyBorder="1" applyAlignment="1">
      <alignment horizontal="center" vertical="center" wrapText="1"/>
    </xf>
    <xf numFmtId="0" fontId="28" fillId="0" borderId="22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9" fillId="0" borderId="17" xfId="1" applyFont="1" applyBorder="1" applyAlignment="1">
      <alignment horizontal="center" vertical="center" wrapText="1"/>
    </xf>
    <xf numFmtId="0" fontId="17" fillId="0" borderId="19" xfId="1" quotePrefix="1" applyBorder="1" applyAlignment="1">
      <alignment horizontal="center" vertical="center" wrapText="1"/>
    </xf>
    <xf numFmtId="0" fontId="17" fillId="0" borderId="23" xfId="1" quotePrefix="1" applyBorder="1" applyAlignment="1">
      <alignment horizontal="center" vertical="center" wrapText="1"/>
    </xf>
    <xf numFmtId="0" fontId="18" fillId="0" borderId="0" xfId="1" applyFont="1" applyAlignment="1">
      <alignment horizontal="right" vertical="center"/>
    </xf>
    <xf numFmtId="0" fontId="17" fillId="0" borderId="0" xfId="1" applyAlignment="1">
      <alignment horizontal="center" vertical="center"/>
    </xf>
    <xf numFmtId="0" fontId="17" fillId="9" borderId="14" xfId="1" applyFill="1" applyBorder="1" applyAlignment="1">
      <alignment horizontal="center" vertical="center" wrapText="1"/>
    </xf>
    <xf numFmtId="0" fontId="17" fillId="9" borderId="17" xfId="1" applyFill="1" applyBorder="1" applyAlignment="1">
      <alignment horizontal="center" vertical="center" wrapText="1"/>
    </xf>
    <xf numFmtId="0" fontId="17" fillId="5" borderId="14" xfId="1" applyFill="1" applyBorder="1" applyAlignment="1">
      <alignment horizontal="center" vertical="center"/>
    </xf>
    <xf numFmtId="0" fontId="17" fillId="2" borderId="14" xfId="1" applyFill="1" applyBorder="1" applyAlignment="1">
      <alignment horizontal="center" vertical="center"/>
    </xf>
    <xf numFmtId="0" fontId="0" fillId="10" borderId="10" xfId="0" applyFill="1" applyBorder="1" applyAlignment="1">
      <alignment horizontal="center"/>
    </xf>
    <xf numFmtId="0" fontId="30" fillId="11" borderId="2" xfId="0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13" borderId="5" xfId="0" applyFont="1" applyFill="1" applyBorder="1" applyAlignment="1">
      <alignment horizontal="center"/>
    </xf>
    <xf numFmtId="0" fontId="10" fillId="13" borderId="9" xfId="0" applyFont="1" applyFill="1" applyBorder="1" applyAlignment="1">
      <alignment horizontal="center"/>
    </xf>
    <xf numFmtId="0" fontId="10" fillId="13" borderId="10" xfId="0" applyFont="1" applyFill="1" applyBorder="1" applyAlignment="1">
      <alignment horizontal="center"/>
    </xf>
    <xf numFmtId="0" fontId="10" fillId="14" borderId="9" xfId="0" applyFont="1" applyFill="1" applyBorder="1" applyAlignment="1">
      <alignment horizontal="center"/>
    </xf>
    <xf numFmtId="0" fontId="10" fillId="14" borderId="10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7" xfId="0" applyFont="1" applyFill="1" applyBorder="1" applyAlignment="1">
      <alignment horizontal="center"/>
    </xf>
    <xf numFmtId="0" fontId="10" fillId="15" borderId="9" xfId="0" applyFont="1" applyFill="1" applyBorder="1" applyAlignment="1">
      <alignment horizontal="center"/>
    </xf>
    <xf numFmtId="0" fontId="10" fillId="15" borderId="10" xfId="0" applyFont="1" applyFill="1" applyBorder="1" applyAlignment="1">
      <alignment horizontal="center"/>
    </xf>
    <xf numFmtId="0" fontId="17" fillId="2" borderId="13" xfId="1" applyFill="1" applyBorder="1" applyAlignment="1">
      <alignment horizontal="center" vertical="center"/>
    </xf>
    <xf numFmtId="0" fontId="9" fillId="6" borderId="14" xfId="1" applyFont="1" applyFill="1" applyBorder="1" applyAlignment="1">
      <alignment horizontal="center" vertical="center"/>
    </xf>
    <xf numFmtId="0" fontId="31" fillId="16" borderId="0" xfId="0" applyFont="1" applyFill="1" applyAlignment="1">
      <alignment horizontal="center" vertical="center"/>
    </xf>
    <xf numFmtId="0" fontId="17" fillId="16" borderId="14" xfId="1" applyFill="1" applyBorder="1" applyAlignment="1">
      <alignment horizontal="center" vertical="center"/>
    </xf>
    <xf numFmtId="0" fontId="34" fillId="15" borderId="14" xfId="1" applyFont="1" applyFill="1" applyBorder="1" applyAlignment="1">
      <alignment horizontal="center" vertical="center"/>
    </xf>
    <xf numFmtId="0" fontId="19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17" borderId="0" xfId="0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35" fillId="0" borderId="0" xfId="2" applyAlignment="1">
      <alignment vertical="center" wrapText="1"/>
    </xf>
    <xf numFmtId="0" fontId="18" fillId="0" borderId="0" xfId="2" applyFont="1" applyAlignment="1">
      <alignment vertical="center" wrapText="1"/>
    </xf>
    <xf numFmtId="0" fontId="35" fillId="0" borderId="14" xfId="2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 wrapText="1"/>
    </xf>
    <xf numFmtId="0" fontId="36" fillId="0" borderId="19" xfId="2" applyFont="1" applyBorder="1" applyAlignment="1">
      <alignment horizontal="right" vertical="center" wrapText="1"/>
    </xf>
    <xf numFmtId="0" fontId="18" fillId="0" borderId="3" xfId="2" applyFont="1" applyBorder="1" applyAlignment="1">
      <alignment horizontal="right" vertical="center"/>
    </xf>
    <xf numFmtId="0" fontId="19" fillId="0" borderId="3" xfId="2" applyFont="1" applyBorder="1" applyAlignment="1">
      <alignment horizontal="center" vertical="center"/>
    </xf>
    <xf numFmtId="0" fontId="35" fillId="0" borderId="0" xfId="2" applyAlignment="1">
      <alignment horizontal="center" vertical="center"/>
    </xf>
    <xf numFmtId="0" fontId="34" fillId="19" borderId="14" xfId="1" applyFont="1" applyFill="1" applyBorder="1" applyAlignment="1">
      <alignment horizontal="center" vertical="center"/>
    </xf>
    <xf numFmtId="0" fontId="19" fillId="20" borderId="3" xfId="1" applyFont="1" applyFill="1" applyBorder="1" applyAlignment="1">
      <alignment horizontal="center" vertical="center"/>
    </xf>
    <xf numFmtId="0" fontId="17" fillId="20" borderId="13" xfId="1" applyFill="1" applyBorder="1" applyAlignment="1">
      <alignment horizontal="center" vertical="center"/>
    </xf>
    <xf numFmtId="0" fontId="17" fillId="20" borderId="14" xfId="1" applyFill="1" applyBorder="1" applyAlignment="1">
      <alignment horizontal="center" vertical="center"/>
    </xf>
    <xf numFmtId="0" fontId="19" fillId="21" borderId="3" xfId="1" applyFont="1" applyFill="1" applyBorder="1" applyAlignment="1">
      <alignment horizontal="center" vertical="center"/>
    </xf>
    <xf numFmtId="0" fontId="17" fillId="21" borderId="13" xfId="1" applyFill="1" applyBorder="1" applyAlignment="1">
      <alignment horizontal="center" vertical="center"/>
    </xf>
    <xf numFmtId="0" fontId="17" fillId="21" borderId="14" xfId="1" applyFill="1" applyBorder="1" applyAlignment="1">
      <alignment horizontal="center" vertical="center"/>
    </xf>
    <xf numFmtId="0" fontId="9" fillId="22" borderId="3" xfId="1" applyFont="1" applyFill="1" applyBorder="1" applyAlignment="1">
      <alignment horizontal="center" vertical="center"/>
    </xf>
    <xf numFmtId="0" fontId="20" fillId="22" borderId="15" xfId="1" applyFont="1" applyFill="1" applyBorder="1" applyAlignment="1">
      <alignment horizontal="center" vertical="center" wrapText="1"/>
    </xf>
    <xf numFmtId="0" fontId="9" fillId="15" borderId="13" xfId="1" applyFont="1" applyFill="1" applyBorder="1" applyAlignment="1">
      <alignment horizontal="center" vertical="center"/>
    </xf>
    <xf numFmtId="0" fontId="9" fillId="15" borderId="14" xfId="1" applyFont="1" applyFill="1" applyBorder="1" applyAlignment="1">
      <alignment horizontal="center" vertical="center"/>
    </xf>
    <xf numFmtId="0" fontId="17" fillId="0" borderId="16" xfId="1" applyBorder="1" applyAlignment="1">
      <alignment horizontal="center" vertical="center"/>
    </xf>
    <xf numFmtId="0" fontId="25" fillId="0" borderId="11" xfId="1" applyFont="1" applyBorder="1" applyAlignment="1">
      <alignment horizontal="right" vertical="center"/>
    </xf>
    <xf numFmtId="0" fontId="25" fillId="8" borderId="11" xfId="1" applyFont="1" applyFill="1" applyBorder="1" applyAlignment="1">
      <alignment horizontal="right" vertical="center"/>
    </xf>
    <xf numFmtId="0" fontId="35" fillId="0" borderId="17" xfId="2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31" fillId="12" borderId="33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4" borderId="33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31" fillId="12" borderId="35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0" fillId="0" borderId="0" xfId="0" quotePrefix="1" applyAlignment="1">
      <alignment horizontal="center" vertical="center" wrapText="1"/>
    </xf>
    <xf numFmtId="0" fontId="34" fillId="15" borderId="13" xfId="1" applyFont="1" applyFill="1" applyBorder="1" applyAlignment="1">
      <alignment horizontal="center" vertical="center"/>
    </xf>
    <xf numFmtId="0" fontId="34" fillId="19" borderId="13" xfId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20" borderId="25" xfId="0" applyFill="1" applyBorder="1" applyAlignment="1">
      <alignment horizontal="center"/>
    </xf>
    <xf numFmtId="0" fontId="0" fillId="20" borderId="33" xfId="0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7" fillId="0" borderId="24" xfId="1" quotePrefix="1" applyBorder="1" applyAlignment="1">
      <alignment horizontal="center" vertical="center" wrapText="1"/>
    </xf>
    <xf numFmtId="0" fontId="17" fillId="0" borderId="20" xfId="1" quotePrefix="1" applyBorder="1" applyAlignment="1">
      <alignment horizontal="center" vertical="center" wrapText="1"/>
    </xf>
    <xf numFmtId="0" fontId="25" fillId="0" borderId="12" xfId="1" applyFont="1" applyBorder="1" applyAlignment="1">
      <alignment horizontal="right" vertical="center"/>
    </xf>
    <xf numFmtId="0" fontId="17" fillId="0" borderId="38" xfId="1" quotePrefix="1" applyBorder="1" applyAlignment="1">
      <alignment horizontal="center" vertical="center" wrapText="1"/>
    </xf>
    <xf numFmtId="0" fontId="17" fillId="0" borderId="0" xfId="1"/>
    <xf numFmtId="0" fontId="17" fillId="0" borderId="0" xfId="1" applyAlignment="1">
      <alignment horizontal="center"/>
    </xf>
    <xf numFmtId="165" fontId="17" fillId="0" borderId="40" xfId="1" applyNumberFormat="1" applyBorder="1" applyAlignment="1">
      <alignment horizontal="center"/>
    </xf>
    <xf numFmtId="165" fontId="17" fillId="0" borderId="44" xfId="1" applyNumberFormat="1" applyBorder="1" applyAlignment="1">
      <alignment horizontal="center"/>
    </xf>
    <xf numFmtId="164" fontId="17" fillId="0" borderId="45" xfId="1" applyNumberFormat="1" applyBorder="1" applyAlignment="1">
      <alignment horizontal="center" vertical="center"/>
    </xf>
    <xf numFmtId="0" fontId="17" fillId="0" borderId="45" xfId="1" applyBorder="1" applyAlignment="1">
      <alignment horizontal="center" vertical="center" shrinkToFit="1"/>
    </xf>
    <xf numFmtId="49" fontId="17" fillId="0" borderId="45" xfId="3" applyNumberFormat="1" applyFont="1" applyBorder="1" applyAlignment="1">
      <alignment horizontal="center" vertical="center"/>
    </xf>
    <xf numFmtId="0" fontId="17" fillId="0" borderId="45" xfId="1" applyBorder="1" applyAlignment="1">
      <alignment horizontal="center" vertical="center"/>
    </xf>
    <xf numFmtId="0" fontId="17" fillId="0" borderId="46" xfId="1" applyBorder="1" applyAlignment="1">
      <alignment horizontal="center" vertical="center"/>
    </xf>
    <xf numFmtId="0" fontId="17" fillId="0" borderId="47" xfId="1" applyBorder="1" applyAlignment="1">
      <alignment horizontal="center" vertical="center"/>
    </xf>
    <xf numFmtId="0" fontId="17" fillId="0" borderId="14" xfId="1" applyBorder="1" applyAlignment="1">
      <alignment horizontal="center" vertical="center" shrinkToFit="1"/>
    </xf>
    <xf numFmtId="164" fontId="17" fillId="0" borderId="14" xfId="1" applyNumberFormat="1" applyBorder="1" applyAlignment="1">
      <alignment horizontal="center" vertical="center"/>
    </xf>
    <xf numFmtId="49" fontId="17" fillId="0" borderId="14" xfId="3" applyNumberFormat="1" applyFont="1" applyBorder="1" applyAlignment="1">
      <alignment horizontal="center" vertical="center"/>
    </xf>
    <xf numFmtId="0" fontId="17" fillId="0" borderId="48" xfId="1" applyBorder="1" applyAlignment="1">
      <alignment horizontal="center" vertical="center"/>
    </xf>
    <xf numFmtId="164" fontId="17" fillId="0" borderId="49" xfId="1" applyNumberFormat="1" applyBorder="1" applyAlignment="1">
      <alignment horizontal="center" vertical="center"/>
    </xf>
    <xf numFmtId="0" fontId="17" fillId="0" borderId="49" xfId="1" applyBorder="1" applyAlignment="1">
      <alignment horizontal="center" vertical="center" shrinkToFit="1"/>
    </xf>
    <xf numFmtId="49" fontId="17" fillId="0" borderId="49" xfId="3" applyNumberFormat="1" applyFont="1" applyBorder="1" applyAlignment="1">
      <alignment horizontal="center" vertical="center"/>
    </xf>
    <xf numFmtId="0" fontId="17" fillId="0" borderId="49" xfId="1" applyBorder="1" applyAlignment="1">
      <alignment horizontal="center" vertical="center"/>
    </xf>
    <xf numFmtId="0" fontId="17" fillId="0" borderId="50" xfId="1" applyBorder="1" applyAlignment="1">
      <alignment horizontal="center" vertical="center"/>
    </xf>
    <xf numFmtId="0" fontId="17" fillId="0" borderId="51" xfId="1" applyBorder="1" applyAlignment="1">
      <alignment horizontal="center" vertical="center"/>
    </xf>
    <xf numFmtId="0" fontId="39" fillId="23" borderId="52" xfId="1" applyFont="1" applyFill="1" applyBorder="1" applyAlignment="1">
      <alignment horizontal="center" vertical="center"/>
    </xf>
    <xf numFmtId="0" fontId="39" fillId="23" borderId="53" xfId="1" applyFont="1" applyFill="1" applyBorder="1" applyAlignment="1">
      <alignment horizontal="center"/>
    </xf>
    <xf numFmtId="49" fontId="39" fillId="23" borderId="53" xfId="1" applyNumberFormat="1" applyFont="1" applyFill="1" applyBorder="1" applyAlignment="1">
      <alignment horizontal="center"/>
    </xf>
    <xf numFmtId="0" fontId="39" fillId="23" borderId="54" xfId="1" applyFont="1" applyFill="1" applyBorder="1" applyAlignment="1">
      <alignment horizontal="center"/>
    </xf>
    <xf numFmtId="0" fontId="39" fillId="23" borderId="55" xfId="1" applyFont="1" applyFill="1" applyBorder="1" applyAlignment="1">
      <alignment horizontal="center"/>
    </xf>
    <xf numFmtId="165" fontId="40" fillId="0" borderId="56" xfId="1" applyNumberFormat="1" applyFont="1" applyBorder="1" applyAlignment="1">
      <alignment horizontal="center"/>
    </xf>
    <xf numFmtId="165" fontId="19" fillId="0" borderId="56" xfId="1" applyNumberFormat="1" applyFont="1" applyBorder="1" applyAlignment="1">
      <alignment horizontal="center"/>
    </xf>
    <xf numFmtId="0" fontId="19" fillId="0" borderId="56" xfId="1" applyFont="1" applyBorder="1" applyAlignment="1">
      <alignment horizontal="center"/>
    </xf>
    <xf numFmtId="165" fontId="17" fillId="0" borderId="0" xfId="1" applyNumberFormat="1" applyAlignment="1">
      <alignment horizontal="center"/>
    </xf>
    <xf numFmtId="0" fontId="41" fillId="0" borderId="0" xfId="1" applyFont="1" applyAlignment="1">
      <alignment horizontal="center"/>
    </xf>
    <xf numFmtId="165" fontId="41" fillId="0" borderId="0" xfId="1" applyNumberFormat="1" applyFont="1" applyAlignment="1">
      <alignment horizontal="center"/>
    </xf>
    <xf numFmtId="165" fontId="17" fillId="0" borderId="0" xfId="1" applyNumberFormat="1"/>
    <xf numFmtId="0" fontId="41" fillId="0" borderId="0" xfId="1" applyFont="1"/>
    <xf numFmtId="0" fontId="17" fillId="0" borderId="48" xfId="1" applyBorder="1" applyAlignment="1">
      <alignment horizontal="center"/>
    </xf>
    <xf numFmtId="0" fontId="17" fillId="0" borderId="43" xfId="1" applyBorder="1" applyAlignment="1">
      <alignment horizontal="center" vertical="center"/>
    </xf>
    <xf numFmtId="0" fontId="17" fillId="0" borderId="16" xfId="1" applyBorder="1" applyAlignment="1">
      <alignment horizontal="center"/>
    </xf>
    <xf numFmtId="0" fontId="17" fillId="0" borderId="42" xfId="1" applyBorder="1" applyAlignment="1">
      <alignment horizontal="center" vertical="center"/>
    </xf>
    <xf numFmtId="0" fontId="17" fillId="0" borderId="14" xfId="1" applyBorder="1" applyAlignment="1">
      <alignment horizontal="center"/>
    </xf>
    <xf numFmtId="0" fontId="17" fillId="0" borderId="41" xfId="1" applyBorder="1" applyAlignment="1">
      <alignment horizontal="center" vertical="center"/>
    </xf>
    <xf numFmtId="49" fontId="17" fillId="0" borderId="41" xfId="3" applyNumberFormat="1" applyFont="1" applyBorder="1" applyAlignment="1">
      <alignment horizontal="center" vertical="center"/>
    </xf>
    <xf numFmtId="0" fontId="17" fillId="0" borderId="41" xfId="1" applyBorder="1" applyAlignment="1">
      <alignment horizontal="center" vertical="center" shrinkToFit="1"/>
    </xf>
    <xf numFmtId="164" fontId="17" fillId="0" borderId="14" xfId="1" applyNumberFormat="1" applyBorder="1" applyAlignment="1">
      <alignment horizontal="center"/>
    </xf>
    <xf numFmtId="164" fontId="17" fillId="0" borderId="41" xfId="1" applyNumberFormat="1" applyBorder="1" applyAlignment="1">
      <alignment horizontal="center" vertical="center"/>
    </xf>
    <xf numFmtId="0" fontId="17" fillId="0" borderId="57" xfId="1" applyBorder="1" applyAlignment="1">
      <alignment horizontal="center" vertical="center"/>
    </xf>
    <xf numFmtId="0" fontId="17" fillId="0" borderId="58" xfId="1" applyBorder="1" applyAlignment="1">
      <alignment horizontal="center" vertical="center"/>
    </xf>
    <xf numFmtId="0" fontId="17" fillId="0" borderId="13" xfId="1" applyBorder="1" applyAlignment="1">
      <alignment horizontal="center" vertical="center"/>
    </xf>
    <xf numFmtId="49" fontId="17" fillId="0" borderId="13" xfId="3" applyNumberFormat="1" applyFont="1" applyBorder="1" applyAlignment="1">
      <alignment horizontal="center" vertical="center"/>
    </xf>
    <xf numFmtId="0" fontId="17" fillId="0" borderId="13" xfId="1" applyBorder="1" applyAlignment="1">
      <alignment horizontal="center" vertical="center" shrinkToFit="1"/>
    </xf>
    <xf numFmtId="164" fontId="17" fillId="0" borderId="13" xfId="1" applyNumberFormat="1" applyBorder="1" applyAlignment="1">
      <alignment horizontal="center" vertical="center"/>
    </xf>
    <xf numFmtId="0" fontId="19" fillId="0" borderId="39" xfId="1" applyFont="1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0" fontId="0" fillId="0" borderId="39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5" fillId="0" borderId="60" xfId="1" applyFont="1" applyBorder="1" applyAlignment="1">
      <alignment horizontal="right" vertical="center"/>
    </xf>
    <xf numFmtId="0" fontId="17" fillId="0" borderId="41" xfId="1" applyBorder="1" applyAlignment="1">
      <alignment horizontal="center" vertical="center" wrapText="1"/>
    </xf>
    <xf numFmtId="0" fontId="9" fillId="6" borderId="41" xfId="1" applyFont="1" applyFill="1" applyBorder="1" applyAlignment="1">
      <alignment horizontal="center" vertical="center"/>
    </xf>
    <xf numFmtId="0" fontId="17" fillId="20" borderId="41" xfId="1" applyFill="1" applyBorder="1" applyAlignment="1">
      <alignment horizontal="center" vertical="center"/>
    </xf>
    <xf numFmtId="0" fontId="17" fillId="21" borderId="41" xfId="1" applyFill="1" applyBorder="1" applyAlignment="1">
      <alignment horizontal="center" vertical="center"/>
    </xf>
    <xf numFmtId="0" fontId="20" fillId="22" borderId="61" xfId="1" applyFont="1" applyFill="1" applyBorder="1" applyAlignment="1">
      <alignment horizontal="center" vertical="center" wrapText="1"/>
    </xf>
    <xf numFmtId="0" fontId="17" fillId="0" borderId="62" xfId="1" applyBorder="1" applyAlignment="1">
      <alignment horizontal="center" vertical="center" wrapText="1"/>
    </xf>
    <xf numFmtId="0" fontId="17" fillId="0" borderId="63" xfId="1" applyBorder="1" applyAlignment="1">
      <alignment horizontal="center" vertical="center" wrapText="1"/>
    </xf>
    <xf numFmtId="0" fontId="17" fillId="9" borderId="41" xfId="1" applyFill="1" applyBorder="1" applyAlignment="1">
      <alignment horizontal="center" vertical="center" wrapText="1"/>
    </xf>
    <xf numFmtId="0" fontId="17" fillId="9" borderId="62" xfId="1" applyFill="1" applyBorder="1" applyAlignment="1">
      <alignment horizontal="center" vertical="center" wrapText="1"/>
    </xf>
    <xf numFmtId="164" fontId="17" fillId="0" borderId="64" xfId="1" applyNumberFormat="1" applyBorder="1" applyAlignment="1">
      <alignment horizontal="center" vertical="center" wrapText="1"/>
    </xf>
    <xf numFmtId="0" fontId="17" fillId="0" borderId="64" xfId="1" applyBorder="1" applyAlignment="1">
      <alignment horizontal="center" vertical="center" wrapText="1"/>
    </xf>
    <xf numFmtId="0" fontId="26" fillId="0" borderId="42" xfId="1" applyFont="1" applyBorder="1" applyAlignment="1">
      <alignment horizontal="center" vertical="center" wrapText="1"/>
    </xf>
    <xf numFmtId="0" fontId="27" fillId="0" borderId="60" xfId="1" applyFont="1" applyBorder="1" applyAlignment="1">
      <alignment horizontal="center" vertical="center" wrapText="1"/>
    </xf>
    <xf numFmtId="0" fontId="26" fillId="0" borderId="65" xfId="1" applyFont="1" applyBorder="1" applyAlignment="1">
      <alignment horizontal="center" vertical="center" wrapText="1"/>
    </xf>
    <xf numFmtId="0" fontId="28" fillId="0" borderId="66" xfId="1" applyFont="1" applyBorder="1" applyAlignment="1">
      <alignment horizontal="center" vertical="center" wrapText="1"/>
    </xf>
    <xf numFmtId="0" fontId="26" fillId="0" borderId="60" xfId="1" applyFont="1" applyBorder="1" applyAlignment="1">
      <alignment horizontal="center" vertical="center" wrapText="1"/>
    </xf>
    <xf numFmtId="0" fontId="29" fillId="0" borderId="62" xfId="1" applyFont="1" applyBorder="1" applyAlignment="1">
      <alignment horizontal="center" vertical="center" wrapText="1"/>
    </xf>
    <xf numFmtId="0" fontId="17" fillId="0" borderId="67" xfId="1" quotePrefix="1" applyBorder="1" applyAlignment="1">
      <alignment horizontal="center" vertical="center" wrapText="1"/>
    </xf>
    <xf numFmtId="0" fontId="17" fillId="0" borderId="63" xfId="1" quotePrefix="1" applyBorder="1" applyAlignment="1">
      <alignment horizontal="center" vertical="center" wrapText="1"/>
    </xf>
    <xf numFmtId="0" fontId="17" fillId="0" borderId="64" xfId="1" quotePrefix="1" applyBorder="1" applyAlignment="1">
      <alignment horizontal="center" vertical="center" wrapText="1"/>
    </xf>
    <xf numFmtId="0" fontId="17" fillId="0" borderId="68" xfId="1" applyBorder="1" applyAlignment="1">
      <alignment horizontal="center" vertical="center" wrapText="1"/>
    </xf>
    <xf numFmtId="0" fontId="18" fillId="0" borderId="69" xfId="1" applyFont="1" applyBorder="1" applyAlignment="1">
      <alignment horizontal="center" vertical="center"/>
    </xf>
    <xf numFmtId="0" fontId="25" fillId="0" borderId="70" xfId="1" applyFont="1" applyBorder="1" applyAlignment="1">
      <alignment horizontal="right" vertical="center"/>
    </xf>
    <xf numFmtId="0" fontId="25" fillId="8" borderId="70" xfId="1" applyFont="1" applyFill="1" applyBorder="1" applyAlignment="1">
      <alignment horizontal="right" vertical="center"/>
    </xf>
    <xf numFmtId="0" fontId="25" fillId="0" borderId="71" xfId="1" applyFont="1" applyBorder="1" applyAlignment="1">
      <alignment horizontal="right" vertical="center"/>
    </xf>
    <xf numFmtId="49" fontId="19" fillId="0" borderId="7" xfId="4" applyNumberFormat="1" applyFont="1" applyBorder="1" applyAlignment="1">
      <alignment horizontal="center"/>
    </xf>
    <xf numFmtId="49" fontId="43" fillId="0" borderId="72" xfId="4" applyNumberFormat="1" applyFont="1" applyBorder="1" applyAlignment="1">
      <alignment horizontal="center" shrinkToFit="1"/>
    </xf>
    <xf numFmtId="0" fontId="43" fillId="0" borderId="72" xfId="4" applyFont="1" applyBorder="1" applyAlignment="1">
      <alignment horizontal="center" shrinkToFit="1"/>
    </xf>
    <xf numFmtId="49" fontId="43" fillId="0" borderId="4" xfId="4" applyNumberFormat="1" applyFont="1" applyBorder="1" applyAlignment="1">
      <alignment horizontal="center" shrinkToFit="1"/>
    </xf>
    <xf numFmtId="0" fontId="19" fillId="0" borderId="1" xfId="4" applyFont="1" applyBorder="1" applyAlignment="1">
      <alignment horizontal="center"/>
    </xf>
    <xf numFmtId="0" fontId="42" fillId="0" borderId="9" xfId="4" applyBorder="1" applyAlignment="1">
      <alignment horizontal="center"/>
    </xf>
    <xf numFmtId="0" fontId="42" fillId="0" borderId="10" xfId="4" applyBorder="1" applyAlignment="1">
      <alignment horizontal="center"/>
    </xf>
    <xf numFmtId="0" fontId="19" fillId="0" borderId="3" xfId="1" applyFont="1" applyBorder="1" applyAlignment="1">
      <alignment vertical="center"/>
    </xf>
  </cellXfs>
  <cellStyles count="5">
    <cellStyle name="Normal" xfId="0" builtinId="0"/>
    <cellStyle name="Normal 2" xfId="2" xr:uid="{E43E20A2-BED5-427A-85B3-63E0C371603D}"/>
    <cellStyle name="Normal 2 2" xfId="1" xr:uid="{13F96C3F-F6E7-4F01-985E-1933476B21A3}"/>
    <cellStyle name="Normal 3" xfId="4" xr:uid="{602E937E-568B-44D4-BAAC-2BD0F8D33F97}"/>
    <cellStyle name="Percent 2" xfId="3" xr:uid="{B91DBD15-3C1B-4A19-AF3B-EA21994E2090}"/>
  </cellStyles>
  <dxfs count="43"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9966FF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CC00"/>
        </patternFill>
      </fill>
    </dxf>
    <dxf>
      <fill>
        <patternFill>
          <bgColor rgb="FFCC66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rgb="FF9999FF"/>
        </patternFill>
      </fill>
    </dxf>
    <dxf>
      <fill>
        <patternFill>
          <bgColor theme="0" tint="-0.34998626667073579"/>
        </patternFill>
      </fill>
    </dxf>
    <dxf>
      <fill>
        <patternFill>
          <bgColor rgb="FF33CCFF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</dxfs>
  <tableStyles count="0" defaultTableStyle="TableStyleMedium2" defaultPivotStyle="PivotStyleLight16"/>
  <colors>
    <mruColors>
      <color rgb="FF9900FF"/>
      <color rgb="FFCC66FF"/>
      <color rgb="FFCC3300"/>
      <color rgb="FF0000FF"/>
      <color rgb="FF9966FF"/>
      <color rgb="FFFFFFCC"/>
      <color rgb="FF33CCFF"/>
      <color rgb="FF00CC00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108857</xdr:colOff>
      <xdr:row>1</xdr:row>
      <xdr:rowOff>87086</xdr:rowOff>
    </xdr:from>
    <xdr:to>
      <xdr:col>26</xdr:col>
      <xdr:colOff>217715</xdr:colOff>
      <xdr:row>2</xdr:row>
      <xdr:rowOff>653142</xdr:rowOff>
    </xdr:to>
    <xdr:sp macro="" textlink="">
      <xdr:nvSpPr>
        <xdr:cNvPr id="2" name="Callout: Up Arrow 1">
          <a:extLst>
            <a:ext uri="{FF2B5EF4-FFF2-40B4-BE49-F238E27FC236}">
              <a16:creationId xmlns:a16="http://schemas.microsoft.com/office/drawing/2014/main" id="{36A2694E-5676-4FC0-9A35-174C702088A2}"/>
            </a:ext>
          </a:extLst>
        </xdr:cNvPr>
        <xdr:cNvSpPr/>
      </xdr:nvSpPr>
      <xdr:spPr>
        <a:xfrm>
          <a:off x="14107886" y="304800"/>
          <a:ext cx="3581400" cy="1164771"/>
        </a:xfrm>
        <a:prstGeom prst="upArrowCallout">
          <a:avLst>
            <a:gd name="adj1" fmla="val 25000"/>
            <a:gd name="adj2" fmla="val 25000"/>
            <a:gd name="adj3" fmla="val 25000"/>
            <a:gd name="adj4" fmla="val 3507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ysClr val="windowText" lastClr="000000"/>
              </a:solidFill>
            </a:rPr>
            <a:t>To be converted to Alpha</a:t>
          </a:r>
          <a:r>
            <a:rPr lang="en-US" sz="1800" baseline="0">
              <a:solidFill>
                <a:sysClr val="windowText" lastClr="000000"/>
              </a:solidFill>
            </a:rPr>
            <a:t> Dawn</a:t>
          </a:r>
          <a:endParaRPr lang="en-US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476500" y="419100"/>
    <xdr:ext cx="685800" cy="160020"/>
    <xdr:sp macro="" textlink="">
      <xdr:nvSpPr>
        <xdr:cNvPr id="2" name="Text Box 6" hidden="1">
          <a:extLst>
            <a:ext uri="{FF2B5EF4-FFF2-40B4-BE49-F238E27FC236}">
              <a16:creationId xmlns:a16="http://schemas.microsoft.com/office/drawing/2014/main" id="{2B743F44-7F4F-48C6-8FBB-7445F6AB0FF5}"/>
            </a:ext>
          </a:extLst>
        </xdr:cNvPr>
        <xdr:cNvSpPr txBox="1">
          <a:spLocks noChangeArrowheads="1"/>
        </xdr:cNvSpPr>
      </xdr:nvSpPr>
      <xdr:spPr bwMode="auto">
        <a:xfrm>
          <a:off x="2476500" y="419100"/>
          <a:ext cx="68580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absoluteAnchor>
  <xdr:twoCellAnchor>
    <xdr:from>
      <xdr:col>4</xdr:col>
      <xdr:colOff>160020</xdr:colOff>
      <xdr:row>4</xdr:row>
      <xdr:rowOff>45720</xdr:rowOff>
    </xdr:from>
    <xdr:to>
      <xdr:col>7</xdr:col>
      <xdr:colOff>60960</xdr:colOff>
      <xdr:row>11</xdr:row>
      <xdr:rowOff>190500</xdr:rowOff>
    </xdr:to>
    <xdr:sp macro="" textlink="">
      <xdr:nvSpPr>
        <xdr:cNvPr id="3" name="Callout: Up Arrow 2">
          <a:extLst>
            <a:ext uri="{FF2B5EF4-FFF2-40B4-BE49-F238E27FC236}">
              <a16:creationId xmlns:a16="http://schemas.microsoft.com/office/drawing/2014/main" id="{82862DEF-4468-433F-FC37-5A204D4292FC}"/>
            </a:ext>
          </a:extLst>
        </xdr:cNvPr>
        <xdr:cNvSpPr/>
      </xdr:nvSpPr>
      <xdr:spPr>
        <a:xfrm>
          <a:off x="4351020" y="853440"/>
          <a:ext cx="1455420" cy="1531620"/>
        </a:xfrm>
        <a:prstGeom prst="upArrowCallou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ysClr val="windowText" lastClr="000000"/>
              </a:solidFill>
            </a:rPr>
            <a:t>To be converted to Alpha</a:t>
          </a:r>
          <a:r>
            <a:rPr lang="en-US" sz="1800" baseline="0">
              <a:solidFill>
                <a:sysClr val="windowText" lastClr="000000"/>
              </a:solidFill>
            </a:rPr>
            <a:t> Dawn</a:t>
          </a:r>
          <a:endParaRPr lang="en-US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11</xdr:row>
      <xdr:rowOff>190500</xdr:rowOff>
    </xdr:from>
    <xdr:to>
      <xdr:col>6</xdr:col>
      <xdr:colOff>175260</xdr:colOff>
      <xdr:row>15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4E35DB-A8F7-0CDC-6DB9-4E12FC19A4F8}"/>
            </a:ext>
          </a:extLst>
        </xdr:cNvPr>
        <xdr:cNvSpPr txBox="1"/>
      </xdr:nvSpPr>
      <xdr:spPr>
        <a:xfrm>
          <a:off x="53340" y="2407920"/>
          <a:ext cx="4236720" cy="7162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30480</xdr:rowOff>
    </xdr:from>
    <xdr:to>
      <xdr:col>5</xdr:col>
      <xdr:colOff>525779</xdr:colOff>
      <xdr:row>4</xdr:row>
      <xdr:rowOff>167640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8CCBA64-29C3-4BAA-8BB9-E1C858B59109}"/>
            </a:ext>
          </a:extLst>
        </xdr:cNvPr>
        <xdr:cNvSpPr txBox="1">
          <a:spLocks noChangeArrowheads="1"/>
        </xdr:cNvSpPr>
      </xdr:nvSpPr>
      <xdr:spPr bwMode="auto">
        <a:xfrm>
          <a:off x="2659380" y="228600"/>
          <a:ext cx="1897379" cy="731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ctr" upright="1"/>
        <a:lstStyle/>
        <a:p>
          <a:pPr algn="ctr" rtl="0">
            <a:lnSpc>
              <a:spcPts val="1600"/>
            </a:lnSpc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For conversion of D20 Future Tech to Alpha Dawn prices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207A7-47D2-459E-9B1B-BD73DAFE33C4}">
  <sheetPr>
    <tabColor rgb="FFCC66FF"/>
  </sheetPr>
  <dimension ref="A1:AW92"/>
  <sheetViews>
    <sheetView showGridLines="0" tabSelected="1" zoomScale="70" zoomScaleNormal="70" workbookViewId="0">
      <pane ySplit="1" topLeftCell="A2" activePane="bottomLeft" state="frozen"/>
      <selection activeCell="X1" sqref="X1"/>
      <selection pane="bottomLeft" activeCell="A2" sqref="A2"/>
    </sheetView>
  </sheetViews>
  <sheetFormatPr defaultColWidth="8.5" defaultRowHeight="16.2" x14ac:dyDescent="0.3"/>
  <cols>
    <col min="1" max="1" width="17.09765625" style="79" bestFit="1" customWidth="1"/>
    <col min="2" max="2" width="19.3984375" style="79" bestFit="1" customWidth="1"/>
    <col min="3" max="3" width="4" style="79" bestFit="1" customWidth="1"/>
    <col min="4" max="4" width="8.19921875" style="79" bestFit="1" customWidth="1"/>
    <col min="5" max="5" width="28.59765625" style="79" bestFit="1" customWidth="1"/>
    <col min="6" max="6" width="5.19921875" style="79" hidden="1" customWidth="1"/>
    <col min="7" max="7" width="10.3984375" style="80" bestFit="1" customWidth="1"/>
    <col min="8" max="8" width="5.69921875" style="80" hidden="1" customWidth="1"/>
    <col min="9" max="9" width="20.3984375" style="80" bestFit="1" customWidth="1"/>
    <col min="10" max="10" width="5.69921875" style="80" bestFit="1" customWidth="1"/>
    <col min="11" max="11" width="4.8984375" style="80" bestFit="1" customWidth="1"/>
    <col min="12" max="12" width="15.69921875" style="80" bestFit="1" customWidth="1"/>
    <col min="13" max="13" width="14.8984375" style="80" bestFit="1" customWidth="1"/>
    <col min="14" max="14" width="9.09765625" style="80" bestFit="1" customWidth="1"/>
    <col min="15" max="15" width="25.296875" style="80" bestFit="1" customWidth="1"/>
    <col min="16" max="16" width="3.69921875" style="80" bestFit="1" customWidth="1"/>
    <col min="17" max="17" width="3.8984375" style="80" customWidth="1"/>
    <col min="18" max="18" width="4.59765625" style="80" bestFit="1" customWidth="1"/>
    <col min="19" max="19" width="3.8984375" style="80" customWidth="1"/>
    <col min="20" max="20" width="4.796875" style="80" bestFit="1" customWidth="1"/>
    <col min="21" max="21" width="3.8984375" style="80" customWidth="1"/>
    <col min="22" max="22" width="3.69921875" style="80" bestFit="1" customWidth="1"/>
    <col min="23" max="23" width="3.8984375" style="80" customWidth="1"/>
    <col min="24" max="24" width="4.59765625" style="80" bestFit="1" customWidth="1"/>
    <col min="25" max="25" width="3.8984375" style="80" customWidth="1"/>
    <col min="26" max="26" width="4.796875" style="80" bestFit="1" customWidth="1"/>
    <col min="27" max="27" width="3.8984375" style="80" customWidth="1"/>
    <col min="28" max="28" width="4.3984375" style="80" bestFit="1" customWidth="1"/>
    <col min="29" max="29" width="4.296875" style="80" bestFit="1" customWidth="1"/>
    <col min="30" max="30" width="5" style="80" bestFit="1" customWidth="1"/>
    <col min="31" max="31" width="2.3984375" style="80" customWidth="1"/>
    <col min="32" max="32" width="4.09765625" style="80" bestFit="1" customWidth="1"/>
    <col min="33" max="33" width="2.3984375" style="80" customWidth="1"/>
    <col min="34" max="34" width="4.296875" style="80" bestFit="1" customWidth="1"/>
    <col min="35" max="35" width="2.3984375" style="80" customWidth="1"/>
    <col min="36" max="36" width="5.3984375" style="80" bestFit="1" customWidth="1"/>
    <col min="37" max="37" width="5.69921875" style="80" bestFit="1" customWidth="1"/>
    <col min="38" max="38" width="3.69921875" style="63" bestFit="1" customWidth="1"/>
    <col min="39" max="39" width="4.19921875" style="63" bestFit="1" customWidth="1"/>
    <col min="40" max="40" width="4" style="80" bestFit="1" customWidth="1"/>
    <col min="41" max="41" width="11.59765625" style="80" bestFit="1" customWidth="1"/>
    <col min="42" max="42" width="16.19921875" style="80" customWidth="1"/>
    <col min="43" max="43" width="16.69921875" style="80" customWidth="1"/>
    <col min="44" max="44" width="20.3984375" style="80" bestFit="1" customWidth="1"/>
    <col min="45" max="45" width="26.19921875" style="80" customWidth="1"/>
    <col min="46" max="46" width="16.09765625" style="63" customWidth="1"/>
    <col min="47" max="47" width="12.5" style="80" customWidth="1"/>
    <col min="48" max="48" width="5.09765625" style="80" bestFit="1" customWidth="1"/>
    <col min="49" max="49" width="22.09765625" style="80" customWidth="1"/>
    <col min="50" max="16384" width="8.5" style="80"/>
  </cols>
  <sheetData>
    <row r="1" spans="1:49" ht="17.399999999999999" thickBot="1" x14ac:dyDescent="0.35">
      <c r="A1" s="241" t="s">
        <v>382</v>
      </c>
      <c r="B1" s="46" t="s">
        <v>59</v>
      </c>
      <c r="C1" s="47" t="s">
        <v>61</v>
      </c>
      <c r="D1" s="47" t="s">
        <v>17</v>
      </c>
      <c r="E1" s="47" t="s">
        <v>155</v>
      </c>
      <c r="F1" s="47" t="s">
        <v>152</v>
      </c>
      <c r="G1" s="123" t="s">
        <v>364</v>
      </c>
      <c r="H1" s="123" t="s">
        <v>495</v>
      </c>
      <c r="I1" s="126" t="s">
        <v>494</v>
      </c>
      <c r="J1" s="126" t="s">
        <v>495</v>
      </c>
      <c r="K1" s="129" t="s">
        <v>60</v>
      </c>
      <c r="L1" s="47" t="s">
        <v>338</v>
      </c>
      <c r="M1" s="47" t="s">
        <v>111</v>
      </c>
      <c r="N1" s="47" t="s">
        <v>151</v>
      </c>
      <c r="O1" s="47" t="s">
        <v>365</v>
      </c>
      <c r="P1" s="49" t="s">
        <v>7</v>
      </c>
      <c r="Q1" s="50" t="s">
        <v>62</v>
      </c>
      <c r="R1" s="51" t="s">
        <v>8</v>
      </c>
      <c r="S1" s="50" t="s">
        <v>63</v>
      </c>
      <c r="T1" s="52" t="s">
        <v>9</v>
      </c>
      <c r="U1" s="50" t="s">
        <v>64</v>
      </c>
      <c r="V1" s="53" t="s">
        <v>4</v>
      </c>
      <c r="W1" s="50" t="s">
        <v>65</v>
      </c>
      <c r="X1" s="54" t="s">
        <v>5</v>
      </c>
      <c r="Y1" s="50" t="s">
        <v>66</v>
      </c>
      <c r="Z1" s="55" t="s">
        <v>6</v>
      </c>
      <c r="AA1" s="50" t="s">
        <v>67</v>
      </c>
      <c r="AB1" s="56" t="s">
        <v>68</v>
      </c>
      <c r="AC1" s="51" t="s">
        <v>69</v>
      </c>
      <c r="AD1" s="57" t="s">
        <v>70</v>
      </c>
      <c r="AE1" s="58" t="s">
        <v>71</v>
      </c>
      <c r="AF1" s="59" t="s">
        <v>72</v>
      </c>
      <c r="AG1" s="58" t="s">
        <v>73</v>
      </c>
      <c r="AH1" s="60" t="s">
        <v>74</v>
      </c>
      <c r="AI1" s="58" t="s">
        <v>75</v>
      </c>
      <c r="AJ1" s="49" t="s">
        <v>76</v>
      </c>
      <c r="AK1" s="61" t="s">
        <v>89</v>
      </c>
      <c r="AL1" s="61" t="s">
        <v>77</v>
      </c>
      <c r="AM1" s="61" t="s">
        <v>88</v>
      </c>
      <c r="AN1" s="52" t="s">
        <v>78</v>
      </c>
      <c r="AO1" s="52" t="s">
        <v>79</v>
      </c>
      <c r="AP1" s="62" t="s">
        <v>493</v>
      </c>
      <c r="AQ1" s="62" t="s">
        <v>726</v>
      </c>
      <c r="AR1" s="62" t="s">
        <v>786</v>
      </c>
      <c r="AS1" s="62" t="s">
        <v>787</v>
      </c>
      <c r="AT1" s="215" t="s">
        <v>80</v>
      </c>
      <c r="AU1" s="47" t="s">
        <v>81</v>
      </c>
      <c r="AV1" s="47" t="s">
        <v>1329</v>
      </c>
      <c r="AW1" s="48" t="s">
        <v>82</v>
      </c>
    </row>
    <row r="2" spans="1:49" ht="46.8" x14ac:dyDescent="0.3">
      <c r="A2" s="242" t="s">
        <v>356</v>
      </c>
      <c r="B2" s="164" t="s">
        <v>357</v>
      </c>
      <c r="C2" s="64" t="s">
        <v>105</v>
      </c>
      <c r="D2" s="65" t="s">
        <v>19</v>
      </c>
      <c r="E2" s="131" t="s">
        <v>94</v>
      </c>
      <c r="F2" s="131" t="s">
        <v>153</v>
      </c>
      <c r="G2" s="124" t="s">
        <v>98</v>
      </c>
      <c r="H2" s="124">
        <v>4</v>
      </c>
      <c r="I2" s="127" t="s">
        <v>38</v>
      </c>
      <c r="J2" s="127">
        <v>6</v>
      </c>
      <c r="K2" s="130">
        <f t="shared" ref="K2:K33" si="0">J2+H2</f>
        <v>10</v>
      </c>
      <c r="L2" s="65" t="s">
        <v>321</v>
      </c>
      <c r="M2" s="133" t="s">
        <v>129</v>
      </c>
      <c r="N2" s="133" t="s">
        <v>148</v>
      </c>
      <c r="O2" s="66" t="s">
        <v>509</v>
      </c>
      <c r="P2" s="68">
        <v>9</v>
      </c>
      <c r="Q2" s="81">
        <f t="shared" ref="Q2:Q14" si="1">IF(P2&gt;9.9,CONCATENATE("+",ROUNDDOWN((P2-10) / 2,0)),ROUNDUP((P2-10) / 2,0))</f>
        <v>-1</v>
      </c>
      <c r="R2" s="64">
        <v>14</v>
      </c>
      <c r="S2" s="81" t="str">
        <f t="shared" ref="S2:S14" si="2">IF(R2&gt;9.9,CONCATENATE("+",ROUNDDOWN((R2-10) / 2,0)),ROUNDUP((R2-10) / 2,0))</f>
        <v>+2</v>
      </c>
      <c r="T2" s="64">
        <v>8</v>
      </c>
      <c r="U2" s="81">
        <f t="shared" ref="U2:U14" si="3">IF(T2&gt;9.9,CONCATENATE("+",ROUNDDOWN((T2-10) / 2,0)),ROUNDUP((T2-10) / 2,0))</f>
        <v>-1</v>
      </c>
      <c r="V2" s="64">
        <v>10</v>
      </c>
      <c r="W2" s="81" t="str">
        <f t="shared" ref="W2:W14" si="4">IF(V2&gt;9.9,CONCATENATE("+",ROUNDDOWN((V2-10) / 2,0)),ROUNDUP((V2-10) / 2,0))</f>
        <v>+0</v>
      </c>
      <c r="X2" s="64">
        <v>14</v>
      </c>
      <c r="Y2" s="81" t="str">
        <f t="shared" ref="Y2:Y14" si="5">IF(X2&gt;9.9,CONCATENATE("+",ROUNDDOWN((X2-10) / 2,0)),ROUNDUP((X2-10) / 2,0))</f>
        <v>+2</v>
      </c>
      <c r="Z2" s="66">
        <v>17</v>
      </c>
      <c r="AA2" s="82" t="str">
        <f t="shared" ref="AA2:AA14" si="6">IF(Z2&gt;9.9,CONCATENATE("+",ROUNDDOWN((Z2-10) / 2,0)),ROUNDUP((Z2-10) / 2,0))</f>
        <v>+3</v>
      </c>
      <c r="AB2" s="69">
        <f t="shared" ref="AB2:AB33" si="7">AVERAGE(P2,R2,T2,V2,X2,Z2)</f>
        <v>12</v>
      </c>
      <c r="AC2" s="70" t="str">
        <f t="shared" ref="AC2:AC33" si="8">IF(R2&gt;9.9,CONCATENATE("+",ROUNDDOWN((R2-10) / 2,0)),ROUNDUP((R2-10) / 2,0))</f>
        <v>+2</v>
      </c>
      <c r="AD2" s="71">
        <f>ROUND($H2*VLOOKUP($G2,'NPC Generator'!$I$2:$R$43,4,FALSE)/10,0)+ROUND($J2*VLOOKUP($I2,'NPC Generator'!$I$2:$R$43,4,FALSE)/10,0)</f>
        <v>4</v>
      </c>
      <c r="AE2" s="72">
        <f t="shared" ref="AE2:AE14" si="9">IF(T2&gt;9.9,(ROUNDDOWN((T2-10) / 2,0)),ROUNDUP((T2-10) / 2,0))+AD2</f>
        <v>3</v>
      </c>
      <c r="AF2" s="73">
        <f>ROUND($H2*VLOOKUP($G2,'NPC Generator'!$I$2:$R$43,5,FALSE)/10,0)+ROUND($J2*VLOOKUP($I2,'NPC Generator'!$I$2:$R$43,5,FALSE)/10,0)</f>
        <v>4</v>
      </c>
      <c r="AG2" s="74">
        <f t="shared" ref="AG2:AG14" si="10">AF2+AC2</f>
        <v>6</v>
      </c>
      <c r="AH2" s="73">
        <f>ROUND($H2*VLOOKUP($G2,'NPC Generator'!$I$2:$R$43,6,FALSE)/10,0)+ROUND($J2*VLOOKUP($I2,'NPC Generator'!$I$2:$R$43,6,FALSE)/10,0)</f>
        <v>4</v>
      </c>
      <c r="AI2" s="76">
        <f t="shared" ref="AI2:AI14" si="11">IF(X2&gt;9.9,(ROUNDDOWN((X2-10) / 2,0)),ROUNDUP((X2-10) / 2,0))+AH2</f>
        <v>6</v>
      </c>
      <c r="AJ2" s="165">
        <f>ROUND($H2*VLOOKUP($G2,'NPC Generator'!$I$2:$R$43,3,FALSE)/10,0)+ROUND($J2*VLOOKUP($I2,'NPC Generator'!$I$2:$R$43,3,FALSE)/10,0)</f>
        <v>6</v>
      </c>
      <c r="AK2" s="68">
        <f>10+AC2+ROUND($H2*VLOOKUP($G2,'NPC Generator'!$I$2:$R$43,7,FALSE)/10,0)+ROUND($J2*VLOOKUP($I2,'NPC Generator'!$I$2:$R$43,7,FALSE)/10,0)</f>
        <v>15</v>
      </c>
      <c r="AL2" s="66">
        <f>AM2-AC2</f>
        <v>15</v>
      </c>
      <c r="AM2" s="66">
        <f>AK2+AV2</f>
        <v>17</v>
      </c>
      <c r="AN2" s="77">
        <f>$H2*(3+VLOOKUP($G2,'NPC Generator'!$I$2:$R$43,10,FALSE))+($J2*VLOOKUP($I2,'NPC Generator'!$I$2:$R$43,10,FALSE))+(U2*SUM(H2,J2))</f>
        <v>62</v>
      </c>
      <c r="AO2" s="78">
        <f>$H2*(3+VLOOKUP($G2,'NPC Generator'!$I$2:$R$43,9,FALSE))+($J2*VLOOKUP($I2,'NPC Generator'!$I$2:$R$43,9,FALSE))</f>
        <v>90</v>
      </c>
      <c r="AP2" s="162" t="s">
        <v>916</v>
      </c>
      <c r="AQ2" s="162" t="s">
        <v>729</v>
      </c>
      <c r="AR2" s="162" t="s">
        <v>776</v>
      </c>
      <c r="AS2" s="78" t="s">
        <v>934</v>
      </c>
      <c r="AT2" s="68" t="s">
        <v>1223</v>
      </c>
      <c r="AU2" s="64" t="s">
        <v>1183</v>
      </c>
      <c r="AV2" s="66">
        <f>VLOOKUP($AU2,¡RefTables!$G$8:$H$22,2,FALSE)</f>
        <v>2</v>
      </c>
      <c r="AW2" s="67" t="s">
        <v>1212</v>
      </c>
    </row>
    <row r="3" spans="1:49" ht="78" x14ac:dyDescent="0.3">
      <c r="A3" s="242" t="s">
        <v>358</v>
      </c>
      <c r="B3" s="134" t="s">
        <v>359</v>
      </c>
      <c r="C3" s="64" t="s">
        <v>105</v>
      </c>
      <c r="D3" s="65" t="s">
        <v>19</v>
      </c>
      <c r="E3" s="132" t="s">
        <v>94</v>
      </c>
      <c r="F3" s="132" t="s">
        <v>153</v>
      </c>
      <c r="G3" s="125" t="s">
        <v>99</v>
      </c>
      <c r="H3" s="125">
        <v>4</v>
      </c>
      <c r="I3" s="128" t="s">
        <v>24</v>
      </c>
      <c r="J3" s="128">
        <v>5</v>
      </c>
      <c r="K3" s="130">
        <f t="shared" si="0"/>
        <v>9</v>
      </c>
      <c r="L3" s="65" t="s">
        <v>308</v>
      </c>
      <c r="M3" s="133" t="s">
        <v>127</v>
      </c>
      <c r="N3" s="133" t="s">
        <v>104</v>
      </c>
      <c r="O3" s="66" t="s">
        <v>512</v>
      </c>
      <c r="P3" s="68">
        <v>16</v>
      </c>
      <c r="Q3" s="81" t="str">
        <f t="shared" si="1"/>
        <v>+3</v>
      </c>
      <c r="R3" s="64">
        <v>14</v>
      </c>
      <c r="S3" s="81" t="str">
        <f t="shared" si="2"/>
        <v>+2</v>
      </c>
      <c r="T3" s="64">
        <v>12</v>
      </c>
      <c r="U3" s="81" t="str">
        <f t="shared" si="3"/>
        <v>+1</v>
      </c>
      <c r="V3" s="64">
        <v>10</v>
      </c>
      <c r="W3" s="81" t="str">
        <f t="shared" si="4"/>
        <v>+0</v>
      </c>
      <c r="X3" s="64">
        <v>12</v>
      </c>
      <c r="Y3" s="81" t="str">
        <f t="shared" si="5"/>
        <v>+1</v>
      </c>
      <c r="Z3" s="66">
        <v>14</v>
      </c>
      <c r="AA3" s="82" t="str">
        <f t="shared" si="6"/>
        <v>+2</v>
      </c>
      <c r="AB3" s="69">
        <f t="shared" si="7"/>
        <v>13</v>
      </c>
      <c r="AC3" s="70" t="str">
        <f t="shared" si="8"/>
        <v>+2</v>
      </c>
      <c r="AD3" s="71">
        <f>ROUND($H3*VLOOKUP($G3,'NPC Generator'!$I$2:$R$43,4,FALSE)/10,0)+ROUND($J3*VLOOKUP($I3,'NPC Generator'!$I$2:$R$43,4,FALSE)/10,0)</f>
        <v>4</v>
      </c>
      <c r="AE3" s="72">
        <f t="shared" si="9"/>
        <v>5</v>
      </c>
      <c r="AF3" s="73">
        <f>ROUND($H3*VLOOKUP($G3,'NPC Generator'!$I$2:$R$43,5,FALSE)/10,0)+ROUND($J3*VLOOKUP($I3,'NPC Generator'!$I$2:$R$43,5,FALSE)/10,0)</f>
        <v>6</v>
      </c>
      <c r="AG3" s="74">
        <f t="shared" si="10"/>
        <v>8</v>
      </c>
      <c r="AH3" s="75">
        <f>ROUND($H3*VLOOKUP($G3,'NPC Generator'!$I$2:$R$43,6,FALSE)/10,0)+ROUND($J3*VLOOKUP($I3,'NPC Generator'!$I$2:$R$43,6,FALSE)/10,0)</f>
        <v>3</v>
      </c>
      <c r="AI3" s="76">
        <f t="shared" si="11"/>
        <v>4</v>
      </c>
      <c r="AJ3" s="165">
        <f>ROUND($H3*VLOOKUP($G3,'NPC Generator'!$I$2:$R$43,3,FALSE)/10,0)+ROUND($J3*VLOOKUP($I3,'NPC Generator'!$I$2:$R$43,3,FALSE)/10,0)</f>
        <v>7</v>
      </c>
      <c r="AK3" s="68">
        <f>10+AC3+ROUND($H3*VLOOKUP($G3,'NPC Generator'!$I$2:$R$43,7,FALSE)/10,0)+ROUND($J3*VLOOKUP($I3,'NPC Generator'!$I$2:$R$43,7,FALSE)/10,0)</f>
        <v>17</v>
      </c>
      <c r="AL3" s="66">
        <f t="shared" ref="AL3:AL66" si="12">AM3-AC3</f>
        <v>17</v>
      </c>
      <c r="AM3" s="66">
        <f t="shared" ref="AM3:AM66" si="13">AK3+AV3</f>
        <v>19</v>
      </c>
      <c r="AN3" s="77">
        <f>$H3*(3+VLOOKUP($G3,'NPC Generator'!$I$2:$R$43,10,FALSE))+($J3*VLOOKUP($I3,'NPC Generator'!$I$2:$R$43,10,FALSE))+(U3*SUM(H3,J3))</f>
        <v>85</v>
      </c>
      <c r="AO3" s="78">
        <f>$H3*(3+VLOOKUP($G3,'NPC Generator'!$I$2:$R$43,9,FALSE))+($J3*VLOOKUP($I3,'NPC Generator'!$I$2:$R$43,9,FALSE))</f>
        <v>55</v>
      </c>
      <c r="AP3" s="163" t="s">
        <v>886</v>
      </c>
      <c r="AQ3" s="163" t="s">
        <v>732</v>
      </c>
      <c r="AR3" s="163" t="s">
        <v>799</v>
      </c>
      <c r="AS3" s="165" t="s">
        <v>837</v>
      </c>
      <c r="AT3" s="68" t="s">
        <v>1226</v>
      </c>
      <c r="AU3" s="64" t="s">
        <v>1182</v>
      </c>
      <c r="AV3" s="66">
        <f>VLOOKUP($AU3,¡RefTables!$G$8:$H$22,2,FALSE)</f>
        <v>2</v>
      </c>
      <c r="AW3" s="67" t="s">
        <v>1247</v>
      </c>
    </row>
    <row r="4" spans="1:49" ht="46.8" x14ac:dyDescent="0.3">
      <c r="A4" s="243" t="s">
        <v>340</v>
      </c>
      <c r="B4" s="135" t="s">
        <v>395</v>
      </c>
      <c r="C4" s="64" t="s">
        <v>106</v>
      </c>
      <c r="D4" s="65" t="s">
        <v>19</v>
      </c>
      <c r="E4" s="132" t="s">
        <v>94</v>
      </c>
      <c r="F4" s="132" t="s">
        <v>153</v>
      </c>
      <c r="G4" s="125" t="s">
        <v>102</v>
      </c>
      <c r="H4" s="125">
        <v>4</v>
      </c>
      <c r="I4" s="128" t="s">
        <v>718</v>
      </c>
      <c r="J4" s="128">
        <v>4</v>
      </c>
      <c r="K4" s="130">
        <f t="shared" si="0"/>
        <v>8</v>
      </c>
      <c r="L4" s="65" t="s">
        <v>319</v>
      </c>
      <c r="M4" s="133" t="s">
        <v>113</v>
      </c>
      <c r="N4" s="133" t="s">
        <v>337</v>
      </c>
      <c r="O4" s="66" t="s">
        <v>722</v>
      </c>
      <c r="P4" s="68">
        <v>10</v>
      </c>
      <c r="Q4" s="81" t="str">
        <f t="shared" si="1"/>
        <v>+0</v>
      </c>
      <c r="R4" s="64">
        <v>12</v>
      </c>
      <c r="S4" s="81" t="str">
        <f t="shared" si="2"/>
        <v>+1</v>
      </c>
      <c r="T4" s="64">
        <v>10</v>
      </c>
      <c r="U4" s="81" t="str">
        <f t="shared" si="3"/>
        <v>+0</v>
      </c>
      <c r="V4" s="64">
        <v>18</v>
      </c>
      <c r="W4" s="81" t="str">
        <f t="shared" si="4"/>
        <v>+4</v>
      </c>
      <c r="X4" s="64">
        <v>10</v>
      </c>
      <c r="Y4" s="81" t="str">
        <f t="shared" si="5"/>
        <v>+0</v>
      </c>
      <c r="Z4" s="66">
        <v>11</v>
      </c>
      <c r="AA4" s="82" t="str">
        <f t="shared" si="6"/>
        <v>+0</v>
      </c>
      <c r="AB4" s="69">
        <f t="shared" si="7"/>
        <v>11.833333333333334</v>
      </c>
      <c r="AC4" s="70" t="str">
        <f t="shared" si="8"/>
        <v>+1</v>
      </c>
      <c r="AD4" s="71">
        <f>ROUND($H4*VLOOKUP($G4,'NPC Generator'!$I$2:$R$43,4,FALSE)/10,0)+ROUND($J4*VLOOKUP($I4,'NPC Generator'!$I$2:$R$43,4,FALSE)/10,0)</f>
        <v>5</v>
      </c>
      <c r="AE4" s="72">
        <f t="shared" si="9"/>
        <v>5</v>
      </c>
      <c r="AF4" s="73">
        <f>ROUND($H4*VLOOKUP($G4,'NPC Generator'!$I$2:$R$43,5,FALSE)/10,0)+ROUND($J4*VLOOKUP($I4,'NPC Generator'!$I$2:$R$43,5,FALSE)/10,0)</f>
        <v>2</v>
      </c>
      <c r="AG4" s="74">
        <f t="shared" si="10"/>
        <v>3</v>
      </c>
      <c r="AH4" s="75">
        <f>ROUND($H4*VLOOKUP($G4,'NPC Generator'!$I$2:$R$43,6,FALSE)/10,0)+ROUND($J4*VLOOKUP($I4,'NPC Generator'!$I$2:$R$43,6,FALSE)/10,0)</f>
        <v>2</v>
      </c>
      <c r="AI4" s="76">
        <f t="shared" si="11"/>
        <v>2</v>
      </c>
      <c r="AJ4" s="165">
        <f>ROUND($H4*VLOOKUP($G4,'NPC Generator'!$I$2:$R$43,3,FALSE)/10,0)+ROUND($J4*VLOOKUP($I4,'NPC Generator'!$I$2:$R$43,3,FALSE)/10,0)</f>
        <v>7</v>
      </c>
      <c r="AK4" s="68">
        <f>10+AC4+ROUND($H4*VLOOKUP($G4,'NPC Generator'!$I$2:$R$43,7,FALSE)/10,0)+ROUND($J4*VLOOKUP($I4,'NPC Generator'!$I$2:$R$43,7,FALSE)/10,0)</f>
        <v>15</v>
      </c>
      <c r="AL4" s="66">
        <f t="shared" si="12"/>
        <v>16</v>
      </c>
      <c r="AM4" s="66">
        <f t="shared" si="13"/>
        <v>17</v>
      </c>
      <c r="AN4" s="77">
        <f>$H4*(3+VLOOKUP($G4,'NPC Generator'!$I$2:$R$43,10,FALSE))+($J4*VLOOKUP($I4,'NPC Generator'!$I$2:$R$43,10,FALSE))+(U4*SUM(H4,J4))</f>
        <v>92</v>
      </c>
      <c r="AO4" s="78">
        <f>$H4*(3+VLOOKUP($G4,'NPC Generator'!$I$2:$R$43,9,FALSE))+($J4*VLOOKUP($I4,'NPC Generator'!$I$2:$R$43,9,FALSE))</f>
        <v>44</v>
      </c>
      <c r="AP4" s="163" t="s">
        <v>919</v>
      </c>
      <c r="AQ4" s="163" t="s">
        <v>738</v>
      </c>
      <c r="AR4" s="163" t="s">
        <v>759</v>
      </c>
      <c r="AS4" s="165" t="s">
        <v>836</v>
      </c>
      <c r="AT4" s="68" t="s">
        <v>1151</v>
      </c>
      <c r="AU4" s="64" t="s">
        <v>1182</v>
      </c>
      <c r="AV4" s="66">
        <f>VLOOKUP($AU4,¡RefTables!$G$8:$H$22,2,FALSE)</f>
        <v>2</v>
      </c>
      <c r="AW4" s="67" t="s">
        <v>1198</v>
      </c>
    </row>
    <row r="5" spans="1:49" ht="46.8" x14ac:dyDescent="0.3">
      <c r="A5" s="243" t="s">
        <v>362</v>
      </c>
      <c r="B5" s="134" t="s">
        <v>363</v>
      </c>
      <c r="C5" s="64" t="s">
        <v>303</v>
      </c>
      <c r="D5" s="65" t="s">
        <v>18</v>
      </c>
      <c r="E5" s="132" t="s">
        <v>94</v>
      </c>
      <c r="F5" s="132" t="s">
        <v>153</v>
      </c>
      <c r="G5" s="125" t="s">
        <v>98</v>
      </c>
      <c r="H5" s="125">
        <v>4</v>
      </c>
      <c r="I5" s="128" t="s">
        <v>45</v>
      </c>
      <c r="J5" s="128">
        <v>4</v>
      </c>
      <c r="K5" s="130">
        <f t="shared" si="0"/>
        <v>8</v>
      </c>
      <c r="L5" s="65" t="s">
        <v>308</v>
      </c>
      <c r="M5" s="133" t="s">
        <v>115</v>
      </c>
      <c r="N5" s="133" t="s">
        <v>150</v>
      </c>
      <c r="O5" s="66" t="s">
        <v>511</v>
      </c>
      <c r="P5" s="68">
        <v>10</v>
      </c>
      <c r="Q5" s="81" t="str">
        <f t="shared" si="1"/>
        <v>+0</v>
      </c>
      <c r="R5" s="64">
        <v>10</v>
      </c>
      <c r="S5" s="81" t="str">
        <f t="shared" si="2"/>
        <v>+0</v>
      </c>
      <c r="T5" s="64">
        <v>10</v>
      </c>
      <c r="U5" s="81" t="str">
        <f t="shared" si="3"/>
        <v>+0</v>
      </c>
      <c r="V5" s="64">
        <v>17</v>
      </c>
      <c r="W5" s="81" t="str">
        <f t="shared" si="4"/>
        <v>+3</v>
      </c>
      <c r="X5" s="64">
        <v>15</v>
      </c>
      <c r="Y5" s="81" t="str">
        <f t="shared" si="5"/>
        <v>+2</v>
      </c>
      <c r="Z5" s="66">
        <v>13</v>
      </c>
      <c r="AA5" s="82" t="str">
        <f t="shared" si="6"/>
        <v>+1</v>
      </c>
      <c r="AB5" s="69">
        <f t="shared" si="7"/>
        <v>12.5</v>
      </c>
      <c r="AC5" s="70" t="str">
        <f t="shared" si="8"/>
        <v>+0</v>
      </c>
      <c r="AD5" s="71">
        <f>ROUND($H5*VLOOKUP($G5,'NPC Generator'!$I$2:$R$43,4,FALSE)/10,0)+ROUND($J5*VLOOKUP($I5,'NPC Generator'!$I$2:$R$43,4,FALSE)/10,0)</f>
        <v>2</v>
      </c>
      <c r="AE5" s="72">
        <f t="shared" si="9"/>
        <v>2</v>
      </c>
      <c r="AF5" s="73">
        <f>ROUND($H5*VLOOKUP($G5,'NPC Generator'!$I$2:$R$43,5,FALSE)/10,0)+ROUND($J5*VLOOKUP($I5,'NPC Generator'!$I$2:$R$43,5,FALSE)/10,0)</f>
        <v>4</v>
      </c>
      <c r="AG5" s="74">
        <f t="shared" si="10"/>
        <v>4</v>
      </c>
      <c r="AH5" s="75">
        <f>ROUND($H5*VLOOKUP($G5,'NPC Generator'!$I$2:$R$43,6,FALSE)/10,0)+ROUND($J5*VLOOKUP($I5,'NPC Generator'!$I$2:$R$43,6,FALSE)/10,0)</f>
        <v>3</v>
      </c>
      <c r="AI5" s="76">
        <f t="shared" si="11"/>
        <v>5</v>
      </c>
      <c r="AJ5" s="165">
        <f>ROUND($H5*VLOOKUP($G5,'NPC Generator'!$I$2:$R$43,3,FALSE)/10,0)+ROUND($J5*VLOOKUP($I5,'NPC Generator'!$I$2:$R$43,3,FALSE)/10,0)</f>
        <v>6</v>
      </c>
      <c r="AK5" s="68">
        <f>10+AC5+ROUND($H5*VLOOKUP($G5,'NPC Generator'!$I$2:$R$43,7,FALSE)/10,0)+ROUND($J5*VLOOKUP($I5,'NPC Generator'!$I$2:$R$43,7,FALSE)/10,0)</f>
        <v>13</v>
      </c>
      <c r="AL5" s="66">
        <f t="shared" si="12"/>
        <v>16</v>
      </c>
      <c r="AM5" s="66">
        <f t="shared" si="13"/>
        <v>16</v>
      </c>
      <c r="AN5" s="77">
        <f>$H5*(3+VLOOKUP($G5,'NPC Generator'!$I$2:$R$43,10,FALSE))+($J5*VLOOKUP($I5,'NPC Generator'!$I$2:$R$43,10,FALSE))+(U5*SUM(H5,J5))</f>
        <v>68</v>
      </c>
      <c r="AO5" s="78">
        <f>$H5*(3+VLOOKUP($G5,'NPC Generator'!$I$2:$R$43,9,FALSE))+($J5*VLOOKUP($I5,'NPC Generator'!$I$2:$R$43,9,FALSE))</f>
        <v>68</v>
      </c>
      <c r="AP5" s="163" t="s">
        <v>903</v>
      </c>
      <c r="AQ5" s="163" t="s">
        <v>730</v>
      </c>
      <c r="AR5" s="163" t="s">
        <v>768</v>
      </c>
      <c r="AS5" s="165" t="s">
        <v>932</v>
      </c>
      <c r="AT5" s="68" t="s">
        <v>1163</v>
      </c>
      <c r="AU5" s="64" t="s">
        <v>1185</v>
      </c>
      <c r="AV5" s="66">
        <f>VLOOKUP($AU5,¡RefTables!$G$8:$H$22,2,FALSE)</f>
        <v>3</v>
      </c>
      <c r="AW5" s="67" t="s">
        <v>1248</v>
      </c>
    </row>
    <row r="6" spans="1:49" ht="62.4" x14ac:dyDescent="0.3">
      <c r="A6" s="242" t="s">
        <v>360</v>
      </c>
      <c r="B6" s="134" t="s">
        <v>361</v>
      </c>
      <c r="C6" s="64" t="s">
        <v>105</v>
      </c>
      <c r="D6" s="65" t="s">
        <v>20</v>
      </c>
      <c r="E6" s="132" t="s">
        <v>94</v>
      </c>
      <c r="F6" s="132" t="s">
        <v>153</v>
      </c>
      <c r="G6" s="125" t="s">
        <v>101</v>
      </c>
      <c r="H6" s="125">
        <v>4</v>
      </c>
      <c r="I6" s="128" t="s">
        <v>717</v>
      </c>
      <c r="J6" s="128">
        <v>3</v>
      </c>
      <c r="K6" s="130">
        <f t="shared" si="0"/>
        <v>7</v>
      </c>
      <c r="L6" s="65" t="s">
        <v>310</v>
      </c>
      <c r="M6" s="133" t="s">
        <v>138</v>
      </c>
      <c r="N6" s="133" t="s">
        <v>149</v>
      </c>
      <c r="O6" s="66" t="s">
        <v>510</v>
      </c>
      <c r="P6" s="68">
        <v>10</v>
      </c>
      <c r="Q6" s="81" t="str">
        <f t="shared" si="1"/>
        <v>+0</v>
      </c>
      <c r="R6" s="64">
        <v>18</v>
      </c>
      <c r="S6" s="81" t="str">
        <f t="shared" si="2"/>
        <v>+4</v>
      </c>
      <c r="T6" s="64">
        <v>10</v>
      </c>
      <c r="U6" s="81" t="str">
        <f t="shared" si="3"/>
        <v>+0</v>
      </c>
      <c r="V6" s="64">
        <v>11</v>
      </c>
      <c r="W6" s="81" t="str">
        <f t="shared" si="4"/>
        <v>+0</v>
      </c>
      <c r="X6" s="64">
        <v>8</v>
      </c>
      <c r="Y6" s="81">
        <f t="shared" si="5"/>
        <v>-1</v>
      </c>
      <c r="Z6" s="66">
        <v>11</v>
      </c>
      <c r="AA6" s="82" t="str">
        <f t="shared" si="6"/>
        <v>+0</v>
      </c>
      <c r="AB6" s="69">
        <f t="shared" si="7"/>
        <v>11.333333333333334</v>
      </c>
      <c r="AC6" s="70" t="str">
        <f t="shared" si="8"/>
        <v>+4</v>
      </c>
      <c r="AD6" s="71">
        <f>ROUND($H6*VLOOKUP($G6,'NPC Generator'!$I$2:$R$43,4,FALSE)/10,0)+ROUND($J6*VLOOKUP($I6,'NPC Generator'!$I$2:$R$43,4,FALSE)/10,0)</f>
        <v>2</v>
      </c>
      <c r="AE6" s="72">
        <f t="shared" si="9"/>
        <v>2</v>
      </c>
      <c r="AF6" s="73">
        <f>ROUND($H6*VLOOKUP($G6,'NPC Generator'!$I$2:$R$43,5,FALSE)/10,0)+ROUND($J6*VLOOKUP($I6,'NPC Generator'!$I$2:$R$43,5,FALSE)/10,0)</f>
        <v>4</v>
      </c>
      <c r="AG6" s="74">
        <f t="shared" si="10"/>
        <v>8</v>
      </c>
      <c r="AH6" s="75">
        <f>ROUND($H6*VLOOKUP($G6,'NPC Generator'!$I$2:$R$43,6,FALSE)/10,0)+ROUND($J6*VLOOKUP($I6,'NPC Generator'!$I$2:$R$43,6,FALSE)/10,0)</f>
        <v>2</v>
      </c>
      <c r="AI6" s="76">
        <f t="shared" si="11"/>
        <v>1</v>
      </c>
      <c r="AJ6" s="165">
        <f>ROUND($H6*VLOOKUP($G6,'NPC Generator'!$I$2:$R$43,3,FALSE)/10,0)+ROUND($J6*VLOOKUP($I6,'NPC Generator'!$I$2:$R$43,3,FALSE)/10,0)</f>
        <v>5</v>
      </c>
      <c r="AK6" s="68">
        <f>10+AC6+ROUND($H6*VLOOKUP($G6,'NPC Generator'!$I$2:$R$43,7,FALSE)/10,0)+ROUND($J6*VLOOKUP($I6,'NPC Generator'!$I$2:$R$43,7,FALSE)/10,0)</f>
        <v>19</v>
      </c>
      <c r="AL6" s="66">
        <f t="shared" si="12"/>
        <v>18</v>
      </c>
      <c r="AM6" s="66">
        <f t="shared" si="13"/>
        <v>22</v>
      </c>
      <c r="AN6" s="77">
        <f>$H6*(3+VLOOKUP($G6,'NPC Generator'!$I$2:$R$43,10,FALSE))+($J6*VLOOKUP($I6,'NPC Generator'!$I$2:$R$43,10,FALSE))+(U6*SUM(H6,J6))</f>
        <v>68</v>
      </c>
      <c r="AO6" s="78">
        <f>$H6*(3+VLOOKUP($G6,'NPC Generator'!$I$2:$R$43,9,FALSE))+($J6*VLOOKUP($I6,'NPC Generator'!$I$2:$R$43,9,FALSE))</f>
        <v>47</v>
      </c>
      <c r="AP6" s="162" t="s">
        <v>894</v>
      </c>
      <c r="AQ6" s="162" t="s">
        <v>728</v>
      </c>
      <c r="AR6" s="163" t="s">
        <v>749</v>
      </c>
      <c r="AS6" s="165" t="s">
        <v>838</v>
      </c>
      <c r="AT6" s="68" t="s">
        <v>1227</v>
      </c>
      <c r="AU6" s="64" t="s">
        <v>1185</v>
      </c>
      <c r="AV6" s="66">
        <f>VLOOKUP($AU6,¡RefTables!$G$8:$H$22,2,FALSE)</f>
        <v>3</v>
      </c>
      <c r="AW6" s="67" t="s">
        <v>1209</v>
      </c>
    </row>
    <row r="7" spans="1:49" ht="31.2" x14ac:dyDescent="0.3">
      <c r="A7" s="242" t="s">
        <v>341</v>
      </c>
      <c r="B7" s="134" t="s">
        <v>342</v>
      </c>
      <c r="C7" s="64" t="s">
        <v>106</v>
      </c>
      <c r="D7" s="65" t="s">
        <v>21</v>
      </c>
      <c r="E7" s="132" t="s">
        <v>1290</v>
      </c>
      <c r="F7" s="132" t="s">
        <v>153</v>
      </c>
      <c r="G7" s="125" t="s">
        <v>99</v>
      </c>
      <c r="H7" s="125">
        <v>4</v>
      </c>
      <c r="I7" s="128" t="s">
        <v>715</v>
      </c>
      <c r="J7" s="128">
        <v>5</v>
      </c>
      <c r="K7" s="130">
        <f t="shared" si="0"/>
        <v>9</v>
      </c>
      <c r="L7" s="65" t="s">
        <v>313</v>
      </c>
      <c r="M7" s="133" t="s">
        <v>113</v>
      </c>
      <c r="N7" s="133" t="s">
        <v>104</v>
      </c>
      <c r="O7" s="66" t="s">
        <v>513</v>
      </c>
      <c r="P7" s="68">
        <v>10</v>
      </c>
      <c r="Q7" s="81" t="str">
        <f t="shared" si="1"/>
        <v>+0</v>
      </c>
      <c r="R7" s="64">
        <v>13</v>
      </c>
      <c r="S7" s="81" t="str">
        <f t="shared" si="2"/>
        <v>+1</v>
      </c>
      <c r="T7" s="64">
        <v>12</v>
      </c>
      <c r="U7" s="81" t="str">
        <f t="shared" si="3"/>
        <v>+1</v>
      </c>
      <c r="V7" s="64">
        <v>14</v>
      </c>
      <c r="W7" s="81" t="str">
        <f t="shared" si="4"/>
        <v>+2</v>
      </c>
      <c r="X7" s="64">
        <v>13</v>
      </c>
      <c r="Y7" s="81" t="str">
        <f t="shared" si="5"/>
        <v>+1</v>
      </c>
      <c r="Z7" s="66">
        <v>16</v>
      </c>
      <c r="AA7" s="82" t="str">
        <f t="shared" si="6"/>
        <v>+3</v>
      </c>
      <c r="AB7" s="69">
        <f t="shared" si="7"/>
        <v>13</v>
      </c>
      <c r="AC7" s="70" t="str">
        <f t="shared" si="8"/>
        <v>+1</v>
      </c>
      <c r="AD7" s="71">
        <f>ROUND($H7*VLOOKUP($G7,'NPC Generator'!$I$2:$R$43,4,FALSE)/10,0)+ROUND($J7*VLOOKUP($I7,'NPC Generator'!$I$2:$R$43,4,FALSE)/10,0)</f>
        <v>4</v>
      </c>
      <c r="AE7" s="72">
        <f t="shared" si="9"/>
        <v>5</v>
      </c>
      <c r="AF7" s="73">
        <f>ROUND($H7*VLOOKUP($G7,'NPC Generator'!$I$2:$R$43,5,FALSE)/10,0)+ROUND($J7*VLOOKUP($I7,'NPC Generator'!$I$2:$R$43,5,FALSE)/10,0)</f>
        <v>6</v>
      </c>
      <c r="AG7" s="74">
        <f t="shared" si="10"/>
        <v>7</v>
      </c>
      <c r="AH7" s="75">
        <f>ROUND($H7*VLOOKUP($G7,'NPC Generator'!$I$2:$R$43,6,FALSE)/10,0)+ROUND($J7*VLOOKUP($I7,'NPC Generator'!$I$2:$R$43,6,FALSE)/10,0)</f>
        <v>3</v>
      </c>
      <c r="AI7" s="76">
        <f t="shared" si="11"/>
        <v>4</v>
      </c>
      <c r="AJ7" s="165">
        <f>ROUND($H7*VLOOKUP($G7,'NPC Generator'!$I$2:$R$43,3,FALSE)/10,0)+ROUND($J7*VLOOKUP($I7,'NPC Generator'!$I$2:$R$43,3,FALSE)/10,0)</f>
        <v>5</v>
      </c>
      <c r="AK7" s="68">
        <f>10+AC7+ROUND($H7*VLOOKUP($G7,'NPC Generator'!$I$2:$R$43,7,FALSE)/10,0)+ROUND($J7*VLOOKUP($I7,'NPC Generator'!$I$2:$R$43,7,FALSE)/10,0)</f>
        <v>15</v>
      </c>
      <c r="AL7" s="66">
        <f t="shared" si="12"/>
        <v>15</v>
      </c>
      <c r="AM7" s="66">
        <f t="shared" si="13"/>
        <v>16</v>
      </c>
      <c r="AN7" s="77">
        <f>$H7*(3+VLOOKUP($G7,'NPC Generator'!$I$2:$R$43,10,FALSE))+($J7*VLOOKUP($I7,'NPC Generator'!$I$2:$R$43,10,FALSE))+(U7*SUM(H7,J7))</f>
        <v>70</v>
      </c>
      <c r="AO7" s="78">
        <f>$H7*(3+VLOOKUP($G7,'NPC Generator'!$I$2:$R$43,9,FALSE))+($J7*VLOOKUP($I7,'NPC Generator'!$I$2:$R$43,9,FALSE))</f>
        <v>70</v>
      </c>
      <c r="AP7" s="163" t="s">
        <v>912</v>
      </c>
      <c r="AQ7" s="163" t="s">
        <v>731</v>
      </c>
      <c r="AR7" s="163" t="s">
        <v>803</v>
      </c>
      <c r="AS7" s="165" t="s">
        <v>933</v>
      </c>
      <c r="AT7" s="68" t="s">
        <v>1155</v>
      </c>
      <c r="AU7" s="64" t="s">
        <v>1181</v>
      </c>
      <c r="AV7" s="66">
        <f>VLOOKUP($AU7,¡RefTables!$G$8:$H$22,2,FALSE)</f>
        <v>1</v>
      </c>
      <c r="AW7" s="67" t="s">
        <v>1208</v>
      </c>
    </row>
    <row r="8" spans="1:49" ht="46.8" x14ac:dyDescent="0.3">
      <c r="A8" s="242" t="s">
        <v>343</v>
      </c>
      <c r="B8" s="134" t="s">
        <v>344</v>
      </c>
      <c r="C8" s="64" t="s">
        <v>106</v>
      </c>
      <c r="D8" s="65" t="s">
        <v>21</v>
      </c>
      <c r="E8" s="132" t="s">
        <v>1290</v>
      </c>
      <c r="F8" s="132" t="s">
        <v>153</v>
      </c>
      <c r="G8" s="125" t="s">
        <v>99</v>
      </c>
      <c r="H8" s="125">
        <v>4</v>
      </c>
      <c r="I8" s="128" t="s">
        <v>26</v>
      </c>
      <c r="J8" s="128">
        <v>4</v>
      </c>
      <c r="K8" s="130">
        <f t="shared" si="0"/>
        <v>8</v>
      </c>
      <c r="L8" s="65" t="s">
        <v>318</v>
      </c>
      <c r="M8" s="133" t="s">
        <v>116</v>
      </c>
      <c r="N8" s="133" t="s">
        <v>305</v>
      </c>
      <c r="O8" s="66" t="s">
        <v>516</v>
      </c>
      <c r="P8" s="68">
        <v>10</v>
      </c>
      <c r="Q8" s="81" t="str">
        <f t="shared" si="1"/>
        <v>+0</v>
      </c>
      <c r="R8" s="64">
        <v>10</v>
      </c>
      <c r="S8" s="81" t="str">
        <f t="shared" si="2"/>
        <v>+0</v>
      </c>
      <c r="T8" s="64">
        <v>10</v>
      </c>
      <c r="U8" s="81" t="str">
        <f t="shared" si="3"/>
        <v>+0</v>
      </c>
      <c r="V8" s="64">
        <v>14</v>
      </c>
      <c r="W8" s="81" t="str">
        <f t="shared" si="4"/>
        <v>+2</v>
      </c>
      <c r="X8" s="64">
        <v>13</v>
      </c>
      <c r="Y8" s="81" t="str">
        <f t="shared" si="5"/>
        <v>+1</v>
      </c>
      <c r="Z8" s="66">
        <v>20</v>
      </c>
      <c r="AA8" s="82" t="str">
        <f t="shared" si="6"/>
        <v>+5</v>
      </c>
      <c r="AB8" s="69">
        <f t="shared" si="7"/>
        <v>12.833333333333334</v>
      </c>
      <c r="AC8" s="70" t="str">
        <f t="shared" si="8"/>
        <v>+0</v>
      </c>
      <c r="AD8" s="71">
        <f>ROUND($H8*VLOOKUP($G8,'NPC Generator'!$I$2:$R$43,4,FALSE)/10,0)+ROUND($J8*VLOOKUP($I8,'NPC Generator'!$I$2:$R$43,4,FALSE)/10,0)</f>
        <v>3</v>
      </c>
      <c r="AE8" s="72">
        <f t="shared" si="9"/>
        <v>3</v>
      </c>
      <c r="AF8" s="73">
        <f>ROUND($H8*VLOOKUP($G8,'NPC Generator'!$I$2:$R$43,5,FALSE)/10,0)+ROUND($J8*VLOOKUP($I8,'NPC Generator'!$I$2:$R$43,5,FALSE)/10,0)</f>
        <v>5</v>
      </c>
      <c r="AG8" s="74">
        <f t="shared" si="10"/>
        <v>5</v>
      </c>
      <c r="AH8" s="75">
        <f>ROUND($H8*VLOOKUP($G8,'NPC Generator'!$I$2:$R$43,6,FALSE)/10,0)+ROUND($J8*VLOOKUP($I8,'NPC Generator'!$I$2:$R$43,6,FALSE)/10,0)</f>
        <v>2</v>
      </c>
      <c r="AI8" s="76">
        <f t="shared" si="11"/>
        <v>3</v>
      </c>
      <c r="AJ8" s="165">
        <f>ROUND($H8*VLOOKUP($G8,'NPC Generator'!$I$2:$R$43,3,FALSE)/10,0)+ROUND($J8*VLOOKUP($I8,'NPC Generator'!$I$2:$R$43,3,FALSE)/10,0)</f>
        <v>4</v>
      </c>
      <c r="AK8" s="68">
        <f>10+AC8+ROUND($H8*VLOOKUP($G8,'NPC Generator'!$I$2:$R$43,7,FALSE)/10,0)+ROUND($J8*VLOOKUP($I8,'NPC Generator'!$I$2:$R$43,7,FALSE)/10,0)</f>
        <v>14</v>
      </c>
      <c r="AL8" s="66">
        <f t="shared" si="12"/>
        <v>17</v>
      </c>
      <c r="AM8" s="66">
        <f t="shared" si="13"/>
        <v>17</v>
      </c>
      <c r="AN8" s="77">
        <f>$H8*(3+VLOOKUP($G8,'NPC Generator'!$I$2:$R$43,10,FALSE))+($J8*VLOOKUP($I8,'NPC Generator'!$I$2:$R$43,10,FALSE))+(U8*SUM(H8,J8))</f>
        <v>68</v>
      </c>
      <c r="AO8" s="78">
        <f>$H8*(3+VLOOKUP($G8,'NPC Generator'!$I$2:$R$43,9,FALSE))+($J8*VLOOKUP($I8,'NPC Generator'!$I$2:$R$43,9,FALSE))</f>
        <v>68</v>
      </c>
      <c r="AP8" s="163" t="s">
        <v>900</v>
      </c>
      <c r="AQ8" s="163" t="s">
        <v>731</v>
      </c>
      <c r="AR8" s="163" t="s">
        <v>802</v>
      </c>
      <c r="AS8" s="165" t="s">
        <v>827</v>
      </c>
      <c r="AT8" s="68" t="s">
        <v>1228</v>
      </c>
      <c r="AU8" s="64" t="s">
        <v>1185</v>
      </c>
      <c r="AV8" s="66">
        <f>VLOOKUP($AU8,¡RefTables!$G$8:$H$22,2,FALSE)</f>
        <v>3</v>
      </c>
      <c r="AW8" s="67" t="s">
        <v>1238</v>
      </c>
    </row>
    <row r="9" spans="1:49" ht="62.4" x14ac:dyDescent="0.3">
      <c r="A9" s="243" t="s">
        <v>348</v>
      </c>
      <c r="B9" s="135" t="s">
        <v>396</v>
      </c>
      <c r="C9" s="64" t="s">
        <v>106</v>
      </c>
      <c r="D9" s="65" t="s">
        <v>21</v>
      </c>
      <c r="E9" s="132" t="s">
        <v>1290</v>
      </c>
      <c r="F9" s="132" t="s">
        <v>153</v>
      </c>
      <c r="G9" s="125" t="s">
        <v>98</v>
      </c>
      <c r="H9" s="125">
        <v>4</v>
      </c>
      <c r="I9" s="128" t="s">
        <v>32</v>
      </c>
      <c r="J9" s="128">
        <v>4</v>
      </c>
      <c r="K9" s="130">
        <f t="shared" si="0"/>
        <v>8</v>
      </c>
      <c r="L9" s="65" t="s">
        <v>315</v>
      </c>
      <c r="M9" s="133" t="s">
        <v>123</v>
      </c>
      <c r="N9" s="133" t="s">
        <v>306</v>
      </c>
      <c r="O9" s="66" t="s">
        <v>515</v>
      </c>
      <c r="P9" s="68">
        <v>6</v>
      </c>
      <c r="Q9" s="81">
        <f t="shared" si="1"/>
        <v>-2</v>
      </c>
      <c r="R9" s="64">
        <v>7</v>
      </c>
      <c r="S9" s="81">
        <f t="shared" si="2"/>
        <v>-2</v>
      </c>
      <c r="T9" s="64">
        <v>9</v>
      </c>
      <c r="U9" s="81">
        <f t="shared" si="3"/>
        <v>-1</v>
      </c>
      <c r="V9" s="64">
        <v>19</v>
      </c>
      <c r="W9" s="81" t="str">
        <f t="shared" si="4"/>
        <v>+4</v>
      </c>
      <c r="X9" s="64">
        <v>18</v>
      </c>
      <c r="Y9" s="81" t="str">
        <f t="shared" si="5"/>
        <v>+4</v>
      </c>
      <c r="Z9" s="66">
        <v>17</v>
      </c>
      <c r="AA9" s="82" t="str">
        <f t="shared" si="6"/>
        <v>+3</v>
      </c>
      <c r="AB9" s="69">
        <f t="shared" si="7"/>
        <v>12.666666666666666</v>
      </c>
      <c r="AC9" s="70">
        <f t="shared" si="8"/>
        <v>-2</v>
      </c>
      <c r="AD9" s="71">
        <f>ROUND($H9*VLOOKUP($G9,'NPC Generator'!$I$2:$R$43,4,FALSE)/10,0)+ROUND($J9*VLOOKUP($I9,'NPC Generator'!$I$2:$R$43,4,FALSE)/10,0)</f>
        <v>2</v>
      </c>
      <c r="AE9" s="72">
        <f t="shared" si="9"/>
        <v>1</v>
      </c>
      <c r="AF9" s="73">
        <f>ROUND($H9*VLOOKUP($G9,'NPC Generator'!$I$2:$R$43,5,FALSE)/10,0)+ROUND($J9*VLOOKUP($I9,'NPC Generator'!$I$2:$R$43,5,FALSE)/10,0)</f>
        <v>3</v>
      </c>
      <c r="AG9" s="74">
        <f t="shared" si="10"/>
        <v>1</v>
      </c>
      <c r="AH9" s="75">
        <f>ROUND($H9*VLOOKUP($G9,'NPC Generator'!$I$2:$R$43,6,FALSE)/10,0)+ROUND($J9*VLOOKUP($I9,'NPC Generator'!$I$2:$R$43,6,FALSE)/10,0)</f>
        <v>4</v>
      </c>
      <c r="AI9" s="76">
        <f t="shared" si="11"/>
        <v>8</v>
      </c>
      <c r="AJ9" s="165">
        <f>ROUND($H9*VLOOKUP($G9,'NPC Generator'!$I$2:$R$43,3,FALSE)/10,0)+ROUND($J9*VLOOKUP($I9,'NPC Generator'!$I$2:$R$43,3,FALSE)/10,0)</f>
        <v>5</v>
      </c>
      <c r="AK9" s="68">
        <f>10+AC9+ROUND($H9*VLOOKUP($G9,'NPC Generator'!$I$2:$R$43,7,FALSE)/10,0)+ROUND($J9*VLOOKUP($I9,'NPC Generator'!$I$2:$R$43,7,FALSE)/10,0)</f>
        <v>11</v>
      </c>
      <c r="AL9" s="66">
        <f t="shared" si="12"/>
        <v>16</v>
      </c>
      <c r="AM9" s="66">
        <f t="shared" si="13"/>
        <v>14</v>
      </c>
      <c r="AN9" s="77">
        <f>$H9*(3+VLOOKUP($G9,'NPC Generator'!$I$2:$R$43,10,FALSE))+($J9*VLOOKUP($I9,'NPC Generator'!$I$2:$R$43,10,FALSE))+(U9*SUM(H9,J9))</f>
        <v>52</v>
      </c>
      <c r="AO9" s="78">
        <f>$H9*(3+VLOOKUP($G9,'NPC Generator'!$I$2:$R$43,9,FALSE))+($J9*VLOOKUP($I9,'NPC Generator'!$I$2:$R$43,9,FALSE))</f>
        <v>68</v>
      </c>
      <c r="AP9" s="162" t="s">
        <v>898</v>
      </c>
      <c r="AQ9" s="162" t="s">
        <v>729</v>
      </c>
      <c r="AR9" s="163" t="s">
        <v>774</v>
      </c>
      <c r="AS9" s="165" t="s">
        <v>847</v>
      </c>
      <c r="AT9" s="68" t="s">
        <v>1229</v>
      </c>
      <c r="AU9" s="64" t="s">
        <v>1185</v>
      </c>
      <c r="AV9" s="66">
        <f>VLOOKUP($AU9,¡RefTables!$G$8:$H$22,2,FALSE)</f>
        <v>3</v>
      </c>
      <c r="AW9" s="67" t="s">
        <v>1218</v>
      </c>
    </row>
    <row r="10" spans="1:49" ht="46.8" x14ac:dyDescent="0.3">
      <c r="A10" s="242" t="s">
        <v>345</v>
      </c>
      <c r="B10" s="134" t="s">
        <v>346</v>
      </c>
      <c r="C10" s="64" t="s">
        <v>106</v>
      </c>
      <c r="D10" s="65" t="s">
        <v>21</v>
      </c>
      <c r="E10" s="132" t="s">
        <v>1290</v>
      </c>
      <c r="F10" s="132" t="s">
        <v>153</v>
      </c>
      <c r="G10" s="125" t="s">
        <v>99</v>
      </c>
      <c r="H10" s="125">
        <v>4</v>
      </c>
      <c r="I10" s="128" t="s">
        <v>33</v>
      </c>
      <c r="J10" s="128">
        <v>4</v>
      </c>
      <c r="K10" s="130">
        <f t="shared" si="0"/>
        <v>8</v>
      </c>
      <c r="L10" s="65" t="s">
        <v>313</v>
      </c>
      <c r="M10" s="133" t="s">
        <v>117</v>
      </c>
      <c r="N10" s="133" t="s">
        <v>305</v>
      </c>
      <c r="O10" s="66" t="s">
        <v>514</v>
      </c>
      <c r="P10" s="68">
        <v>10</v>
      </c>
      <c r="Q10" s="81" t="str">
        <f t="shared" si="1"/>
        <v>+0</v>
      </c>
      <c r="R10" s="64">
        <v>11</v>
      </c>
      <c r="S10" s="81" t="str">
        <f t="shared" si="2"/>
        <v>+0</v>
      </c>
      <c r="T10" s="64">
        <v>10</v>
      </c>
      <c r="U10" s="81" t="str">
        <f t="shared" si="3"/>
        <v>+0</v>
      </c>
      <c r="V10" s="64">
        <v>16</v>
      </c>
      <c r="W10" s="81" t="str">
        <f t="shared" si="4"/>
        <v>+3</v>
      </c>
      <c r="X10" s="64">
        <v>13</v>
      </c>
      <c r="Y10" s="81" t="str">
        <f t="shared" si="5"/>
        <v>+1</v>
      </c>
      <c r="Z10" s="66">
        <v>18</v>
      </c>
      <c r="AA10" s="82" t="str">
        <f t="shared" si="6"/>
        <v>+4</v>
      </c>
      <c r="AB10" s="69">
        <f t="shared" si="7"/>
        <v>13</v>
      </c>
      <c r="AC10" s="70" t="str">
        <f t="shared" si="8"/>
        <v>+0</v>
      </c>
      <c r="AD10" s="71">
        <f>ROUND($H10*VLOOKUP($G10,'NPC Generator'!$I$2:$R$43,4,FALSE)/10,0)+ROUND($J10*VLOOKUP($I10,'NPC Generator'!$I$2:$R$43,4,FALSE)/10,0)</f>
        <v>4</v>
      </c>
      <c r="AE10" s="72">
        <f t="shared" si="9"/>
        <v>4</v>
      </c>
      <c r="AF10" s="73">
        <f>ROUND($H10*VLOOKUP($G10,'NPC Generator'!$I$2:$R$43,5,FALSE)/10,0)+ROUND($J10*VLOOKUP($I10,'NPC Generator'!$I$2:$R$43,5,FALSE)/10,0)</f>
        <v>4</v>
      </c>
      <c r="AG10" s="74">
        <f t="shared" si="10"/>
        <v>4</v>
      </c>
      <c r="AH10" s="75">
        <f>ROUND($H10*VLOOKUP($G10,'NPC Generator'!$I$2:$R$43,6,FALSE)/10,0)+ROUND($J10*VLOOKUP($I10,'NPC Generator'!$I$2:$R$43,6,FALSE)/10,0)</f>
        <v>2</v>
      </c>
      <c r="AI10" s="76">
        <f t="shared" si="11"/>
        <v>3</v>
      </c>
      <c r="AJ10" s="165">
        <f>ROUND($H10*VLOOKUP($G10,'NPC Generator'!$I$2:$R$43,3,FALSE)/10,0)+ROUND($J10*VLOOKUP($I10,'NPC Generator'!$I$2:$R$43,3,FALSE)/10,0)</f>
        <v>4</v>
      </c>
      <c r="AK10" s="68">
        <f>10+AC10+ROUND($H10*VLOOKUP($G10,'NPC Generator'!$I$2:$R$43,7,FALSE)/10,0)+ROUND($J10*VLOOKUP($I10,'NPC Generator'!$I$2:$R$43,7,FALSE)/10,0)</f>
        <v>12</v>
      </c>
      <c r="AL10" s="66">
        <f t="shared" si="12"/>
        <v>14</v>
      </c>
      <c r="AM10" s="66">
        <f t="shared" si="13"/>
        <v>14</v>
      </c>
      <c r="AN10" s="77">
        <f>$H10*(3+VLOOKUP($G10,'NPC Generator'!$I$2:$R$43,10,FALSE))+($J10*VLOOKUP($I10,'NPC Generator'!$I$2:$R$43,10,FALSE))+(U10*SUM(H10,J10))</f>
        <v>60</v>
      </c>
      <c r="AO10" s="78">
        <f>$H10*(3+VLOOKUP($G10,'NPC Generator'!$I$2:$R$43,9,FALSE))+($J10*VLOOKUP($I10,'NPC Generator'!$I$2:$R$43,9,FALSE))</f>
        <v>60</v>
      </c>
      <c r="AP10" s="163" t="s">
        <v>914</v>
      </c>
      <c r="AQ10" s="163" t="s">
        <v>733</v>
      </c>
      <c r="AR10" s="163" t="s">
        <v>801</v>
      </c>
      <c r="AS10" s="165" t="s">
        <v>935</v>
      </c>
      <c r="AT10" s="68" t="s">
        <v>1230</v>
      </c>
      <c r="AU10" s="64" t="s">
        <v>1183</v>
      </c>
      <c r="AV10" s="66">
        <f>VLOOKUP($AU10,¡RefTables!$G$8:$H$22,2,FALSE)</f>
        <v>2</v>
      </c>
      <c r="AW10" s="67" t="s">
        <v>1249</v>
      </c>
    </row>
    <row r="11" spans="1:49" ht="46.8" x14ac:dyDescent="0.3">
      <c r="A11" s="243" t="s">
        <v>347</v>
      </c>
      <c r="B11" s="135" t="s">
        <v>712</v>
      </c>
      <c r="C11" s="64" t="s">
        <v>106</v>
      </c>
      <c r="D11" s="65" t="s">
        <v>21</v>
      </c>
      <c r="E11" s="132" t="s">
        <v>1290</v>
      </c>
      <c r="F11" s="132" t="s">
        <v>153</v>
      </c>
      <c r="G11" s="125" t="s">
        <v>98</v>
      </c>
      <c r="H11" s="125">
        <v>4</v>
      </c>
      <c r="I11" s="128" t="s">
        <v>38</v>
      </c>
      <c r="J11" s="128">
        <v>3</v>
      </c>
      <c r="K11" s="130">
        <f t="shared" si="0"/>
        <v>7</v>
      </c>
      <c r="L11" s="65" t="s">
        <v>313</v>
      </c>
      <c r="M11" s="133" t="s">
        <v>117</v>
      </c>
      <c r="N11" s="133" t="s">
        <v>304</v>
      </c>
      <c r="O11" s="66" t="s">
        <v>576</v>
      </c>
      <c r="P11" s="68">
        <v>10</v>
      </c>
      <c r="Q11" s="81" t="str">
        <f t="shared" si="1"/>
        <v>+0</v>
      </c>
      <c r="R11" s="64">
        <v>14</v>
      </c>
      <c r="S11" s="81" t="str">
        <f t="shared" si="2"/>
        <v>+2</v>
      </c>
      <c r="T11" s="64">
        <v>10</v>
      </c>
      <c r="U11" s="81" t="str">
        <f t="shared" si="3"/>
        <v>+0</v>
      </c>
      <c r="V11" s="64">
        <v>16</v>
      </c>
      <c r="W11" s="81" t="str">
        <f t="shared" si="4"/>
        <v>+3</v>
      </c>
      <c r="X11" s="64">
        <v>14</v>
      </c>
      <c r="Y11" s="81" t="str">
        <f t="shared" si="5"/>
        <v>+2</v>
      </c>
      <c r="Z11" s="66">
        <v>10</v>
      </c>
      <c r="AA11" s="82" t="str">
        <f t="shared" si="6"/>
        <v>+0</v>
      </c>
      <c r="AB11" s="69">
        <f t="shared" si="7"/>
        <v>12.333333333333334</v>
      </c>
      <c r="AC11" s="70" t="str">
        <f t="shared" si="8"/>
        <v>+2</v>
      </c>
      <c r="AD11" s="71">
        <f>ROUND($H11*VLOOKUP($G11,'NPC Generator'!$I$2:$R$43,4,FALSE)/10,0)+ROUND($J11*VLOOKUP($I11,'NPC Generator'!$I$2:$R$43,4,FALSE)/10,0)</f>
        <v>3</v>
      </c>
      <c r="AE11" s="72">
        <f t="shared" si="9"/>
        <v>3</v>
      </c>
      <c r="AF11" s="73">
        <f>ROUND($H11*VLOOKUP($G11,'NPC Generator'!$I$2:$R$43,5,FALSE)/10,0)+ROUND($J11*VLOOKUP($I11,'NPC Generator'!$I$2:$R$43,5,FALSE)/10,0)</f>
        <v>3</v>
      </c>
      <c r="AG11" s="74">
        <f t="shared" si="10"/>
        <v>5</v>
      </c>
      <c r="AH11" s="75">
        <f>ROUND($H11*VLOOKUP($G11,'NPC Generator'!$I$2:$R$43,6,FALSE)/10,0)+ROUND($J11*VLOOKUP($I11,'NPC Generator'!$I$2:$R$43,6,FALSE)/10,0)</f>
        <v>3</v>
      </c>
      <c r="AI11" s="76">
        <f t="shared" si="11"/>
        <v>5</v>
      </c>
      <c r="AJ11" s="165">
        <f>ROUND($H11*VLOOKUP($G11,'NPC Generator'!$I$2:$R$43,3,FALSE)/10,0)+ROUND($J11*VLOOKUP($I11,'NPC Generator'!$I$2:$R$43,3,FALSE)/10,0)</f>
        <v>4</v>
      </c>
      <c r="AK11" s="68">
        <f>10+AC11+ROUND($H11*VLOOKUP($G11,'NPC Generator'!$I$2:$R$43,7,FALSE)/10,0)+ROUND($J11*VLOOKUP($I11,'NPC Generator'!$I$2:$R$43,7,FALSE)/10,0)</f>
        <v>14</v>
      </c>
      <c r="AL11" s="66">
        <f t="shared" si="12"/>
        <v>13</v>
      </c>
      <c r="AM11" s="66">
        <f t="shared" si="13"/>
        <v>15</v>
      </c>
      <c r="AN11" s="77">
        <f>$H11*(3+VLOOKUP($G11,'NPC Generator'!$I$2:$R$43,10,FALSE))+($J11*VLOOKUP($I11,'NPC Generator'!$I$2:$R$43,10,FALSE))+(U11*SUM(H11,J11))</f>
        <v>54</v>
      </c>
      <c r="AO11" s="78">
        <f>$H11*(3+VLOOKUP($G11,'NPC Generator'!$I$2:$R$43,9,FALSE))+($J11*VLOOKUP($I11,'NPC Generator'!$I$2:$R$43,9,FALSE))</f>
        <v>69</v>
      </c>
      <c r="AP11" s="163" t="s">
        <v>910</v>
      </c>
      <c r="AQ11" s="163" t="s">
        <v>729</v>
      </c>
      <c r="AR11" s="163" t="s">
        <v>775</v>
      </c>
      <c r="AS11" s="165" t="s">
        <v>833</v>
      </c>
      <c r="AT11" s="68" t="s">
        <v>1147</v>
      </c>
      <c r="AU11" s="64" t="s">
        <v>1181</v>
      </c>
      <c r="AV11" s="66">
        <f>VLOOKUP($AU11,¡RefTables!$G$8:$H$22,2,FALSE)</f>
        <v>1</v>
      </c>
      <c r="AW11" s="67" t="s">
        <v>1199</v>
      </c>
    </row>
    <row r="12" spans="1:49" ht="62.4" x14ac:dyDescent="0.3">
      <c r="A12" s="242" t="s">
        <v>460</v>
      </c>
      <c r="B12" s="134" t="s">
        <v>472</v>
      </c>
      <c r="C12" s="64" t="s">
        <v>303</v>
      </c>
      <c r="D12" s="65" t="s">
        <v>18</v>
      </c>
      <c r="E12" s="83" t="s">
        <v>90</v>
      </c>
      <c r="F12" s="83" t="s">
        <v>105</v>
      </c>
      <c r="G12" s="125" t="s">
        <v>98</v>
      </c>
      <c r="H12" s="125">
        <v>4</v>
      </c>
      <c r="I12" s="128" t="s">
        <v>29</v>
      </c>
      <c r="J12" s="128">
        <v>6</v>
      </c>
      <c r="K12" s="130">
        <f t="shared" si="0"/>
        <v>10</v>
      </c>
      <c r="L12" s="65" t="s">
        <v>326</v>
      </c>
      <c r="M12" s="133" t="s">
        <v>122</v>
      </c>
      <c r="N12" s="133" t="s">
        <v>148</v>
      </c>
      <c r="O12" s="66" t="s">
        <v>517</v>
      </c>
      <c r="P12" s="68">
        <v>10</v>
      </c>
      <c r="Q12" s="81" t="str">
        <f t="shared" si="1"/>
        <v>+0</v>
      </c>
      <c r="R12" s="64">
        <v>13</v>
      </c>
      <c r="S12" s="81" t="str">
        <f t="shared" si="2"/>
        <v>+1</v>
      </c>
      <c r="T12" s="64">
        <v>9</v>
      </c>
      <c r="U12" s="81">
        <f t="shared" si="3"/>
        <v>-1</v>
      </c>
      <c r="V12" s="64">
        <v>16</v>
      </c>
      <c r="W12" s="81" t="str">
        <f t="shared" si="4"/>
        <v>+3</v>
      </c>
      <c r="X12" s="64">
        <v>10</v>
      </c>
      <c r="Y12" s="81" t="str">
        <f t="shared" si="5"/>
        <v>+0</v>
      </c>
      <c r="Z12" s="66">
        <v>15</v>
      </c>
      <c r="AA12" s="82" t="str">
        <f t="shared" si="6"/>
        <v>+2</v>
      </c>
      <c r="AB12" s="69">
        <f t="shared" si="7"/>
        <v>12.166666666666666</v>
      </c>
      <c r="AC12" s="70" t="str">
        <f t="shared" si="8"/>
        <v>+1</v>
      </c>
      <c r="AD12" s="71">
        <f>ROUND($H12*VLOOKUP($G12,'NPC Generator'!$I$2:$R$43,4,FALSE)/10,0)+ROUND($J12*VLOOKUP($I12,'NPC Generator'!$I$2:$R$43,4,FALSE)/10,0)</f>
        <v>4</v>
      </c>
      <c r="AE12" s="72">
        <f t="shared" si="9"/>
        <v>3</v>
      </c>
      <c r="AF12" s="73">
        <f>ROUND($H12*VLOOKUP($G12,'NPC Generator'!$I$2:$R$43,5,FALSE)/10,0)+ROUND($J12*VLOOKUP($I12,'NPC Generator'!$I$2:$R$43,5,FALSE)/10,0)</f>
        <v>4</v>
      </c>
      <c r="AG12" s="74">
        <f t="shared" si="10"/>
        <v>5</v>
      </c>
      <c r="AH12" s="75">
        <f>ROUND($H12*VLOOKUP($G12,'NPC Generator'!$I$2:$R$43,6,FALSE)/10,0)+ROUND($J12*VLOOKUP($I12,'NPC Generator'!$I$2:$R$43,6,FALSE)/10,0)</f>
        <v>4</v>
      </c>
      <c r="AI12" s="76">
        <f t="shared" si="11"/>
        <v>4</v>
      </c>
      <c r="AJ12" s="165">
        <f>ROUND($H12*VLOOKUP($G12,'NPC Generator'!$I$2:$R$43,3,FALSE)/10,0)+ROUND($J12*VLOOKUP($I12,'NPC Generator'!$I$2:$R$43,3,FALSE)/10,0)</f>
        <v>5</v>
      </c>
      <c r="AK12" s="68">
        <f>10+AC12+ROUND($H12*VLOOKUP($G12,'NPC Generator'!$I$2:$R$43,7,FALSE)/10,0)+ROUND($J12*VLOOKUP($I12,'NPC Generator'!$I$2:$R$43,7,FALSE)/10,0)</f>
        <v>14</v>
      </c>
      <c r="AL12" s="66">
        <f t="shared" si="12"/>
        <v>14</v>
      </c>
      <c r="AM12" s="66">
        <f t="shared" si="13"/>
        <v>15</v>
      </c>
      <c r="AN12" s="77">
        <f>$H12*(3+VLOOKUP($G12,'NPC Generator'!$I$2:$R$43,10,FALSE))+($J12*VLOOKUP($I12,'NPC Generator'!$I$2:$R$43,10,FALSE))+(U12*SUM(H12,J12))</f>
        <v>74</v>
      </c>
      <c r="AO12" s="78">
        <f>$H12*(3+VLOOKUP($G12,'NPC Generator'!$I$2:$R$43,9,FALSE))+($J12*VLOOKUP($I12,'NPC Generator'!$I$2:$R$43,9,FALSE))</f>
        <v>90</v>
      </c>
      <c r="AP12" s="163" t="s">
        <v>869</v>
      </c>
      <c r="AQ12" s="163" t="s">
        <v>729</v>
      </c>
      <c r="AR12" s="163" t="s">
        <v>777</v>
      </c>
      <c r="AS12" s="165" t="s">
        <v>834</v>
      </c>
      <c r="AT12" s="68" t="s">
        <v>1161</v>
      </c>
      <c r="AU12" s="64" t="s">
        <v>1181</v>
      </c>
      <c r="AV12" s="66">
        <f>VLOOKUP($AU12,¡RefTables!$G$8:$H$22,2,FALSE)</f>
        <v>1</v>
      </c>
      <c r="AW12" s="67" t="s">
        <v>1250</v>
      </c>
    </row>
    <row r="13" spans="1:49" ht="31.2" x14ac:dyDescent="0.3">
      <c r="A13" s="243" t="s">
        <v>463</v>
      </c>
      <c r="B13" s="135" t="s">
        <v>476</v>
      </c>
      <c r="C13" s="64" t="s">
        <v>303</v>
      </c>
      <c r="D13" s="65" t="s">
        <v>18</v>
      </c>
      <c r="E13" s="83" t="s">
        <v>90</v>
      </c>
      <c r="F13" s="83" t="s">
        <v>105</v>
      </c>
      <c r="G13" s="125" t="s">
        <v>98</v>
      </c>
      <c r="H13" s="125">
        <v>4</v>
      </c>
      <c r="I13" s="128" t="s">
        <v>47</v>
      </c>
      <c r="J13" s="128">
        <v>4</v>
      </c>
      <c r="K13" s="130">
        <f t="shared" si="0"/>
        <v>8</v>
      </c>
      <c r="L13" s="65" t="s">
        <v>317</v>
      </c>
      <c r="M13" s="133" t="s">
        <v>112</v>
      </c>
      <c r="N13" s="133" t="s">
        <v>150</v>
      </c>
      <c r="O13" s="66" t="s">
        <v>520</v>
      </c>
      <c r="P13" s="68">
        <v>10</v>
      </c>
      <c r="Q13" s="81" t="str">
        <f t="shared" si="1"/>
        <v>+0</v>
      </c>
      <c r="R13" s="64">
        <v>17</v>
      </c>
      <c r="S13" s="81" t="str">
        <f t="shared" si="2"/>
        <v>+3</v>
      </c>
      <c r="T13" s="64">
        <v>10</v>
      </c>
      <c r="U13" s="81" t="str">
        <f t="shared" si="3"/>
        <v>+0</v>
      </c>
      <c r="V13" s="64">
        <v>16</v>
      </c>
      <c r="W13" s="81" t="str">
        <f t="shared" si="4"/>
        <v>+3</v>
      </c>
      <c r="X13" s="64">
        <v>11</v>
      </c>
      <c r="Y13" s="81" t="str">
        <f t="shared" si="5"/>
        <v>+0</v>
      </c>
      <c r="Z13" s="66">
        <v>11</v>
      </c>
      <c r="AA13" s="82" t="str">
        <f t="shared" si="6"/>
        <v>+0</v>
      </c>
      <c r="AB13" s="69">
        <f t="shared" si="7"/>
        <v>12.5</v>
      </c>
      <c r="AC13" s="70" t="str">
        <f t="shared" si="8"/>
        <v>+3</v>
      </c>
      <c r="AD13" s="71">
        <f>ROUND($H13*VLOOKUP($G13,'NPC Generator'!$I$2:$R$43,4,FALSE)/10,0)+ROUND($J13*VLOOKUP($I13,'NPC Generator'!$I$2:$R$43,4,FALSE)/10,0)</f>
        <v>4</v>
      </c>
      <c r="AE13" s="72">
        <f t="shared" si="9"/>
        <v>4</v>
      </c>
      <c r="AF13" s="73">
        <f>ROUND($H13*VLOOKUP($G13,'NPC Generator'!$I$2:$R$43,5,FALSE)/10,0)+ROUND($J13*VLOOKUP($I13,'NPC Generator'!$I$2:$R$43,5,FALSE)/10,0)</f>
        <v>4</v>
      </c>
      <c r="AG13" s="74">
        <f t="shared" si="10"/>
        <v>7</v>
      </c>
      <c r="AH13" s="75">
        <f>ROUND($H13*VLOOKUP($G13,'NPC Generator'!$I$2:$R$43,6,FALSE)/10,0)+ROUND($J13*VLOOKUP($I13,'NPC Generator'!$I$2:$R$43,6,FALSE)/10,0)</f>
        <v>3</v>
      </c>
      <c r="AI13" s="76">
        <f t="shared" si="11"/>
        <v>3</v>
      </c>
      <c r="AJ13" s="165">
        <f>ROUND($H13*VLOOKUP($G13,'NPC Generator'!$I$2:$R$43,3,FALSE)/10,0)+ROUND($J13*VLOOKUP($I13,'NPC Generator'!$I$2:$R$43,3,FALSE)/10,0)</f>
        <v>5</v>
      </c>
      <c r="AK13" s="68">
        <f>10+AC13+ROUND($H13*VLOOKUP($G13,'NPC Generator'!$I$2:$R$43,7,FALSE)/10,0)+ROUND($J13*VLOOKUP($I13,'NPC Generator'!$I$2:$R$43,7,FALSE)/10,0)</f>
        <v>16</v>
      </c>
      <c r="AL13" s="66">
        <f t="shared" si="12"/>
        <v>14</v>
      </c>
      <c r="AM13" s="66">
        <f t="shared" si="13"/>
        <v>17</v>
      </c>
      <c r="AN13" s="77">
        <f>$H13*(3+VLOOKUP($G13,'NPC Generator'!$I$2:$R$43,10,FALSE))+($J13*VLOOKUP($I13,'NPC Generator'!$I$2:$R$43,10,FALSE))+(U13*SUM(H13,J13))</f>
        <v>76</v>
      </c>
      <c r="AO13" s="78">
        <f>$H13*(3+VLOOKUP($G13,'NPC Generator'!$I$2:$R$43,9,FALSE))+($J13*VLOOKUP($I13,'NPC Generator'!$I$2:$R$43,9,FALSE))</f>
        <v>68</v>
      </c>
      <c r="AP13" s="163" t="s">
        <v>865</v>
      </c>
      <c r="AQ13" s="163" t="s">
        <v>729</v>
      </c>
      <c r="AR13" s="163" t="s">
        <v>763</v>
      </c>
      <c r="AS13" s="165" t="s">
        <v>936</v>
      </c>
      <c r="AT13" s="68" t="s">
        <v>1153</v>
      </c>
      <c r="AU13" s="64" t="s">
        <v>1181</v>
      </c>
      <c r="AV13" s="66">
        <f>VLOOKUP($AU13,¡RefTables!$G$8:$H$22,2,FALSE)</f>
        <v>1</v>
      </c>
      <c r="AW13" s="67" t="s">
        <v>1243</v>
      </c>
    </row>
    <row r="14" spans="1:49" ht="31.2" x14ac:dyDescent="0.3">
      <c r="A14" s="243" t="s">
        <v>464</v>
      </c>
      <c r="B14" s="135" t="s">
        <v>477</v>
      </c>
      <c r="C14" s="64" t="s">
        <v>303</v>
      </c>
      <c r="D14" s="65" t="s">
        <v>18</v>
      </c>
      <c r="E14" s="83" t="s">
        <v>90</v>
      </c>
      <c r="F14" s="83" t="s">
        <v>105</v>
      </c>
      <c r="G14" s="125" t="s">
        <v>98</v>
      </c>
      <c r="H14" s="125">
        <v>4</v>
      </c>
      <c r="I14" s="128" t="s">
        <v>26</v>
      </c>
      <c r="J14" s="128">
        <v>4</v>
      </c>
      <c r="K14" s="130">
        <f t="shared" si="0"/>
        <v>8</v>
      </c>
      <c r="L14" s="65" t="s">
        <v>332</v>
      </c>
      <c r="M14" s="133" t="s">
        <v>130</v>
      </c>
      <c r="N14" s="133" t="s">
        <v>337</v>
      </c>
      <c r="O14" s="66" t="s">
        <v>518</v>
      </c>
      <c r="P14" s="68">
        <v>10</v>
      </c>
      <c r="Q14" s="81" t="str">
        <f t="shared" si="1"/>
        <v>+0</v>
      </c>
      <c r="R14" s="64">
        <v>12</v>
      </c>
      <c r="S14" s="81" t="str">
        <f t="shared" si="2"/>
        <v>+1</v>
      </c>
      <c r="T14" s="64">
        <v>10</v>
      </c>
      <c r="U14" s="81" t="str">
        <f t="shared" si="3"/>
        <v>+0</v>
      </c>
      <c r="V14" s="64">
        <v>17</v>
      </c>
      <c r="W14" s="81" t="str">
        <f t="shared" si="4"/>
        <v>+3</v>
      </c>
      <c r="X14" s="64">
        <v>14</v>
      </c>
      <c r="Y14" s="81" t="str">
        <f t="shared" si="5"/>
        <v>+2</v>
      </c>
      <c r="Z14" s="66">
        <v>14</v>
      </c>
      <c r="AA14" s="82" t="str">
        <f t="shared" si="6"/>
        <v>+2</v>
      </c>
      <c r="AB14" s="69">
        <f t="shared" si="7"/>
        <v>12.833333333333334</v>
      </c>
      <c r="AC14" s="70" t="str">
        <f t="shared" si="8"/>
        <v>+1</v>
      </c>
      <c r="AD14" s="71">
        <f>ROUND($H14*VLOOKUP($G14,'NPC Generator'!$I$2:$R$43,4,FALSE)/10,0)+ROUND($J14*VLOOKUP($I14,'NPC Generator'!$I$2:$R$43,4,FALSE)/10,0)</f>
        <v>2</v>
      </c>
      <c r="AE14" s="72">
        <f t="shared" si="9"/>
        <v>2</v>
      </c>
      <c r="AF14" s="73">
        <f>ROUND($H14*VLOOKUP($G14,'NPC Generator'!$I$2:$R$43,5,FALSE)/10,0)+ROUND($J14*VLOOKUP($I14,'NPC Generator'!$I$2:$R$43,5,FALSE)/10,0)</f>
        <v>4</v>
      </c>
      <c r="AG14" s="74">
        <f t="shared" si="10"/>
        <v>5</v>
      </c>
      <c r="AH14" s="75">
        <f>ROUND($H14*VLOOKUP($G14,'NPC Generator'!$I$2:$R$43,6,FALSE)/10,0)+ROUND($J14*VLOOKUP($I14,'NPC Generator'!$I$2:$R$43,6,FALSE)/10,0)</f>
        <v>3</v>
      </c>
      <c r="AI14" s="76">
        <f t="shared" si="11"/>
        <v>5</v>
      </c>
      <c r="AJ14" s="165">
        <f>ROUND($H14*VLOOKUP($G14,'NPC Generator'!$I$2:$R$43,3,FALSE)/10,0)+ROUND($J14*VLOOKUP($I14,'NPC Generator'!$I$2:$R$43,3,FALSE)/10,0)</f>
        <v>4</v>
      </c>
      <c r="AK14" s="68">
        <f>10+AC14+ROUND($H14*VLOOKUP($G14,'NPC Generator'!$I$2:$R$43,7,FALSE)/10,0)+ROUND($J14*VLOOKUP($I14,'NPC Generator'!$I$2:$R$43,7,FALSE)/10,0)</f>
        <v>15</v>
      </c>
      <c r="AL14" s="66">
        <f t="shared" si="12"/>
        <v>15</v>
      </c>
      <c r="AM14" s="66">
        <f t="shared" si="13"/>
        <v>16</v>
      </c>
      <c r="AN14" s="77">
        <f>$H14*(3+VLOOKUP($G14,'NPC Generator'!$I$2:$R$43,10,FALSE))+($J14*VLOOKUP($I14,'NPC Generator'!$I$2:$R$43,10,FALSE))+(U14*SUM(H14,J14))</f>
        <v>68</v>
      </c>
      <c r="AO14" s="78">
        <f>$H14*(3+VLOOKUP($G14,'NPC Generator'!$I$2:$R$43,9,FALSE))+($J14*VLOOKUP($I14,'NPC Generator'!$I$2:$R$43,9,FALSE))</f>
        <v>76</v>
      </c>
      <c r="AP14" s="163" t="s">
        <v>899</v>
      </c>
      <c r="AQ14" s="163" t="s">
        <v>730</v>
      </c>
      <c r="AR14" s="163" t="s">
        <v>778</v>
      </c>
      <c r="AS14" s="165" t="s">
        <v>928</v>
      </c>
      <c r="AT14" s="68" t="s">
        <v>1135</v>
      </c>
      <c r="AU14" s="64" t="s">
        <v>1181</v>
      </c>
      <c r="AV14" s="66">
        <f>VLOOKUP($AU14,¡RefTables!$G$8:$H$22,2,FALSE)</f>
        <v>1</v>
      </c>
      <c r="AW14" s="67" t="s">
        <v>1204</v>
      </c>
    </row>
    <row r="15" spans="1:49" ht="46.8" x14ac:dyDescent="0.3">
      <c r="A15" s="242" t="s">
        <v>461</v>
      </c>
      <c r="B15" s="134" t="s">
        <v>473</v>
      </c>
      <c r="C15" s="64" t="s">
        <v>303</v>
      </c>
      <c r="D15" s="65" t="s">
        <v>18</v>
      </c>
      <c r="E15" s="83" t="s">
        <v>90</v>
      </c>
      <c r="F15" s="83" t="s">
        <v>105</v>
      </c>
      <c r="G15" s="125" t="s">
        <v>98</v>
      </c>
      <c r="H15" s="125">
        <v>4</v>
      </c>
      <c r="I15" s="128" t="s">
        <v>30</v>
      </c>
      <c r="J15" s="128">
        <v>4</v>
      </c>
      <c r="K15" s="130">
        <f t="shared" si="0"/>
        <v>8</v>
      </c>
      <c r="L15" s="65" t="s">
        <v>325</v>
      </c>
      <c r="M15" s="133" t="s">
        <v>133</v>
      </c>
      <c r="N15" s="133" t="s">
        <v>149</v>
      </c>
      <c r="O15" s="66" t="s">
        <v>519</v>
      </c>
      <c r="P15" s="68">
        <v>7</v>
      </c>
      <c r="Q15" s="81" t="s">
        <v>85</v>
      </c>
      <c r="R15" s="64">
        <v>13</v>
      </c>
      <c r="S15" s="81" t="s">
        <v>85</v>
      </c>
      <c r="T15" s="64">
        <v>6</v>
      </c>
      <c r="U15" s="81" t="s">
        <v>84</v>
      </c>
      <c r="V15" s="64">
        <v>19</v>
      </c>
      <c r="W15" s="81">
        <v>-1</v>
      </c>
      <c r="X15" s="64">
        <v>14</v>
      </c>
      <c r="Y15" s="81" t="s">
        <v>85</v>
      </c>
      <c r="Z15" s="66">
        <v>14</v>
      </c>
      <c r="AA15" s="82" t="s">
        <v>83</v>
      </c>
      <c r="AB15" s="69">
        <f t="shared" si="7"/>
        <v>12.166666666666666</v>
      </c>
      <c r="AC15" s="70" t="str">
        <f t="shared" si="8"/>
        <v>+1</v>
      </c>
      <c r="AD15" s="71">
        <f>ROUND($H15*VLOOKUP($G15,'NPC Generator'!$I$2:$R$43,4,FALSE)/10,0)+ROUND($J15*VLOOKUP($I15,'NPC Generator'!$I$2:$R$43,4,FALSE)/10,0)</f>
        <v>2</v>
      </c>
      <c r="AE15" s="72">
        <v>4</v>
      </c>
      <c r="AF15" s="73">
        <f>ROUND($H15*VLOOKUP($G15,'NPC Generator'!$I$2:$R$43,5,FALSE)/10,0)+ROUND($J15*VLOOKUP($I15,'NPC Generator'!$I$2:$R$43,5,FALSE)/10,0)</f>
        <v>2</v>
      </c>
      <c r="AG15" s="74">
        <v>5</v>
      </c>
      <c r="AH15" s="75">
        <f>ROUND($H15*VLOOKUP($G15,'NPC Generator'!$I$2:$R$43,6,FALSE)/10,0)+ROUND($J15*VLOOKUP($I15,'NPC Generator'!$I$2:$R$43,6,FALSE)/10,0)</f>
        <v>5</v>
      </c>
      <c r="AI15" s="76">
        <v>5</v>
      </c>
      <c r="AJ15" s="165">
        <f>ROUND($H15*VLOOKUP($G15,'NPC Generator'!$I$2:$R$43,3,FALSE)/10,0)+ROUND($J15*VLOOKUP($I15,'NPC Generator'!$I$2:$R$43,3,FALSE)/10,0)</f>
        <v>4</v>
      </c>
      <c r="AK15" s="68">
        <f>10+AC15+ROUND($H15*VLOOKUP($G15,'NPC Generator'!$I$2:$R$43,7,FALSE)/10,0)+ROUND($J15*VLOOKUP($I15,'NPC Generator'!$I$2:$R$43,7,FALSE)/10,0)</f>
        <v>14</v>
      </c>
      <c r="AL15" s="66">
        <f t="shared" si="12"/>
        <v>15</v>
      </c>
      <c r="AM15" s="66">
        <f t="shared" si="13"/>
        <v>16</v>
      </c>
      <c r="AN15" s="77">
        <f>$H15*(3+VLOOKUP($G15,'NPC Generator'!$I$2:$R$43,10,FALSE))+($J15*VLOOKUP($I15,'NPC Generator'!$I$2:$R$43,10,FALSE))+(U15*SUM(H15,J15))</f>
        <v>76</v>
      </c>
      <c r="AO15" s="78">
        <f>$H15*(3+VLOOKUP($G15,'NPC Generator'!$I$2:$R$43,9,FALSE))+($J15*VLOOKUP($I15,'NPC Generator'!$I$2:$R$43,9,FALSE))</f>
        <v>76</v>
      </c>
      <c r="AP15" s="163" t="s">
        <v>890</v>
      </c>
      <c r="AQ15" s="163" t="s">
        <v>729</v>
      </c>
      <c r="AR15" s="163" t="s">
        <v>773</v>
      </c>
      <c r="AS15" s="165" t="s">
        <v>937</v>
      </c>
      <c r="AT15" s="68" t="s">
        <v>1023</v>
      </c>
      <c r="AU15" s="64" t="s">
        <v>1193</v>
      </c>
      <c r="AV15" s="66">
        <f>VLOOKUP($AU15,¡RefTables!$G$8:$H$22,2,FALSE)</f>
        <v>2</v>
      </c>
      <c r="AW15" s="67" t="s">
        <v>1251</v>
      </c>
    </row>
    <row r="16" spans="1:49" ht="46.8" x14ac:dyDescent="0.3">
      <c r="A16" s="242" t="s">
        <v>462</v>
      </c>
      <c r="B16" s="134" t="s">
        <v>475</v>
      </c>
      <c r="C16" s="64" t="s">
        <v>303</v>
      </c>
      <c r="D16" s="65" t="s">
        <v>18</v>
      </c>
      <c r="E16" s="83" t="s">
        <v>90</v>
      </c>
      <c r="F16" s="83" t="s">
        <v>105</v>
      </c>
      <c r="G16" s="125" t="s">
        <v>98</v>
      </c>
      <c r="H16" s="125">
        <v>4</v>
      </c>
      <c r="I16" s="128" t="s">
        <v>44</v>
      </c>
      <c r="J16" s="128">
        <v>4</v>
      </c>
      <c r="K16" s="130">
        <f t="shared" si="0"/>
        <v>8</v>
      </c>
      <c r="L16" s="65" t="s">
        <v>308</v>
      </c>
      <c r="M16" s="133" t="s">
        <v>112</v>
      </c>
      <c r="N16" s="133" t="s">
        <v>150</v>
      </c>
      <c r="O16" s="66" t="s">
        <v>952</v>
      </c>
      <c r="P16" s="68">
        <v>6</v>
      </c>
      <c r="Q16" s="81">
        <f>IF(P16&gt;9.9,CONCATENATE("+",ROUNDDOWN((P16-10) / 2,0)),ROUNDUP((P16-10) / 2,0))</f>
        <v>-2</v>
      </c>
      <c r="R16" s="64">
        <v>14</v>
      </c>
      <c r="S16" s="81" t="str">
        <f>IF(R16&gt;9.9,CONCATENATE("+",ROUNDDOWN((R16-10) / 2,0)),ROUNDUP((R16-10) / 2,0))</f>
        <v>+2</v>
      </c>
      <c r="T16" s="64">
        <v>7</v>
      </c>
      <c r="U16" s="81">
        <f>IF(T16&gt;9.9,CONCATENATE("+",ROUNDDOWN((T16-10) / 2,0)),ROUNDUP((T16-10) / 2,0))</f>
        <v>-2</v>
      </c>
      <c r="V16" s="64">
        <v>19</v>
      </c>
      <c r="W16" s="81" t="str">
        <f>IF(V16&gt;9.9,CONCATENATE("+",ROUNDDOWN((V16-10) / 2,0)),ROUNDUP((V16-10) / 2,0))</f>
        <v>+4</v>
      </c>
      <c r="X16" s="64">
        <v>13</v>
      </c>
      <c r="Y16" s="81" t="str">
        <f>IF(X16&gt;9.9,CONCATENATE("+",ROUNDDOWN((X16-10) / 2,0)),ROUNDUP((X16-10) / 2,0))</f>
        <v>+1</v>
      </c>
      <c r="Z16" s="66">
        <v>6</v>
      </c>
      <c r="AA16" s="82">
        <f>IF(Z16&gt;9.9,CONCATENATE("+",ROUNDDOWN((Z16-10) / 2,0)),ROUNDUP((Z16-10) / 2,0))</f>
        <v>-2</v>
      </c>
      <c r="AB16" s="69">
        <f t="shared" si="7"/>
        <v>10.833333333333334</v>
      </c>
      <c r="AC16" s="70" t="str">
        <f t="shared" si="8"/>
        <v>+2</v>
      </c>
      <c r="AD16" s="71">
        <f>ROUND($H16*VLOOKUP($G16,'NPC Generator'!$I$2:$R$43,4,FALSE)/10,0)+ROUND($J16*VLOOKUP($I16,'NPC Generator'!$I$2:$R$43,4,FALSE)/10,0)</f>
        <v>2</v>
      </c>
      <c r="AE16" s="72">
        <f>IF(T16&gt;9.9,(ROUNDDOWN((T16-10) / 2,0)),ROUNDUP((T16-10) / 2,0))+AD16</f>
        <v>0</v>
      </c>
      <c r="AF16" s="73">
        <f>ROUND($H16*VLOOKUP($G16,'NPC Generator'!$I$2:$R$43,5,FALSE)/10,0)+ROUND($J16*VLOOKUP($I16,'NPC Generator'!$I$2:$R$43,5,FALSE)/10,0)</f>
        <v>3</v>
      </c>
      <c r="AG16" s="74">
        <f>AF16+AC16</f>
        <v>5</v>
      </c>
      <c r="AH16" s="75">
        <f>ROUND($H16*VLOOKUP($G16,'NPC Generator'!$I$2:$R$43,6,FALSE)/10,0)+ROUND($J16*VLOOKUP($I16,'NPC Generator'!$I$2:$R$43,6,FALSE)/10,0)</f>
        <v>4</v>
      </c>
      <c r="AI16" s="76">
        <f>IF(X16&gt;9.9,(ROUNDDOWN((X16-10) / 2,0)),ROUNDUP((X16-10) / 2,0))+AH16</f>
        <v>5</v>
      </c>
      <c r="AJ16" s="165">
        <f>ROUND($H16*VLOOKUP($G16,'NPC Generator'!$I$2:$R$43,3,FALSE)/10,0)+ROUND($J16*VLOOKUP($I16,'NPC Generator'!$I$2:$R$43,3,FALSE)/10,0)</f>
        <v>5</v>
      </c>
      <c r="AK16" s="68">
        <f>10+AC16+ROUND($H16*VLOOKUP($G16,'NPC Generator'!$I$2:$R$43,7,FALSE)/10,0)+ROUND($J16*VLOOKUP($I16,'NPC Generator'!$I$2:$R$43,7,FALSE)/10,0)</f>
        <v>15</v>
      </c>
      <c r="AL16" s="66">
        <f t="shared" si="12"/>
        <v>14</v>
      </c>
      <c r="AM16" s="66">
        <f t="shared" si="13"/>
        <v>16</v>
      </c>
      <c r="AN16" s="77">
        <f>$H16*(3+VLOOKUP($G16,'NPC Generator'!$I$2:$R$43,10,FALSE))+($J16*VLOOKUP($I16,'NPC Generator'!$I$2:$R$43,10,FALSE))+(U16*SUM(H16,J16))</f>
        <v>44</v>
      </c>
      <c r="AO16" s="78">
        <f>$H16*(3+VLOOKUP($G16,'NPC Generator'!$I$2:$R$43,9,FALSE))+($J16*VLOOKUP($I16,'NPC Generator'!$I$2:$R$43,9,FALSE))</f>
        <v>76</v>
      </c>
      <c r="AP16" s="163" t="s">
        <v>911</v>
      </c>
      <c r="AQ16" s="163" t="s">
        <v>729</v>
      </c>
      <c r="AR16" s="163" t="s">
        <v>764</v>
      </c>
      <c r="AS16" s="165" t="s">
        <v>782</v>
      </c>
      <c r="AT16" s="68" t="s">
        <v>1136</v>
      </c>
      <c r="AU16" s="64" t="s">
        <v>1181</v>
      </c>
      <c r="AV16" s="66">
        <f>VLOOKUP($AU16,¡RefTables!$G$8:$H$22,2,FALSE)</f>
        <v>1</v>
      </c>
      <c r="AW16" s="67" t="s">
        <v>1199</v>
      </c>
    </row>
    <row r="17" spans="1:49" ht="62.4" x14ac:dyDescent="0.3">
      <c r="A17" s="243" t="s">
        <v>300</v>
      </c>
      <c r="B17" s="135" t="s">
        <v>302</v>
      </c>
      <c r="C17" s="64" t="s">
        <v>303</v>
      </c>
      <c r="D17" s="65" t="s">
        <v>18</v>
      </c>
      <c r="E17" s="84" t="s">
        <v>234</v>
      </c>
      <c r="F17" s="84" t="s">
        <v>156</v>
      </c>
      <c r="G17" s="125" t="s">
        <v>99</v>
      </c>
      <c r="H17" s="125">
        <v>4</v>
      </c>
      <c r="I17" s="128" t="s">
        <v>43</v>
      </c>
      <c r="J17" s="128">
        <v>6</v>
      </c>
      <c r="K17" s="130">
        <f t="shared" si="0"/>
        <v>10</v>
      </c>
      <c r="L17" s="65" t="s">
        <v>329</v>
      </c>
      <c r="M17" s="133" t="s">
        <v>136</v>
      </c>
      <c r="N17" s="133" t="s">
        <v>148</v>
      </c>
      <c r="O17" s="66" t="s">
        <v>951</v>
      </c>
      <c r="P17" s="68">
        <v>11</v>
      </c>
      <c r="Q17" s="81" t="str">
        <f>IF(P17&gt;9.9,CONCATENATE("+",ROUNDDOWN((P17-10) / 2,0)),ROUNDUP((P17-10) / 2,0))</f>
        <v>+0</v>
      </c>
      <c r="R17" s="64">
        <v>12</v>
      </c>
      <c r="S17" s="81" t="str">
        <f>IF(R17&gt;9.9,CONCATENATE("+",ROUNDDOWN((R17-10) / 2,0)),ROUNDUP((R17-10) / 2,0))</f>
        <v>+1</v>
      </c>
      <c r="T17" s="64">
        <v>11</v>
      </c>
      <c r="U17" s="81" t="str">
        <f>IF(T17&gt;9.9,CONCATENATE("+",ROUNDDOWN((T17-10) / 2,0)),ROUNDUP((T17-10) / 2,0))</f>
        <v>+0</v>
      </c>
      <c r="V17" s="64">
        <v>13</v>
      </c>
      <c r="W17" s="81" t="str">
        <f>IF(V17&gt;9.9,CONCATENATE("+",ROUNDDOWN((V17-10) / 2,0)),ROUNDUP((V17-10) / 2,0))</f>
        <v>+1</v>
      </c>
      <c r="X17" s="64">
        <v>12</v>
      </c>
      <c r="Y17" s="81" t="str">
        <f>IF(X17&gt;9.9,CONCATENATE("+",ROUNDDOWN((X17-10) / 2,0)),ROUNDUP((X17-10) / 2,0))</f>
        <v>+1</v>
      </c>
      <c r="Z17" s="66">
        <v>18</v>
      </c>
      <c r="AA17" s="82" t="str">
        <f>IF(Z17&gt;9.9,CONCATENATE("+",ROUNDDOWN((Z17-10) / 2,0)),ROUNDUP((Z17-10) / 2,0))</f>
        <v>+4</v>
      </c>
      <c r="AB17" s="69">
        <f t="shared" si="7"/>
        <v>12.833333333333334</v>
      </c>
      <c r="AC17" s="70" t="str">
        <f t="shared" si="8"/>
        <v>+1</v>
      </c>
      <c r="AD17" s="71">
        <f>ROUND($H17*VLOOKUP($G17,'NPC Generator'!$I$2:$R$43,4,FALSE)/10,0)+ROUND($J17*VLOOKUP($I17,'NPC Generator'!$I$2:$R$43,4,FALSE)/10,0)</f>
        <v>4</v>
      </c>
      <c r="AE17" s="72">
        <f>IF(T17&gt;9.9,(ROUNDDOWN((T17-10) / 2,0)),ROUNDUP((T17-10) / 2,0))+AD17</f>
        <v>4</v>
      </c>
      <c r="AF17" s="73">
        <f>ROUND($H17*VLOOKUP($G17,'NPC Generator'!$I$2:$R$43,5,FALSE)/10,0)+ROUND($J17*VLOOKUP($I17,'NPC Generator'!$I$2:$R$43,5,FALSE)/10,0)</f>
        <v>5</v>
      </c>
      <c r="AG17" s="74">
        <f>AF17+AC17</f>
        <v>6</v>
      </c>
      <c r="AH17" s="75">
        <f>ROUND($H17*VLOOKUP($G17,'NPC Generator'!$I$2:$R$43,6,FALSE)/10,0)+ROUND($J17*VLOOKUP($I17,'NPC Generator'!$I$2:$R$43,6,FALSE)/10,0)</f>
        <v>5</v>
      </c>
      <c r="AI17" s="76">
        <f>IF(X17&gt;9.9,(ROUNDDOWN((X17-10) / 2,0)),ROUNDUP((X17-10) / 2,0))+AH17</f>
        <v>6</v>
      </c>
      <c r="AJ17" s="165">
        <f>ROUND($H17*VLOOKUP($G17,'NPC Generator'!$I$2:$R$43,3,FALSE)/10,0)+ROUND($J17*VLOOKUP($I17,'NPC Generator'!$I$2:$R$43,3,FALSE)/10,0)</f>
        <v>6</v>
      </c>
      <c r="AK17" s="68">
        <f>10+AC17+ROUND($H17*VLOOKUP($G17,'NPC Generator'!$I$2:$R$43,7,FALSE)/10,0)+ROUND($J17*VLOOKUP($I17,'NPC Generator'!$I$2:$R$43,7,FALSE)/10,0)</f>
        <v>14</v>
      </c>
      <c r="AL17" s="66">
        <f t="shared" si="12"/>
        <v>17</v>
      </c>
      <c r="AM17" s="66">
        <f t="shared" si="13"/>
        <v>18</v>
      </c>
      <c r="AN17" s="77">
        <f>$H17*(3+VLOOKUP($G17,'NPC Generator'!$I$2:$R$43,10,FALSE))+($J17*VLOOKUP($I17,'NPC Generator'!$I$2:$R$43,10,FALSE))+(U17*SUM(H17,J17))</f>
        <v>72</v>
      </c>
      <c r="AO17" s="78">
        <f>$H17*(3+VLOOKUP($G17,'NPC Generator'!$I$2:$R$43,9,FALSE))+($J17*VLOOKUP($I17,'NPC Generator'!$I$2:$R$43,9,FALSE))</f>
        <v>82</v>
      </c>
      <c r="AP17" s="163" t="s">
        <v>895</v>
      </c>
      <c r="AQ17" s="163" t="s">
        <v>732</v>
      </c>
      <c r="AR17" s="163" t="s">
        <v>805</v>
      </c>
      <c r="AS17" s="165" t="s">
        <v>931</v>
      </c>
      <c r="AT17" s="68" t="s">
        <v>1224</v>
      </c>
      <c r="AU17" s="64" t="s">
        <v>1186</v>
      </c>
      <c r="AV17" s="66">
        <f>VLOOKUP($AU17,¡RefTables!$G$8:$H$22,2,FALSE)</f>
        <v>4</v>
      </c>
      <c r="AW17" s="67" t="s">
        <v>1195</v>
      </c>
    </row>
    <row r="18" spans="1:49" ht="31.2" x14ac:dyDescent="0.3">
      <c r="A18" s="242" t="s">
        <v>497</v>
      </c>
      <c r="B18" s="134" t="s">
        <v>496</v>
      </c>
      <c r="C18" s="64" t="s">
        <v>105</v>
      </c>
      <c r="D18" s="65" t="s">
        <v>19</v>
      </c>
      <c r="E18" s="102" t="s">
        <v>234</v>
      </c>
      <c r="F18" s="102" t="s">
        <v>156</v>
      </c>
      <c r="G18" s="125" t="s">
        <v>101</v>
      </c>
      <c r="H18" s="125">
        <v>4</v>
      </c>
      <c r="I18" s="128" t="s">
        <v>27</v>
      </c>
      <c r="J18" s="128">
        <v>5</v>
      </c>
      <c r="K18" s="130">
        <f t="shared" si="0"/>
        <v>9</v>
      </c>
      <c r="L18" s="65" t="s">
        <v>314</v>
      </c>
      <c r="M18" s="133" t="s">
        <v>133</v>
      </c>
      <c r="N18" s="133" t="s">
        <v>104</v>
      </c>
      <c r="O18" s="66" t="s">
        <v>953</v>
      </c>
      <c r="P18" s="68">
        <v>13</v>
      </c>
      <c r="Q18" s="81" t="s">
        <v>83</v>
      </c>
      <c r="R18" s="64">
        <v>19</v>
      </c>
      <c r="S18" s="81" t="s">
        <v>83</v>
      </c>
      <c r="T18" s="64">
        <v>13</v>
      </c>
      <c r="U18" s="81" t="s">
        <v>84</v>
      </c>
      <c r="V18" s="64">
        <v>12</v>
      </c>
      <c r="W18" s="81" t="s">
        <v>83</v>
      </c>
      <c r="X18" s="64">
        <v>11</v>
      </c>
      <c r="Y18" s="81" t="s">
        <v>85</v>
      </c>
      <c r="Z18" s="66">
        <v>10</v>
      </c>
      <c r="AA18" s="82" t="s">
        <v>84</v>
      </c>
      <c r="AB18" s="69">
        <f t="shared" si="7"/>
        <v>13</v>
      </c>
      <c r="AC18" s="70" t="str">
        <f t="shared" si="8"/>
        <v>+4</v>
      </c>
      <c r="AD18" s="71">
        <f>ROUND($H18*VLOOKUP($G18,'NPC Generator'!$I$2:$R$43,4,FALSE)/10,0)+ROUND($J18*VLOOKUP($I18,'NPC Generator'!$I$2:$R$43,4,FALSE)/10,0)</f>
        <v>5</v>
      </c>
      <c r="AE18" s="72">
        <v>4</v>
      </c>
      <c r="AF18" s="73">
        <f>ROUND($H18*VLOOKUP($G18,'NPC Generator'!$I$2:$R$43,5,FALSE)/10,0)+ROUND($J18*VLOOKUP($I18,'NPC Generator'!$I$2:$R$43,5,FALSE)/10,0)</f>
        <v>4</v>
      </c>
      <c r="AG18" s="74">
        <v>0</v>
      </c>
      <c r="AH18" s="75">
        <f>ROUND($H18*VLOOKUP($G18,'NPC Generator'!$I$2:$R$43,6,FALSE)/10,0)+ROUND($J18*VLOOKUP($I18,'NPC Generator'!$I$2:$R$43,6,FALSE)/10,0)</f>
        <v>3</v>
      </c>
      <c r="AI18" s="76">
        <v>5</v>
      </c>
      <c r="AJ18" s="165">
        <f>ROUND($H18*VLOOKUP($G18,'NPC Generator'!$I$2:$R$43,3,FALSE)/10,0)+ROUND($J18*VLOOKUP($I18,'NPC Generator'!$I$2:$R$43,3,FALSE)/10,0)</f>
        <v>6</v>
      </c>
      <c r="AK18" s="68">
        <f>10+AC18+ROUND($H18*VLOOKUP($G18,'NPC Generator'!$I$2:$R$43,7,FALSE)/10,0)+ROUND($J18*VLOOKUP($I18,'NPC Generator'!$I$2:$R$43,7,FALSE)/10,0)</f>
        <v>21</v>
      </c>
      <c r="AL18" s="66">
        <f t="shared" si="12"/>
        <v>21</v>
      </c>
      <c r="AM18" s="66">
        <f t="shared" si="13"/>
        <v>25</v>
      </c>
      <c r="AN18" s="77">
        <f>$H18*(3+VLOOKUP($G18,'NPC Generator'!$I$2:$R$43,10,FALSE))+($J18*VLOOKUP($I18,'NPC Generator'!$I$2:$R$43,10,FALSE))+(U18*SUM(H18,J18))</f>
        <v>112</v>
      </c>
      <c r="AO18" s="78">
        <f>$H18*(3+VLOOKUP($G18,'NPC Generator'!$I$2:$R$43,9,FALSE))+($J18*VLOOKUP($I18,'NPC Generator'!$I$2:$R$43,9,FALSE))</f>
        <v>57</v>
      </c>
      <c r="AP18" s="163" t="s">
        <v>861</v>
      </c>
      <c r="AQ18" s="163" t="s">
        <v>728</v>
      </c>
      <c r="AR18" s="163" t="s">
        <v>750</v>
      </c>
      <c r="AS18" s="165" t="s">
        <v>817</v>
      </c>
      <c r="AT18" s="68" t="s">
        <v>1162</v>
      </c>
      <c r="AU18" s="64" t="s">
        <v>1186</v>
      </c>
      <c r="AV18" s="66">
        <f>VLOOKUP($AU18,¡RefTables!$G$8:$H$22,2,FALSE)</f>
        <v>4</v>
      </c>
      <c r="AW18" s="67" t="s">
        <v>1198</v>
      </c>
    </row>
    <row r="19" spans="1:49" ht="31.2" x14ac:dyDescent="0.3">
      <c r="A19" s="242" t="s">
        <v>299</v>
      </c>
      <c r="B19" s="134" t="s">
        <v>498</v>
      </c>
      <c r="C19" s="64" t="s">
        <v>105</v>
      </c>
      <c r="D19" s="65" t="s">
        <v>21</v>
      </c>
      <c r="E19" s="84" t="s">
        <v>234</v>
      </c>
      <c r="F19" s="84" t="s">
        <v>156</v>
      </c>
      <c r="G19" s="125" t="s">
        <v>103</v>
      </c>
      <c r="H19" s="125">
        <v>4</v>
      </c>
      <c r="I19" s="128" t="s">
        <v>28</v>
      </c>
      <c r="J19" s="128">
        <v>4</v>
      </c>
      <c r="K19" s="130">
        <f t="shared" si="0"/>
        <v>8</v>
      </c>
      <c r="L19" s="65" t="s">
        <v>307</v>
      </c>
      <c r="M19" s="133" t="s">
        <v>118</v>
      </c>
      <c r="N19" s="133" t="s">
        <v>150</v>
      </c>
      <c r="O19" s="66" t="s">
        <v>954</v>
      </c>
      <c r="P19" s="68">
        <v>17</v>
      </c>
      <c r="Q19" s="81" t="str">
        <f>IF(P19&gt;9.9,CONCATENATE("+",ROUNDDOWN((P19-10) / 2,0)),ROUNDUP((P19-10) / 2,0))</f>
        <v>+3</v>
      </c>
      <c r="R19" s="64">
        <v>14</v>
      </c>
      <c r="S19" s="81" t="str">
        <f>IF(R19&gt;9.9,CONCATENATE("+",ROUNDDOWN((R19-10) / 2,0)),ROUNDUP((R19-10) / 2,0))</f>
        <v>+2</v>
      </c>
      <c r="T19" s="64">
        <v>11</v>
      </c>
      <c r="U19" s="81" t="str">
        <f>IF(T19&gt;9.9,CONCATENATE("+",ROUNDDOWN((T19-10) / 2,0)),ROUNDUP((T19-10) / 2,0))</f>
        <v>+0</v>
      </c>
      <c r="V19" s="64">
        <v>7</v>
      </c>
      <c r="W19" s="81">
        <f>IF(V19&gt;9.9,CONCATENATE("+",ROUNDDOWN((V19-10) / 2,0)),ROUNDUP((V19-10) / 2,0))</f>
        <v>-2</v>
      </c>
      <c r="X19" s="64">
        <v>10</v>
      </c>
      <c r="Y19" s="81" t="str">
        <f>IF(X19&gt;9.9,CONCATENATE("+",ROUNDDOWN((X19-10) / 2,0)),ROUNDUP((X19-10) / 2,0))</f>
        <v>+0</v>
      </c>
      <c r="Z19" s="66">
        <v>10</v>
      </c>
      <c r="AA19" s="82" t="str">
        <f>IF(Z19&gt;9.9,CONCATENATE("+",ROUNDDOWN((Z19-10) / 2,0)),ROUNDUP((Z19-10) / 2,0))</f>
        <v>+0</v>
      </c>
      <c r="AB19" s="69">
        <f t="shared" si="7"/>
        <v>11.5</v>
      </c>
      <c r="AC19" s="70" t="str">
        <f t="shared" si="8"/>
        <v>+2</v>
      </c>
      <c r="AD19" s="71">
        <f>ROUND($H19*VLOOKUP($G19,'NPC Generator'!$I$2:$R$43,4,FALSE)/10,0)+ROUND($J19*VLOOKUP($I19,'NPC Generator'!$I$2:$R$43,4,FALSE)/10,0)</f>
        <v>4</v>
      </c>
      <c r="AE19" s="72">
        <f>IF(T19&gt;9.9,(ROUNDDOWN((T19-10) / 2,0)),ROUNDUP((T19-10) / 2,0))+AD19</f>
        <v>4</v>
      </c>
      <c r="AF19" s="73">
        <f>ROUND($H19*VLOOKUP($G19,'NPC Generator'!$I$2:$R$43,5,FALSE)/10,0)+ROUND($J19*VLOOKUP($I19,'NPC Generator'!$I$2:$R$43,5,FALSE)/10,0)</f>
        <v>4</v>
      </c>
      <c r="AG19" s="74">
        <f>AF19+AC19</f>
        <v>6</v>
      </c>
      <c r="AH19" s="75">
        <f>ROUND($H19*VLOOKUP($G19,'NPC Generator'!$I$2:$R$43,6,FALSE)/10,0)+ROUND($J19*VLOOKUP($I19,'NPC Generator'!$I$2:$R$43,6,FALSE)/10,0)</f>
        <v>2</v>
      </c>
      <c r="AI19" s="76">
        <f>IF(X19&gt;9.9,(ROUNDDOWN((X19-10) / 2,0)),ROUNDUP((X19-10) / 2,0))+AH19</f>
        <v>2</v>
      </c>
      <c r="AJ19" s="165">
        <f>ROUND($H19*VLOOKUP($G19,'NPC Generator'!$I$2:$R$43,3,FALSE)/10,0)+ROUND($J19*VLOOKUP($I19,'NPC Generator'!$I$2:$R$43,3,FALSE)/10,0)</f>
        <v>7</v>
      </c>
      <c r="AK19" s="68">
        <f>10+AC19+ROUND($H19*VLOOKUP($G19,'NPC Generator'!$I$2:$R$43,7,FALSE)/10,0)+ROUND($J19*VLOOKUP($I19,'NPC Generator'!$I$2:$R$43,7,FALSE)/10,0)</f>
        <v>16</v>
      </c>
      <c r="AL19" s="66">
        <f t="shared" si="12"/>
        <v>18</v>
      </c>
      <c r="AM19" s="66">
        <f t="shared" si="13"/>
        <v>20</v>
      </c>
      <c r="AN19" s="77">
        <f>$H19*(3+VLOOKUP($G19,'NPC Generator'!$I$2:$R$43,10,FALSE))+($J19*VLOOKUP($I19,'NPC Generator'!$I$2:$R$43,10,FALSE))+(U19*SUM(H19,J19))</f>
        <v>92</v>
      </c>
      <c r="AO19" s="78">
        <f>$H19*(3+VLOOKUP($G19,'NPC Generator'!$I$2:$R$43,9,FALSE))+($J19*VLOOKUP($I19,'NPC Generator'!$I$2:$R$43,9,FALSE))</f>
        <v>36</v>
      </c>
      <c r="AP19" s="163" t="s">
        <v>907</v>
      </c>
      <c r="AQ19" s="163" t="s">
        <v>723</v>
      </c>
      <c r="AR19" s="163" t="s">
        <v>741</v>
      </c>
      <c r="AS19" s="165" t="s">
        <v>848</v>
      </c>
      <c r="AT19" s="68" t="s">
        <v>1157</v>
      </c>
      <c r="AU19" s="64" t="s">
        <v>1186</v>
      </c>
      <c r="AV19" s="66">
        <f>VLOOKUP($AU19,¡RefTables!$G$8:$H$22,2,FALSE)</f>
        <v>4</v>
      </c>
      <c r="AW19" s="67" t="s">
        <v>1217</v>
      </c>
    </row>
    <row r="20" spans="1:49" ht="31.2" x14ac:dyDescent="0.3">
      <c r="A20" s="243" t="s">
        <v>424</v>
      </c>
      <c r="B20" s="135" t="s">
        <v>423</v>
      </c>
      <c r="C20" s="64" t="s">
        <v>105</v>
      </c>
      <c r="D20" s="65" t="s">
        <v>20</v>
      </c>
      <c r="E20" s="84" t="s">
        <v>234</v>
      </c>
      <c r="F20" s="84" t="s">
        <v>156</v>
      </c>
      <c r="G20" s="125" t="s">
        <v>101</v>
      </c>
      <c r="H20" s="125">
        <v>4</v>
      </c>
      <c r="I20" s="128" t="s">
        <v>25</v>
      </c>
      <c r="J20" s="128">
        <v>4</v>
      </c>
      <c r="K20" s="130">
        <f t="shared" si="0"/>
        <v>8</v>
      </c>
      <c r="L20" s="65" t="s">
        <v>328</v>
      </c>
      <c r="M20" s="133" t="s">
        <v>127</v>
      </c>
      <c r="N20" s="133" t="s">
        <v>337</v>
      </c>
      <c r="O20" s="66" t="s">
        <v>955</v>
      </c>
      <c r="P20" s="68">
        <v>10</v>
      </c>
      <c r="Q20" s="81" t="str">
        <f>IF(P20&gt;9.9,CONCATENATE("+",ROUNDDOWN((P20-10) / 2,0)),ROUNDUP((P20-10) / 2,0))</f>
        <v>+0</v>
      </c>
      <c r="R20" s="64">
        <v>18</v>
      </c>
      <c r="S20" s="81" t="str">
        <f>IF(R20&gt;9.9,CONCATENATE("+",ROUNDDOWN((R20-10) / 2,0)),ROUNDUP((R20-10) / 2,0))</f>
        <v>+4</v>
      </c>
      <c r="T20" s="64">
        <v>11</v>
      </c>
      <c r="U20" s="81" t="str">
        <f>IF(T20&gt;9.9,CONCATENATE("+",ROUNDDOWN((T20-10) / 2,0)),ROUNDUP((T20-10) / 2,0))</f>
        <v>+0</v>
      </c>
      <c r="V20" s="64">
        <v>14</v>
      </c>
      <c r="W20" s="81" t="str">
        <f>IF(V20&gt;9.9,CONCATENATE("+",ROUNDDOWN((V20-10) / 2,0)),ROUNDUP((V20-10) / 2,0))</f>
        <v>+2</v>
      </c>
      <c r="X20" s="64">
        <v>12</v>
      </c>
      <c r="Y20" s="81" t="str">
        <f>IF(X20&gt;9.9,CONCATENATE("+",ROUNDDOWN((X20-10) / 2,0)),ROUNDUP((X20-10) / 2,0))</f>
        <v>+1</v>
      </c>
      <c r="Z20" s="66">
        <v>10</v>
      </c>
      <c r="AA20" s="82" t="str">
        <f>IF(Z20&gt;9.9,CONCATENATE("+",ROUNDDOWN((Z20-10) / 2,0)),ROUNDUP((Z20-10) / 2,0))</f>
        <v>+0</v>
      </c>
      <c r="AB20" s="69">
        <f t="shared" si="7"/>
        <v>12.5</v>
      </c>
      <c r="AC20" s="70" t="str">
        <f t="shared" si="8"/>
        <v>+4</v>
      </c>
      <c r="AD20" s="71">
        <f>ROUND($H20*VLOOKUP($G20,'NPC Generator'!$I$2:$R$43,4,FALSE)/10,0)+ROUND($J20*VLOOKUP($I20,'NPC Generator'!$I$2:$R$43,4,FALSE)/10,0)</f>
        <v>2</v>
      </c>
      <c r="AE20" s="72">
        <f>IF(T20&gt;9.9,(ROUNDDOWN((T20-10) / 2,0)),ROUNDUP((T20-10) / 2,0))+AD20</f>
        <v>2</v>
      </c>
      <c r="AF20" s="73">
        <f>ROUND($H20*VLOOKUP($G20,'NPC Generator'!$I$2:$R$43,5,FALSE)/10,0)+ROUND($J20*VLOOKUP($I20,'NPC Generator'!$I$2:$R$43,5,FALSE)/10,0)</f>
        <v>4</v>
      </c>
      <c r="AG20" s="74">
        <f>AF20+AC20</f>
        <v>8</v>
      </c>
      <c r="AH20" s="75">
        <f>ROUND($H20*VLOOKUP($G20,'NPC Generator'!$I$2:$R$43,6,FALSE)/10,0)+ROUND($J20*VLOOKUP($I20,'NPC Generator'!$I$2:$R$43,6,FALSE)/10,0)</f>
        <v>3</v>
      </c>
      <c r="AI20" s="76">
        <f>IF(X20&gt;9.9,(ROUNDDOWN((X20-10) / 2,0)),ROUNDUP((X20-10) / 2,0))+AH20</f>
        <v>4</v>
      </c>
      <c r="AJ20" s="165">
        <f>ROUND($H20*VLOOKUP($G20,'NPC Generator'!$I$2:$R$43,3,FALSE)/10,0)+ROUND($J20*VLOOKUP($I20,'NPC Generator'!$I$2:$R$43,3,FALSE)/10,0)</f>
        <v>6</v>
      </c>
      <c r="AK20" s="68">
        <f>10+AC20+ROUND($H20*VLOOKUP($G20,'NPC Generator'!$I$2:$R$43,7,FALSE)/10,0)+ROUND($J20*VLOOKUP($I20,'NPC Generator'!$I$2:$R$43,7,FALSE)/10,0)</f>
        <v>19</v>
      </c>
      <c r="AL20" s="66">
        <f t="shared" si="12"/>
        <v>19</v>
      </c>
      <c r="AM20" s="66">
        <f t="shared" si="13"/>
        <v>23</v>
      </c>
      <c r="AN20" s="77">
        <f>$H20*(3+VLOOKUP($G20,'NPC Generator'!$I$2:$R$43,10,FALSE))+($J20*VLOOKUP($I20,'NPC Generator'!$I$2:$R$43,10,FALSE))+(U20*SUM(H20,J20))</f>
        <v>84</v>
      </c>
      <c r="AO20" s="78">
        <f>$H20*(3+VLOOKUP($G20,'NPC Generator'!$I$2:$R$43,9,FALSE))+($J20*VLOOKUP($I20,'NPC Generator'!$I$2:$R$43,9,FALSE))</f>
        <v>52</v>
      </c>
      <c r="AP20" s="163" t="s">
        <v>884</v>
      </c>
      <c r="AQ20" s="163" t="s">
        <v>728</v>
      </c>
      <c r="AR20" s="163" t="s">
        <v>815</v>
      </c>
      <c r="AS20" s="165" t="s">
        <v>816</v>
      </c>
      <c r="AT20" s="68" t="s">
        <v>1085</v>
      </c>
      <c r="AU20" s="64" t="s">
        <v>1186</v>
      </c>
      <c r="AV20" s="66">
        <f>VLOOKUP($AU20,¡RefTables!$G$8:$H$22,2,FALSE)</f>
        <v>4</v>
      </c>
      <c r="AW20" s="67" t="s">
        <v>1196</v>
      </c>
    </row>
    <row r="21" spans="1:49" ht="31.2" x14ac:dyDescent="0.3">
      <c r="A21" s="242" t="s">
        <v>465</v>
      </c>
      <c r="B21" s="135" t="s">
        <v>478</v>
      </c>
      <c r="C21" s="64" t="s">
        <v>303</v>
      </c>
      <c r="D21" s="65" t="s">
        <v>18</v>
      </c>
      <c r="E21" s="83" t="s">
        <v>91</v>
      </c>
      <c r="F21" s="83" t="s">
        <v>105</v>
      </c>
      <c r="G21" s="125" t="s">
        <v>100</v>
      </c>
      <c r="H21" s="125">
        <v>4</v>
      </c>
      <c r="I21" s="128" t="s">
        <v>34</v>
      </c>
      <c r="J21" s="128">
        <v>6</v>
      </c>
      <c r="K21" s="130">
        <f t="shared" si="0"/>
        <v>10</v>
      </c>
      <c r="L21" s="65" t="s">
        <v>307</v>
      </c>
      <c r="M21" s="133" t="s">
        <v>122</v>
      </c>
      <c r="N21" s="133" t="s">
        <v>148</v>
      </c>
      <c r="O21" s="66" t="s">
        <v>521</v>
      </c>
      <c r="P21" s="68">
        <v>9</v>
      </c>
      <c r="Q21" s="81">
        <f>IF(P21&gt;9.9,CONCATENATE("+",ROUNDDOWN((P21-10) / 2,0)),ROUNDUP((P21-10) / 2,0))</f>
        <v>-1</v>
      </c>
      <c r="R21" s="64">
        <v>9</v>
      </c>
      <c r="S21" s="81">
        <f>IF(R21&gt;9.9,CONCATENATE("+",ROUNDDOWN((R21-10) / 2,0)),ROUNDUP((R21-10) / 2,0))</f>
        <v>-1</v>
      </c>
      <c r="T21" s="64">
        <v>9</v>
      </c>
      <c r="U21" s="81">
        <f>IF(T21&gt;9.9,CONCATENATE("+",ROUNDDOWN((T21-10) / 2,0)),ROUNDUP((T21-10) / 2,0))</f>
        <v>-1</v>
      </c>
      <c r="V21" s="64">
        <v>10</v>
      </c>
      <c r="W21" s="81" t="str">
        <f>IF(V21&gt;9.9,CONCATENATE("+",ROUNDDOWN((V21-10) / 2,0)),ROUNDUP((V21-10) / 2,0))</f>
        <v>+0</v>
      </c>
      <c r="X21" s="64">
        <v>17</v>
      </c>
      <c r="Y21" s="81" t="str">
        <f>IF(X21&gt;9.9,CONCATENATE("+",ROUNDDOWN((X21-10) / 2,0)),ROUNDUP((X21-10) / 2,0))</f>
        <v>+3</v>
      </c>
      <c r="Z21" s="66">
        <v>19</v>
      </c>
      <c r="AA21" s="82" t="str">
        <f>IF(Z21&gt;9.9,CONCATENATE("+",ROUNDDOWN((Z21-10) / 2,0)),ROUNDUP((Z21-10) / 2,0))</f>
        <v>+4</v>
      </c>
      <c r="AB21" s="69">
        <f t="shared" si="7"/>
        <v>12.166666666666666</v>
      </c>
      <c r="AC21" s="70">
        <f t="shared" si="8"/>
        <v>-1</v>
      </c>
      <c r="AD21" s="71">
        <f>ROUND($H21*VLOOKUP($G21,'NPC Generator'!$I$2:$R$43,4,FALSE)/10,0)+ROUND($J21*VLOOKUP($I21,'NPC Generator'!$I$2:$R$43,4,FALSE)/10,0)</f>
        <v>5</v>
      </c>
      <c r="AE21" s="72">
        <f>IF(T21&gt;9.9,(ROUNDDOWN((T21-10) / 2,0)),ROUNDUP((T21-10) / 2,0))+AD21</f>
        <v>4</v>
      </c>
      <c r="AF21" s="73">
        <f>ROUND($H21*VLOOKUP($G21,'NPC Generator'!$I$2:$R$43,5,FALSE)/10,0)+ROUND($J21*VLOOKUP($I21,'NPC Generator'!$I$2:$R$43,5,FALSE)/10,0)</f>
        <v>3</v>
      </c>
      <c r="AG21" s="74">
        <f>AF21+AC21</f>
        <v>2</v>
      </c>
      <c r="AH21" s="75">
        <f>ROUND($H21*VLOOKUP($G21,'NPC Generator'!$I$2:$R$43,6,FALSE)/10,0)+ROUND($J21*VLOOKUP($I21,'NPC Generator'!$I$2:$R$43,6,FALSE)/10,0)</f>
        <v>6</v>
      </c>
      <c r="AI21" s="76">
        <f>IF(X21&gt;9.9,(ROUNDDOWN((X21-10) / 2,0)),ROUNDUP((X21-10) / 2,0))+AH21</f>
        <v>9</v>
      </c>
      <c r="AJ21" s="165">
        <f>ROUND($H21*VLOOKUP($G21,'NPC Generator'!$I$2:$R$43,3,FALSE)/10,0)+ROUND($J21*VLOOKUP($I21,'NPC Generator'!$I$2:$R$43,3,FALSE)/10,0)</f>
        <v>7</v>
      </c>
      <c r="AK21" s="68">
        <f>10+AC21+ROUND($H21*VLOOKUP($G21,'NPC Generator'!$I$2:$R$43,7,FALSE)/10,0)+ROUND($J21*VLOOKUP($I21,'NPC Generator'!$I$2:$R$43,7,FALSE)/10,0)</f>
        <v>13</v>
      </c>
      <c r="AL21" s="66">
        <f t="shared" si="12"/>
        <v>14</v>
      </c>
      <c r="AM21" s="66">
        <f t="shared" si="13"/>
        <v>13</v>
      </c>
      <c r="AN21" s="77">
        <f>$H21*(3+VLOOKUP($G21,'NPC Generator'!$I$2:$R$43,10,FALSE))+($J21*VLOOKUP($I21,'NPC Generator'!$I$2:$R$43,10,FALSE))+(U21*SUM(H21,J21))</f>
        <v>74</v>
      </c>
      <c r="AO21" s="78">
        <f>$H21*(3+VLOOKUP($G21,'NPC Generator'!$I$2:$R$43,9,FALSE))+($J21*VLOOKUP($I21,'NPC Generator'!$I$2:$R$43,9,FALSE))</f>
        <v>62</v>
      </c>
      <c r="AP21" s="163" t="s">
        <v>889</v>
      </c>
      <c r="AQ21" s="163" t="s">
        <v>736</v>
      </c>
      <c r="AR21" s="163" t="s">
        <v>785</v>
      </c>
      <c r="AS21" s="165" t="s">
        <v>832</v>
      </c>
      <c r="AT21" s="68" t="s">
        <v>1037</v>
      </c>
      <c r="AU21" s="64" t="s">
        <v>176</v>
      </c>
      <c r="AV21" s="66">
        <f>VLOOKUP($AU21,¡RefTables!$G$8:$H$22,2,FALSE)</f>
        <v>0</v>
      </c>
      <c r="AW21" s="67" t="s">
        <v>1195</v>
      </c>
    </row>
    <row r="22" spans="1:49" ht="46.8" x14ac:dyDescent="0.3">
      <c r="A22" s="242" t="s">
        <v>450</v>
      </c>
      <c r="B22" s="134" t="s">
        <v>449</v>
      </c>
      <c r="C22" s="64" t="s">
        <v>106</v>
      </c>
      <c r="D22" s="65" t="s">
        <v>20</v>
      </c>
      <c r="E22" s="83" t="s">
        <v>91</v>
      </c>
      <c r="F22" s="83" t="s">
        <v>105</v>
      </c>
      <c r="G22" s="125" t="s">
        <v>101</v>
      </c>
      <c r="H22" s="125">
        <v>4</v>
      </c>
      <c r="I22" s="128" t="s">
        <v>26</v>
      </c>
      <c r="J22" s="128">
        <v>5</v>
      </c>
      <c r="K22" s="130">
        <f t="shared" si="0"/>
        <v>9</v>
      </c>
      <c r="L22" s="65" t="s">
        <v>309</v>
      </c>
      <c r="M22" s="133" t="s">
        <v>130</v>
      </c>
      <c r="N22" s="133" t="s">
        <v>306</v>
      </c>
      <c r="O22" s="66" t="s">
        <v>525</v>
      </c>
      <c r="P22" s="68">
        <v>10</v>
      </c>
      <c r="Q22" s="81" t="str">
        <f>IF(P22&gt;9.9,CONCATENATE("+",ROUNDDOWN((P22-10) / 2,0)),ROUNDUP((P22-10) / 2,0))</f>
        <v>+0</v>
      </c>
      <c r="R22" s="64">
        <v>16</v>
      </c>
      <c r="S22" s="81" t="str">
        <f>IF(R22&gt;9.9,CONCATENATE("+",ROUNDDOWN((R22-10) / 2,0)),ROUNDUP((R22-10) / 2,0))</f>
        <v>+3</v>
      </c>
      <c r="T22" s="64">
        <v>10</v>
      </c>
      <c r="U22" s="81" t="str">
        <f>IF(T22&gt;9.9,CONCATENATE("+",ROUNDDOWN((T22-10) / 2,0)),ROUNDUP((T22-10) / 2,0))</f>
        <v>+0</v>
      </c>
      <c r="V22" s="64">
        <v>14</v>
      </c>
      <c r="W22" s="81" t="str">
        <f>IF(V22&gt;9.9,CONCATENATE("+",ROUNDDOWN((V22-10) / 2,0)),ROUNDUP((V22-10) / 2,0))</f>
        <v>+2</v>
      </c>
      <c r="X22" s="64">
        <v>10</v>
      </c>
      <c r="Y22" s="81" t="str">
        <f>IF(X22&gt;9.9,CONCATENATE("+",ROUNDDOWN((X22-10) / 2,0)),ROUNDUP((X22-10) / 2,0))</f>
        <v>+0</v>
      </c>
      <c r="Z22" s="66">
        <v>14</v>
      </c>
      <c r="AA22" s="82" t="str">
        <f>IF(Z22&gt;9.9,CONCATENATE("+",ROUNDDOWN((Z22-10) / 2,0)),ROUNDUP((Z22-10) / 2,0))</f>
        <v>+2</v>
      </c>
      <c r="AB22" s="69">
        <f t="shared" si="7"/>
        <v>12.333333333333334</v>
      </c>
      <c r="AC22" s="70" t="str">
        <f t="shared" si="8"/>
        <v>+3</v>
      </c>
      <c r="AD22" s="71">
        <f>ROUND($H22*VLOOKUP($G22,'NPC Generator'!$I$2:$R$43,4,FALSE)/10,0)+ROUND($J22*VLOOKUP($I22,'NPC Generator'!$I$2:$R$43,4,FALSE)/10,0)</f>
        <v>3</v>
      </c>
      <c r="AE22" s="72">
        <f>IF(T22&gt;9.9,(ROUNDDOWN((T22-10) / 2,0)),ROUNDUP((T22-10) / 2,0))+AD22</f>
        <v>3</v>
      </c>
      <c r="AF22" s="73">
        <f>ROUND($H22*VLOOKUP($G22,'NPC Generator'!$I$2:$R$43,5,FALSE)/10,0)+ROUND($J22*VLOOKUP($I22,'NPC Generator'!$I$2:$R$43,5,FALSE)/10,0)</f>
        <v>6</v>
      </c>
      <c r="AG22" s="74">
        <f>AF22+AC22</f>
        <v>9</v>
      </c>
      <c r="AH22" s="75">
        <f>ROUND($H22*VLOOKUP($G22,'NPC Generator'!$I$2:$R$43,6,FALSE)/10,0)+ROUND($J22*VLOOKUP($I22,'NPC Generator'!$I$2:$R$43,6,FALSE)/10,0)</f>
        <v>3</v>
      </c>
      <c r="AI22" s="76">
        <f>IF(X22&gt;9.9,(ROUNDDOWN((X22-10) / 2,0)),ROUNDUP((X22-10) / 2,0))+AH22</f>
        <v>3</v>
      </c>
      <c r="AJ22" s="165">
        <f>ROUND($H22*VLOOKUP($G22,'NPC Generator'!$I$2:$R$43,3,FALSE)/10,0)+ROUND($J22*VLOOKUP($I22,'NPC Generator'!$I$2:$R$43,3,FALSE)/10,0)</f>
        <v>6</v>
      </c>
      <c r="AK22" s="68">
        <f>10+AC22+ROUND($H22*VLOOKUP($G22,'NPC Generator'!$I$2:$R$43,7,FALSE)/10,0)+ROUND($J22*VLOOKUP($I22,'NPC Generator'!$I$2:$R$43,7,FALSE)/10,0)</f>
        <v>20</v>
      </c>
      <c r="AL22" s="66">
        <f t="shared" si="12"/>
        <v>18</v>
      </c>
      <c r="AM22" s="66">
        <f t="shared" si="13"/>
        <v>21</v>
      </c>
      <c r="AN22" s="77">
        <f>$H22*(3+VLOOKUP($G22,'NPC Generator'!$I$2:$R$43,10,FALSE))+($J22*VLOOKUP($I22,'NPC Generator'!$I$2:$R$43,10,FALSE))+(U22*SUM(H22,J22))</f>
        <v>84</v>
      </c>
      <c r="AO22" s="78">
        <f>$H22*(3+VLOOKUP($G22,'NPC Generator'!$I$2:$R$43,9,FALSE))+($J22*VLOOKUP($I22,'NPC Generator'!$I$2:$R$43,9,FALSE))</f>
        <v>67</v>
      </c>
      <c r="AP22" s="163" t="s">
        <v>918</v>
      </c>
      <c r="AQ22" s="163" t="s">
        <v>727</v>
      </c>
      <c r="AR22" s="163" t="s">
        <v>752</v>
      </c>
      <c r="AS22" s="165" t="s">
        <v>818</v>
      </c>
      <c r="AT22" s="68" t="s">
        <v>1131</v>
      </c>
      <c r="AU22" s="64" t="s">
        <v>1181</v>
      </c>
      <c r="AV22" s="66">
        <f>VLOOKUP($AU22,¡RefTables!$G$8:$H$22,2,FALSE)</f>
        <v>1</v>
      </c>
      <c r="AW22" s="67" t="s">
        <v>1239</v>
      </c>
    </row>
    <row r="23" spans="1:49" ht="46.8" x14ac:dyDescent="0.3">
      <c r="A23" s="242" t="s">
        <v>448</v>
      </c>
      <c r="B23" s="134" t="s">
        <v>447</v>
      </c>
      <c r="C23" s="64" t="s">
        <v>105</v>
      </c>
      <c r="D23" s="65" t="s">
        <v>19</v>
      </c>
      <c r="E23" s="83" t="s">
        <v>91</v>
      </c>
      <c r="F23" s="83" t="s">
        <v>105</v>
      </c>
      <c r="G23" s="125" t="s">
        <v>98</v>
      </c>
      <c r="H23" s="125">
        <v>4</v>
      </c>
      <c r="I23" s="128" t="s">
        <v>716</v>
      </c>
      <c r="J23" s="128">
        <v>4</v>
      </c>
      <c r="K23" s="130">
        <f t="shared" si="0"/>
        <v>8</v>
      </c>
      <c r="L23" s="65" t="s">
        <v>327</v>
      </c>
      <c r="M23" s="133" t="s">
        <v>131</v>
      </c>
      <c r="N23" s="133" t="s">
        <v>304</v>
      </c>
      <c r="O23" s="66" t="s">
        <v>529</v>
      </c>
      <c r="P23" s="68">
        <v>12</v>
      </c>
      <c r="Q23" s="81" t="s">
        <v>87</v>
      </c>
      <c r="R23" s="64">
        <v>12</v>
      </c>
      <c r="S23" s="81" t="s">
        <v>86</v>
      </c>
      <c r="T23" s="64">
        <v>12</v>
      </c>
      <c r="U23" s="81" t="s">
        <v>86</v>
      </c>
      <c r="V23" s="64">
        <v>16</v>
      </c>
      <c r="W23" s="81" t="s">
        <v>83</v>
      </c>
      <c r="X23" s="64">
        <v>11</v>
      </c>
      <c r="Y23" s="81" t="s">
        <v>85</v>
      </c>
      <c r="Z23" s="66">
        <v>8</v>
      </c>
      <c r="AA23" s="82" t="s">
        <v>85</v>
      </c>
      <c r="AB23" s="69">
        <f t="shared" si="7"/>
        <v>11.833333333333334</v>
      </c>
      <c r="AC23" s="70" t="str">
        <f t="shared" si="8"/>
        <v>+1</v>
      </c>
      <c r="AD23" s="71">
        <f>ROUND($H23*VLOOKUP($G23,'NPC Generator'!$I$2:$R$43,4,FALSE)/10,0)+ROUND($J23*VLOOKUP($I23,'NPC Generator'!$I$2:$R$43,4,FALSE)/10,0)</f>
        <v>2</v>
      </c>
      <c r="AE23" s="72">
        <v>3</v>
      </c>
      <c r="AF23" s="73">
        <f>ROUND($H23*VLOOKUP($G23,'NPC Generator'!$I$2:$R$43,5,FALSE)/10,0)+ROUND($J23*VLOOKUP($I23,'NPC Generator'!$I$2:$R$43,5,FALSE)/10,0)</f>
        <v>2</v>
      </c>
      <c r="AG23" s="74">
        <v>1</v>
      </c>
      <c r="AH23" s="75">
        <f>ROUND($H23*VLOOKUP($G23,'NPC Generator'!$I$2:$R$43,6,FALSE)/10,0)+ROUND($J23*VLOOKUP($I23,'NPC Generator'!$I$2:$R$43,6,FALSE)/10,0)</f>
        <v>5</v>
      </c>
      <c r="AI23" s="76">
        <v>3</v>
      </c>
      <c r="AJ23" s="165">
        <f>ROUND($H23*VLOOKUP($G23,'NPC Generator'!$I$2:$R$43,3,FALSE)/10,0)+ROUND($J23*VLOOKUP($I23,'NPC Generator'!$I$2:$R$43,3,FALSE)/10,0)</f>
        <v>4</v>
      </c>
      <c r="AK23" s="68">
        <f>10+AC23+ROUND($H23*VLOOKUP($G23,'NPC Generator'!$I$2:$R$43,7,FALSE)/10,0)+ROUND($J23*VLOOKUP($I23,'NPC Generator'!$I$2:$R$43,7,FALSE)/10,0)</f>
        <v>14</v>
      </c>
      <c r="AL23" s="66">
        <f t="shared" si="12"/>
        <v>13</v>
      </c>
      <c r="AM23" s="66">
        <f t="shared" si="13"/>
        <v>14</v>
      </c>
      <c r="AN23" s="77">
        <f>$H23*(3+VLOOKUP($G23,'NPC Generator'!$I$2:$R$43,10,FALSE))+($J23*VLOOKUP($I23,'NPC Generator'!$I$2:$R$43,10,FALSE))+(U23*SUM(H23,J23))</f>
        <v>68</v>
      </c>
      <c r="AO23" s="78">
        <f>$H23*(3+VLOOKUP($G23,'NPC Generator'!$I$2:$R$43,9,FALSE))+($J23*VLOOKUP($I23,'NPC Generator'!$I$2:$R$43,9,FALSE))</f>
        <v>76</v>
      </c>
      <c r="AP23" s="163" t="s">
        <v>881</v>
      </c>
      <c r="AQ23" s="163" t="s">
        <v>730</v>
      </c>
      <c r="AR23" s="163" t="s">
        <v>767</v>
      </c>
      <c r="AS23" s="165" t="s">
        <v>765</v>
      </c>
      <c r="AT23" s="68" t="s">
        <v>1127</v>
      </c>
      <c r="AU23" s="64" t="s">
        <v>176</v>
      </c>
      <c r="AV23" s="66">
        <f>VLOOKUP($AU23,¡RefTables!$G$8:$H$22,2,FALSE)</f>
        <v>0</v>
      </c>
      <c r="AW23" s="67" t="s">
        <v>1200</v>
      </c>
    </row>
    <row r="24" spans="1:49" ht="31.2" x14ac:dyDescent="0.3">
      <c r="A24" s="243" t="s">
        <v>451</v>
      </c>
      <c r="B24" s="135" t="s">
        <v>452</v>
      </c>
      <c r="C24" s="64" t="s">
        <v>105</v>
      </c>
      <c r="D24" s="65" t="s">
        <v>21</v>
      </c>
      <c r="E24" s="83" t="s">
        <v>91</v>
      </c>
      <c r="F24" s="83" t="s">
        <v>105</v>
      </c>
      <c r="G24" s="125" t="s">
        <v>98</v>
      </c>
      <c r="H24" s="125">
        <v>4</v>
      </c>
      <c r="I24" s="128" t="s">
        <v>45</v>
      </c>
      <c r="J24" s="128">
        <v>4</v>
      </c>
      <c r="K24" s="130">
        <f t="shared" si="0"/>
        <v>8</v>
      </c>
      <c r="L24" s="65" t="s">
        <v>309</v>
      </c>
      <c r="M24" s="133" t="s">
        <v>130</v>
      </c>
      <c r="N24" s="133" t="s">
        <v>306</v>
      </c>
      <c r="O24" s="66" t="s">
        <v>956</v>
      </c>
      <c r="P24" s="68">
        <v>10</v>
      </c>
      <c r="Q24" s="81" t="str">
        <f t="shared" ref="Q24:Q30" si="14">IF(P24&gt;9.9,CONCATENATE("+",ROUNDDOWN((P24-10) / 2,0)),ROUNDUP((P24-10) / 2,0))</f>
        <v>+0</v>
      </c>
      <c r="R24" s="64">
        <v>17</v>
      </c>
      <c r="S24" s="81" t="str">
        <f t="shared" ref="S24:S30" si="15">IF(R24&gt;9.9,CONCATENATE("+",ROUNDDOWN((R24-10) / 2,0)),ROUNDUP((R24-10) / 2,0))</f>
        <v>+3</v>
      </c>
      <c r="T24" s="64">
        <v>10</v>
      </c>
      <c r="U24" s="81" t="str">
        <f t="shared" ref="U24:U30" si="16">IF(T24&gt;9.9,CONCATENATE("+",ROUNDDOWN((T24-10) / 2,0)),ROUNDUP((T24-10) / 2,0))</f>
        <v>+0</v>
      </c>
      <c r="V24" s="64">
        <v>17</v>
      </c>
      <c r="W24" s="81" t="str">
        <f t="shared" ref="W24:W30" si="17">IF(V24&gt;9.9,CONCATENATE("+",ROUNDDOWN((V24-10) / 2,0)),ROUNDUP((V24-10) / 2,0))</f>
        <v>+3</v>
      </c>
      <c r="X24" s="64">
        <v>10</v>
      </c>
      <c r="Y24" s="81" t="str">
        <f t="shared" ref="Y24:Y30" si="18">IF(X24&gt;9.9,CONCATENATE("+",ROUNDDOWN((X24-10) / 2,0)),ROUNDUP((X24-10) / 2,0))</f>
        <v>+0</v>
      </c>
      <c r="Z24" s="66">
        <v>10</v>
      </c>
      <c r="AA24" s="82" t="str">
        <f t="shared" ref="AA24:AA30" si="19">IF(Z24&gt;9.9,CONCATENATE("+",ROUNDDOWN((Z24-10) / 2,0)),ROUNDUP((Z24-10) / 2,0))</f>
        <v>+0</v>
      </c>
      <c r="AB24" s="69">
        <f t="shared" si="7"/>
        <v>12.333333333333334</v>
      </c>
      <c r="AC24" s="70" t="str">
        <f t="shared" si="8"/>
        <v>+3</v>
      </c>
      <c r="AD24" s="71">
        <f>ROUND($H24*VLOOKUP($G24,'NPC Generator'!$I$2:$R$43,4,FALSE)/10,0)+ROUND($J24*VLOOKUP($I24,'NPC Generator'!$I$2:$R$43,4,FALSE)/10,0)</f>
        <v>2</v>
      </c>
      <c r="AE24" s="72">
        <f t="shared" ref="AE24:AE30" si="20">IF(T24&gt;9.9,(ROUNDDOWN((T24-10) / 2,0)),ROUNDUP((T24-10) / 2,0))+AD24</f>
        <v>2</v>
      </c>
      <c r="AF24" s="73">
        <f>ROUND($H24*VLOOKUP($G24,'NPC Generator'!$I$2:$R$43,5,FALSE)/10,0)+ROUND($J24*VLOOKUP($I24,'NPC Generator'!$I$2:$R$43,5,FALSE)/10,0)</f>
        <v>4</v>
      </c>
      <c r="AG24" s="74">
        <f t="shared" ref="AG24:AG30" si="21">AF24+AC24</f>
        <v>7</v>
      </c>
      <c r="AH24" s="75">
        <f>ROUND($H24*VLOOKUP($G24,'NPC Generator'!$I$2:$R$43,6,FALSE)/10,0)+ROUND($J24*VLOOKUP($I24,'NPC Generator'!$I$2:$R$43,6,FALSE)/10,0)</f>
        <v>3</v>
      </c>
      <c r="AI24" s="76">
        <f t="shared" ref="AI24:AI30" si="22">IF(X24&gt;9.9,(ROUNDDOWN((X24-10) / 2,0)),ROUNDUP((X24-10) / 2,0))+AH24</f>
        <v>3</v>
      </c>
      <c r="AJ24" s="165">
        <f>ROUND($H24*VLOOKUP($G24,'NPC Generator'!$I$2:$R$43,3,FALSE)/10,0)+ROUND($J24*VLOOKUP($I24,'NPC Generator'!$I$2:$R$43,3,FALSE)/10,0)</f>
        <v>6</v>
      </c>
      <c r="AK24" s="68">
        <f>10+AC24+ROUND($H24*VLOOKUP($G24,'NPC Generator'!$I$2:$R$43,7,FALSE)/10,0)+ROUND($J24*VLOOKUP($I24,'NPC Generator'!$I$2:$R$43,7,FALSE)/10,0)</f>
        <v>16</v>
      </c>
      <c r="AL24" s="66">
        <f t="shared" si="12"/>
        <v>14</v>
      </c>
      <c r="AM24" s="66">
        <f t="shared" si="13"/>
        <v>17</v>
      </c>
      <c r="AN24" s="77">
        <f>$H24*(3+VLOOKUP($G24,'NPC Generator'!$I$2:$R$43,10,FALSE))+($J24*VLOOKUP($I24,'NPC Generator'!$I$2:$R$43,10,FALSE))+(U24*SUM(H24,J24))</f>
        <v>68</v>
      </c>
      <c r="AO24" s="78">
        <f>$H24*(3+VLOOKUP($G24,'NPC Generator'!$I$2:$R$43,9,FALSE))+($J24*VLOOKUP($I24,'NPC Generator'!$I$2:$R$43,9,FALSE))</f>
        <v>68</v>
      </c>
      <c r="AP24" s="163" t="s">
        <v>904</v>
      </c>
      <c r="AQ24" s="163" t="s">
        <v>730</v>
      </c>
      <c r="AR24" s="163" t="s">
        <v>769</v>
      </c>
      <c r="AS24" s="165" t="s">
        <v>854</v>
      </c>
      <c r="AT24" s="68" t="s">
        <v>996</v>
      </c>
      <c r="AU24" s="64" t="s">
        <v>1181</v>
      </c>
      <c r="AV24" s="66">
        <f>VLOOKUP($AU24,¡RefTables!$G$8:$H$22,2,FALSE)</f>
        <v>1</v>
      </c>
      <c r="AW24" s="67" t="s">
        <v>1206</v>
      </c>
    </row>
    <row r="25" spans="1:49" ht="46.8" x14ac:dyDescent="0.3">
      <c r="A25" s="243" t="s">
        <v>336</v>
      </c>
      <c r="B25" s="135" t="s">
        <v>479</v>
      </c>
      <c r="C25" s="64" t="s">
        <v>303</v>
      </c>
      <c r="D25" s="65" t="s">
        <v>18</v>
      </c>
      <c r="E25" s="83" t="s">
        <v>91</v>
      </c>
      <c r="F25" s="83" t="s">
        <v>105</v>
      </c>
      <c r="G25" s="125" t="s">
        <v>101</v>
      </c>
      <c r="H25" s="125">
        <v>4</v>
      </c>
      <c r="I25" s="128" t="s">
        <v>30</v>
      </c>
      <c r="J25" s="128">
        <v>3</v>
      </c>
      <c r="K25" s="130">
        <f t="shared" si="0"/>
        <v>7</v>
      </c>
      <c r="L25" s="65" t="s">
        <v>307</v>
      </c>
      <c r="M25" s="133" t="s">
        <v>138</v>
      </c>
      <c r="N25" s="133" t="s">
        <v>304</v>
      </c>
      <c r="O25" s="66" t="s">
        <v>957</v>
      </c>
      <c r="P25" s="68">
        <v>10</v>
      </c>
      <c r="Q25" s="81" t="str">
        <f t="shared" si="14"/>
        <v>+0</v>
      </c>
      <c r="R25" s="64">
        <v>15</v>
      </c>
      <c r="S25" s="81" t="str">
        <f t="shared" si="15"/>
        <v>+2</v>
      </c>
      <c r="T25" s="64">
        <v>10</v>
      </c>
      <c r="U25" s="81" t="str">
        <f t="shared" si="16"/>
        <v>+0</v>
      </c>
      <c r="V25" s="64">
        <v>16</v>
      </c>
      <c r="W25" s="81" t="str">
        <f t="shared" si="17"/>
        <v>+3</v>
      </c>
      <c r="X25" s="64">
        <v>13</v>
      </c>
      <c r="Y25" s="81" t="str">
        <f t="shared" si="18"/>
        <v>+1</v>
      </c>
      <c r="Z25" s="66">
        <v>7</v>
      </c>
      <c r="AA25" s="82">
        <f t="shared" si="19"/>
        <v>-2</v>
      </c>
      <c r="AB25" s="69">
        <f t="shared" si="7"/>
        <v>11.833333333333334</v>
      </c>
      <c r="AC25" s="70" t="str">
        <f t="shared" si="8"/>
        <v>+2</v>
      </c>
      <c r="AD25" s="71">
        <f>ROUND($H25*VLOOKUP($G25,'NPC Generator'!$I$2:$R$43,4,FALSE)/10,0)+ROUND($J25*VLOOKUP($I25,'NPC Generator'!$I$2:$R$43,4,FALSE)/10,0)</f>
        <v>2</v>
      </c>
      <c r="AE25" s="72">
        <f t="shared" si="20"/>
        <v>2</v>
      </c>
      <c r="AF25" s="73">
        <f>ROUND($H25*VLOOKUP($G25,'NPC Generator'!$I$2:$R$43,5,FALSE)/10,0)+ROUND($J25*VLOOKUP($I25,'NPC Generator'!$I$2:$R$43,5,FALSE)/10,0)</f>
        <v>3</v>
      </c>
      <c r="AG25" s="74">
        <f t="shared" si="21"/>
        <v>5</v>
      </c>
      <c r="AH25" s="75">
        <f>ROUND($H25*VLOOKUP($G25,'NPC Generator'!$I$2:$R$43,6,FALSE)/10,0)+ROUND($J25*VLOOKUP($I25,'NPC Generator'!$I$2:$R$43,6,FALSE)/10,0)</f>
        <v>3</v>
      </c>
      <c r="AI25" s="76">
        <f t="shared" si="22"/>
        <v>4</v>
      </c>
      <c r="AJ25" s="165">
        <f>ROUND($H25*VLOOKUP($G25,'NPC Generator'!$I$2:$R$43,3,FALSE)/10,0)+ROUND($J25*VLOOKUP($I25,'NPC Generator'!$I$2:$R$43,3,FALSE)/10,0)</f>
        <v>5</v>
      </c>
      <c r="AK25" s="68">
        <f>10+AC25+ROUND($H25*VLOOKUP($G25,'NPC Generator'!$I$2:$R$43,7,FALSE)/10,0)+ROUND($J25*VLOOKUP($I25,'NPC Generator'!$I$2:$R$43,7,FALSE)/10,0)</f>
        <v>17</v>
      </c>
      <c r="AL25" s="66">
        <f t="shared" si="12"/>
        <v>15</v>
      </c>
      <c r="AM25" s="66">
        <f t="shared" si="13"/>
        <v>17</v>
      </c>
      <c r="AN25" s="77">
        <f>$H25*(3+VLOOKUP($G25,'NPC Generator'!$I$2:$R$43,10,FALSE))+($J25*VLOOKUP($I25,'NPC Generator'!$I$2:$R$43,10,FALSE))+(U25*SUM(H25,J25))</f>
        <v>62</v>
      </c>
      <c r="AO25" s="78">
        <f>$H25*(3+VLOOKUP($G25,'NPC Generator'!$I$2:$R$43,9,FALSE))+($J25*VLOOKUP($I25,'NPC Generator'!$I$2:$R$43,9,FALSE))</f>
        <v>53</v>
      </c>
      <c r="AP25" s="163" t="s">
        <v>921</v>
      </c>
      <c r="AQ25" s="163" t="s">
        <v>728</v>
      </c>
      <c r="AR25" s="163" t="s">
        <v>755</v>
      </c>
      <c r="AS25" s="165" t="s">
        <v>810</v>
      </c>
      <c r="AT25" s="68" t="s">
        <v>1149</v>
      </c>
      <c r="AU25" s="64" t="s">
        <v>176</v>
      </c>
      <c r="AV25" s="66">
        <f>VLOOKUP($AU25,¡RefTables!$G$8:$H$22,2,FALSE)</f>
        <v>0</v>
      </c>
      <c r="AW25" s="67" t="s">
        <v>1195</v>
      </c>
    </row>
    <row r="26" spans="1:49" ht="31.2" x14ac:dyDescent="0.3">
      <c r="A26" s="242" t="s">
        <v>415</v>
      </c>
      <c r="B26" s="134" t="s">
        <v>414</v>
      </c>
      <c r="C26" s="64" t="s">
        <v>106</v>
      </c>
      <c r="D26" s="65" t="s">
        <v>20</v>
      </c>
      <c r="E26" s="83" t="s">
        <v>92</v>
      </c>
      <c r="F26" s="83" t="s">
        <v>105</v>
      </c>
      <c r="G26" s="125" t="s">
        <v>98</v>
      </c>
      <c r="H26" s="125">
        <v>4</v>
      </c>
      <c r="I26" s="128" t="s">
        <v>44</v>
      </c>
      <c r="J26" s="128">
        <v>6</v>
      </c>
      <c r="K26" s="130">
        <f t="shared" si="0"/>
        <v>10</v>
      </c>
      <c r="L26" s="65" t="s">
        <v>315</v>
      </c>
      <c r="M26" s="133" t="s">
        <v>112</v>
      </c>
      <c r="N26" s="133" t="s">
        <v>148</v>
      </c>
      <c r="O26" s="66" t="s">
        <v>526</v>
      </c>
      <c r="P26" s="68">
        <v>5</v>
      </c>
      <c r="Q26" s="81">
        <f t="shared" si="14"/>
        <v>-3</v>
      </c>
      <c r="R26" s="64">
        <v>8</v>
      </c>
      <c r="S26" s="81">
        <f t="shared" si="15"/>
        <v>-1</v>
      </c>
      <c r="T26" s="64">
        <v>7</v>
      </c>
      <c r="U26" s="81">
        <f t="shared" si="16"/>
        <v>-2</v>
      </c>
      <c r="V26" s="64">
        <v>20</v>
      </c>
      <c r="W26" s="81" t="str">
        <f t="shared" si="17"/>
        <v>+5</v>
      </c>
      <c r="X26" s="64">
        <v>19</v>
      </c>
      <c r="Y26" s="81" t="str">
        <f t="shared" si="18"/>
        <v>+4</v>
      </c>
      <c r="Z26" s="66">
        <v>18</v>
      </c>
      <c r="AA26" s="82" t="str">
        <f t="shared" si="19"/>
        <v>+4</v>
      </c>
      <c r="AB26" s="69">
        <f t="shared" si="7"/>
        <v>12.833333333333334</v>
      </c>
      <c r="AC26" s="70">
        <f t="shared" si="8"/>
        <v>-1</v>
      </c>
      <c r="AD26" s="71">
        <f>ROUND($H26*VLOOKUP($G26,'NPC Generator'!$I$2:$R$43,4,FALSE)/10,0)+ROUND($J26*VLOOKUP($I26,'NPC Generator'!$I$2:$R$43,4,FALSE)/10,0)</f>
        <v>3</v>
      </c>
      <c r="AE26" s="72">
        <f t="shared" si="20"/>
        <v>1</v>
      </c>
      <c r="AF26" s="73">
        <f>ROUND($H26*VLOOKUP($G26,'NPC Generator'!$I$2:$R$43,5,FALSE)/10,0)+ROUND($J26*VLOOKUP($I26,'NPC Generator'!$I$2:$R$43,5,FALSE)/10,0)</f>
        <v>4</v>
      </c>
      <c r="AG26" s="74">
        <f t="shared" si="21"/>
        <v>3</v>
      </c>
      <c r="AH26" s="75">
        <f>ROUND($H26*VLOOKUP($G26,'NPC Generator'!$I$2:$R$43,6,FALSE)/10,0)+ROUND($J26*VLOOKUP($I26,'NPC Generator'!$I$2:$R$43,6,FALSE)/10,0)</f>
        <v>5</v>
      </c>
      <c r="AI26" s="76">
        <f t="shared" si="22"/>
        <v>9</v>
      </c>
      <c r="AJ26" s="165">
        <f>ROUND($H26*VLOOKUP($G26,'NPC Generator'!$I$2:$R$43,3,FALSE)/10,0)+ROUND($J26*VLOOKUP($I26,'NPC Generator'!$I$2:$R$43,3,FALSE)/10,0)</f>
        <v>6</v>
      </c>
      <c r="AK26" s="68">
        <f>10+AC26+ROUND($H26*VLOOKUP($G26,'NPC Generator'!$I$2:$R$43,7,FALSE)/10,0)+ROUND($J26*VLOOKUP($I26,'NPC Generator'!$I$2:$R$43,7,FALSE)/10,0)</f>
        <v>13</v>
      </c>
      <c r="AL26" s="66">
        <f t="shared" si="12"/>
        <v>14</v>
      </c>
      <c r="AM26" s="66">
        <f t="shared" si="13"/>
        <v>13</v>
      </c>
      <c r="AN26" s="77">
        <f>$H26*(3+VLOOKUP($G26,'NPC Generator'!$I$2:$R$43,10,FALSE))+($J26*VLOOKUP($I26,'NPC Generator'!$I$2:$R$43,10,FALSE))+(U26*SUM(H26,J26))</f>
        <v>52</v>
      </c>
      <c r="AO26" s="78">
        <f>$H26*(3+VLOOKUP($G26,'NPC Generator'!$I$2:$R$43,9,FALSE))+($J26*VLOOKUP($I26,'NPC Generator'!$I$2:$R$43,9,FALSE))</f>
        <v>90</v>
      </c>
      <c r="AP26" s="163" t="s">
        <v>868</v>
      </c>
      <c r="AQ26" s="163" t="s">
        <v>730</v>
      </c>
      <c r="AR26" s="163" t="s">
        <v>781</v>
      </c>
      <c r="AS26" s="165" t="s">
        <v>764</v>
      </c>
      <c r="AT26" s="68" t="s">
        <v>1131</v>
      </c>
      <c r="AU26" s="64" t="s">
        <v>176</v>
      </c>
      <c r="AV26" s="66">
        <f>VLOOKUP($AU26,¡RefTables!$G$8:$H$22,2,FALSE)</f>
        <v>0</v>
      </c>
      <c r="AW26" s="67" t="s">
        <v>1212</v>
      </c>
    </row>
    <row r="27" spans="1:49" ht="31.2" x14ac:dyDescent="0.3">
      <c r="A27" s="243" t="s">
        <v>422</v>
      </c>
      <c r="B27" s="135" t="s">
        <v>421</v>
      </c>
      <c r="C27" s="64" t="s">
        <v>106</v>
      </c>
      <c r="D27" s="65" t="s">
        <v>20</v>
      </c>
      <c r="E27" s="83" t="s">
        <v>92</v>
      </c>
      <c r="F27" s="83" t="s">
        <v>105</v>
      </c>
      <c r="G27" s="125" t="s">
        <v>103</v>
      </c>
      <c r="H27" s="125">
        <v>4</v>
      </c>
      <c r="I27" s="128" t="s">
        <v>48</v>
      </c>
      <c r="J27" s="128">
        <v>5</v>
      </c>
      <c r="K27" s="130">
        <f t="shared" si="0"/>
        <v>9</v>
      </c>
      <c r="L27" s="65" t="s">
        <v>321</v>
      </c>
      <c r="M27" s="133" t="s">
        <v>125</v>
      </c>
      <c r="N27" s="133" t="s">
        <v>104</v>
      </c>
      <c r="O27" s="66" t="s">
        <v>555</v>
      </c>
      <c r="P27" s="68">
        <v>14</v>
      </c>
      <c r="Q27" s="81" t="str">
        <f t="shared" si="14"/>
        <v>+2</v>
      </c>
      <c r="R27" s="64">
        <v>14</v>
      </c>
      <c r="S27" s="81" t="str">
        <f t="shared" si="15"/>
        <v>+2</v>
      </c>
      <c r="T27" s="64">
        <v>14</v>
      </c>
      <c r="U27" s="81" t="str">
        <f t="shared" si="16"/>
        <v>+2</v>
      </c>
      <c r="V27" s="64">
        <v>8</v>
      </c>
      <c r="W27" s="81">
        <f t="shared" si="17"/>
        <v>-1</v>
      </c>
      <c r="X27" s="64">
        <v>8</v>
      </c>
      <c r="Y27" s="81">
        <f t="shared" si="18"/>
        <v>-1</v>
      </c>
      <c r="Z27" s="66">
        <v>7</v>
      </c>
      <c r="AA27" s="82">
        <f t="shared" si="19"/>
        <v>-2</v>
      </c>
      <c r="AB27" s="69">
        <f t="shared" si="7"/>
        <v>10.833333333333334</v>
      </c>
      <c r="AC27" s="70" t="str">
        <f t="shared" si="8"/>
        <v>+2</v>
      </c>
      <c r="AD27" s="71">
        <f>ROUND($H27*VLOOKUP($G27,'NPC Generator'!$I$2:$R$43,4,FALSE)/10,0)+ROUND($J27*VLOOKUP($I27,'NPC Generator'!$I$2:$R$43,4,FALSE)/10,0)</f>
        <v>6</v>
      </c>
      <c r="AE27" s="72">
        <f t="shared" si="20"/>
        <v>8</v>
      </c>
      <c r="AF27" s="73">
        <f>ROUND($H27*VLOOKUP($G27,'NPC Generator'!$I$2:$R$43,5,FALSE)/10,0)+ROUND($J27*VLOOKUP($I27,'NPC Generator'!$I$2:$R$43,5,FALSE)/10,0)</f>
        <v>3</v>
      </c>
      <c r="AG27" s="74">
        <f t="shared" si="21"/>
        <v>5</v>
      </c>
      <c r="AH27" s="75">
        <f>ROUND($H27*VLOOKUP($G27,'NPC Generator'!$I$2:$R$43,6,FALSE)/10,0)+ROUND($J27*VLOOKUP($I27,'NPC Generator'!$I$2:$R$43,6,FALSE)/10,0)</f>
        <v>3</v>
      </c>
      <c r="AI27" s="76">
        <f t="shared" si="22"/>
        <v>2</v>
      </c>
      <c r="AJ27" s="165">
        <f>ROUND($H27*VLOOKUP($G27,'NPC Generator'!$I$2:$R$43,3,FALSE)/10,0)+ROUND($J27*VLOOKUP($I27,'NPC Generator'!$I$2:$R$43,3,FALSE)/10,0)</f>
        <v>9</v>
      </c>
      <c r="AK27" s="68">
        <f>10+AC27+ROUND($H27*VLOOKUP($G27,'NPC Generator'!$I$2:$R$43,7,FALSE)/10,0)+ROUND($J27*VLOOKUP($I27,'NPC Generator'!$I$2:$R$43,7,FALSE)/10,0)</f>
        <v>17</v>
      </c>
      <c r="AL27" s="66">
        <f t="shared" si="12"/>
        <v>21</v>
      </c>
      <c r="AM27" s="66">
        <f t="shared" si="13"/>
        <v>23</v>
      </c>
      <c r="AN27" s="77">
        <f>$H27*(3+VLOOKUP($G27,'NPC Generator'!$I$2:$R$43,10,FALSE))+($J27*VLOOKUP($I27,'NPC Generator'!$I$2:$R$43,10,FALSE))+(U27*SUM(H27,J27))</f>
        <v>102</v>
      </c>
      <c r="AO27" s="78">
        <f>$H27*(3+VLOOKUP($G27,'NPC Generator'!$I$2:$R$43,9,FALSE))+($J27*VLOOKUP($I27,'NPC Generator'!$I$2:$R$43,9,FALSE))</f>
        <v>39</v>
      </c>
      <c r="AP27" s="163" t="s">
        <v>866</v>
      </c>
      <c r="AQ27" s="163" t="s">
        <v>723</v>
      </c>
      <c r="AR27" s="163" t="s">
        <v>925</v>
      </c>
      <c r="AS27" s="165" t="s">
        <v>829</v>
      </c>
      <c r="AT27" s="68" t="s">
        <v>1083</v>
      </c>
      <c r="AU27" s="64" t="s">
        <v>1189</v>
      </c>
      <c r="AV27" s="66">
        <f>VLOOKUP($AU27,¡RefTables!$G$8:$H$22,2,FALSE)</f>
        <v>6</v>
      </c>
      <c r="AW27" s="67" t="s">
        <v>1243</v>
      </c>
    </row>
    <row r="28" spans="1:49" ht="46.8" x14ac:dyDescent="0.3">
      <c r="A28" s="243" t="s">
        <v>436</v>
      </c>
      <c r="B28" s="135" t="s">
        <v>420</v>
      </c>
      <c r="C28" s="64" t="s">
        <v>106</v>
      </c>
      <c r="D28" s="65" t="s">
        <v>20</v>
      </c>
      <c r="E28" s="83" t="s">
        <v>92</v>
      </c>
      <c r="F28" s="83" t="s">
        <v>105</v>
      </c>
      <c r="G28" s="125" t="s">
        <v>100</v>
      </c>
      <c r="H28" s="125">
        <v>4</v>
      </c>
      <c r="I28" s="128" t="s">
        <v>47</v>
      </c>
      <c r="J28" s="128">
        <v>4</v>
      </c>
      <c r="K28" s="130">
        <f t="shared" si="0"/>
        <v>8</v>
      </c>
      <c r="L28" s="65" t="s">
        <v>326</v>
      </c>
      <c r="M28" s="133" t="s">
        <v>130</v>
      </c>
      <c r="N28" s="133" t="s">
        <v>150</v>
      </c>
      <c r="O28" s="66" t="s">
        <v>530</v>
      </c>
      <c r="P28" s="68">
        <v>12</v>
      </c>
      <c r="Q28" s="81" t="str">
        <f t="shared" si="14"/>
        <v>+1</v>
      </c>
      <c r="R28" s="64">
        <v>13</v>
      </c>
      <c r="S28" s="81" t="str">
        <f t="shared" si="15"/>
        <v>+1</v>
      </c>
      <c r="T28" s="64">
        <v>9</v>
      </c>
      <c r="U28" s="81">
        <f t="shared" si="16"/>
        <v>-1</v>
      </c>
      <c r="V28" s="64">
        <v>11</v>
      </c>
      <c r="W28" s="81" t="str">
        <f t="shared" si="17"/>
        <v>+0</v>
      </c>
      <c r="X28" s="64">
        <v>16</v>
      </c>
      <c r="Y28" s="81" t="str">
        <f t="shared" si="18"/>
        <v>+3</v>
      </c>
      <c r="Z28" s="66">
        <v>10</v>
      </c>
      <c r="AA28" s="82" t="str">
        <f t="shared" si="19"/>
        <v>+0</v>
      </c>
      <c r="AB28" s="69">
        <f t="shared" si="7"/>
        <v>11.833333333333334</v>
      </c>
      <c r="AC28" s="70" t="str">
        <f t="shared" si="8"/>
        <v>+1</v>
      </c>
      <c r="AD28" s="71">
        <f>ROUND($H28*VLOOKUP($G28,'NPC Generator'!$I$2:$R$43,4,FALSE)/10,0)+ROUND($J28*VLOOKUP($I28,'NPC Generator'!$I$2:$R$43,4,FALSE)/10,0)</f>
        <v>5</v>
      </c>
      <c r="AE28" s="72">
        <f t="shared" si="20"/>
        <v>4</v>
      </c>
      <c r="AF28" s="73">
        <f>ROUND($H28*VLOOKUP($G28,'NPC Generator'!$I$2:$R$43,5,FALSE)/10,0)+ROUND($J28*VLOOKUP($I28,'NPC Generator'!$I$2:$R$43,5,FALSE)/10,0)</f>
        <v>4</v>
      </c>
      <c r="AG28" s="74">
        <f t="shared" si="21"/>
        <v>5</v>
      </c>
      <c r="AH28" s="75">
        <f>ROUND($H28*VLOOKUP($G28,'NPC Generator'!$I$2:$R$43,6,FALSE)/10,0)+ROUND($J28*VLOOKUP($I28,'NPC Generator'!$I$2:$R$43,6,FALSE)/10,0)</f>
        <v>3</v>
      </c>
      <c r="AI28" s="76">
        <f t="shared" si="22"/>
        <v>6</v>
      </c>
      <c r="AJ28" s="165">
        <f>ROUND($H28*VLOOKUP($G28,'NPC Generator'!$I$2:$R$43,3,FALSE)/10,0)+ROUND($J28*VLOOKUP($I28,'NPC Generator'!$I$2:$R$43,3,FALSE)/10,0)</f>
        <v>6</v>
      </c>
      <c r="AK28" s="68">
        <f>10+AC28+ROUND($H28*VLOOKUP($G28,'NPC Generator'!$I$2:$R$43,7,FALSE)/10,0)+ROUND($J28*VLOOKUP($I28,'NPC Generator'!$I$2:$R$43,7,FALSE)/10,0)</f>
        <v>15</v>
      </c>
      <c r="AL28" s="66">
        <f t="shared" si="12"/>
        <v>20</v>
      </c>
      <c r="AM28" s="66">
        <f t="shared" si="13"/>
        <v>21</v>
      </c>
      <c r="AN28" s="77">
        <f>$H28*(3+VLOOKUP($G28,'NPC Generator'!$I$2:$R$43,10,FALSE))+($J28*VLOOKUP($I28,'NPC Generator'!$I$2:$R$43,10,FALSE))+(U28*SUM(H28,J28))</f>
        <v>68</v>
      </c>
      <c r="AO28" s="78">
        <f>$H28*(3+VLOOKUP($G28,'NPC Generator'!$I$2:$R$43,9,FALSE))+($J28*VLOOKUP($I28,'NPC Generator'!$I$2:$R$43,9,FALSE))</f>
        <v>52</v>
      </c>
      <c r="AP28" s="163" t="s">
        <v>906</v>
      </c>
      <c r="AQ28" s="163" t="s">
        <v>736</v>
      </c>
      <c r="AR28" s="163" t="s">
        <v>793</v>
      </c>
      <c r="AS28" s="165" t="s">
        <v>938</v>
      </c>
      <c r="AT28" s="68" t="s">
        <v>981</v>
      </c>
      <c r="AU28" s="64" t="s">
        <v>1189</v>
      </c>
      <c r="AV28" s="66">
        <f>VLOOKUP($AU28,¡RefTables!$G$8:$H$22,2,FALSE)</f>
        <v>6</v>
      </c>
      <c r="AW28" s="67" t="s">
        <v>1203</v>
      </c>
    </row>
    <row r="29" spans="1:49" ht="46.8" x14ac:dyDescent="0.3">
      <c r="A29" s="243" t="s">
        <v>437</v>
      </c>
      <c r="B29" s="135" t="s">
        <v>438</v>
      </c>
      <c r="C29" s="64" t="s">
        <v>105</v>
      </c>
      <c r="D29" s="65" t="s">
        <v>20</v>
      </c>
      <c r="E29" s="83" t="s">
        <v>92</v>
      </c>
      <c r="F29" s="83" t="s">
        <v>105</v>
      </c>
      <c r="G29" s="125" t="s">
        <v>98</v>
      </c>
      <c r="H29" s="125">
        <v>4</v>
      </c>
      <c r="I29" s="128" t="s">
        <v>49</v>
      </c>
      <c r="J29" s="128">
        <v>4</v>
      </c>
      <c r="K29" s="130">
        <f t="shared" si="0"/>
        <v>8</v>
      </c>
      <c r="L29" s="65" t="s">
        <v>329</v>
      </c>
      <c r="M29" s="133" t="s">
        <v>130</v>
      </c>
      <c r="N29" s="133" t="s">
        <v>304</v>
      </c>
      <c r="O29" s="66" t="s">
        <v>527</v>
      </c>
      <c r="P29" s="68">
        <v>10</v>
      </c>
      <c r="Q29" s="81" t="str">
        <f t="shared" si="14"/>
        <v>+0</v>
      </c>
      <c r="R29" s="64">
        <v>12</v>
      </c>
      <c r="S29" s="81" t="str">
        <f t="shared" si="15"/>
        <v>+1</v>
      </c>
      <c r="T29" s="64">
        <v>10</v>
      </c>
      <c r="U29" s="81" t="str">
        <f t="shared" si="16"/>
        <v>+0</v>
      </c>
      <c r="V29" s="64">
        <v>16</v>
      </c>
      <c r="W29" s="81" t="str">
        <f t="shared" si="17"/>
        <v>+3</v>
      </c>
      <c r="X29" s="64">
        <v>10</v>
      </c>
      <c r="Y29" s="81" t="str">
        <f t="shared" si="18"/>
        <v>+0</v>
      </c>
      <c r="Z29" s="66">
        <v>10</v>
      </c>
      <c r="AA29" s="82" t="str">
        <f t="shared" si="19"/>
        <v>+0</v>
      </c>
      <c r="AB29" s="69">
        <f t="shared" si="7"/>
        <v>11.333333333333334</v>
      </c>
      <c r="AC29" s="70" t="str">
        <f t="shared" si="8"/>
        <v>+1</v>
      </c>
      <c r="AD29" s="71">
        <f>ROUND($H29*VLOOKUP($G29,'NPC Generator'!$I$2:$R$43,4,FALSE)/10,0)+ROUND($J29*VLOOKUP($I29,'NPC Generator'!$I$2:$R$43,4,FALSE)/10,0)</f>
        <v>4</v>
      </c>
      <c r="AE29" s="72">
        <f t="shared" si="20"/>
        <v>4</v>
      </c>
      <c r="AF29" s="73">
        <f>ROUND($H29*VLOOKUP($G29,'NPC Generator'!$I$2:$R$43,5,FALSE)/10,0)+ROUND($J29*VLOOKUP($I29,'NPC Generator'!$I$2:$R$43,5,FALSE)/10,0)</f>
        <v>2</v>
      </c>
      <c r="AG29" s="74">
        <f t="shared" si="21"/>
        <v>3</v>
      </c>
      <c r="AH29" s="75">
        <f>ROUND($H29*VLOOKUP($G29,'NPC Generator'!$I$2:$R$43,6,FALSE)/10,0)+ROUND($J29*VLOOKUP($I29,'NPC Generator'!$I$2:$R$43,6,FALSE)/10,0)</f>
        <v>5</v>
      </c>
      <c r="AI29" s="76">
        <f t="shared" si="22"/>
        <v>5</v>
      </c>
      <c r="AJ29" s="165">
        <f>ROUND($H29*VLOOKUP($G29,'NPC Generator'!$I$2:$R$43,3,FALSE)/10,0)+ROUND($J29*VLOOKUP($I29,'NPC Generator'!$I$2:$R$43,3,FALSE)/10,0)</f>
        <v>4</v>
      </c>
      <c r="AK29" s="68">
        <f>10+AC29+ROUND($H29*VLOOKUP($G29,'NPC Generator'!$I$2:$R$43,7,FALSE)/10,0)+ROUND($J29*VLOOKUP($I29,'NPC Generator'!$I$2:$R$43,7,FALSE)/10,0)</f>
        <v>13</v>
      </c>
      <c r="AL29" s="66">
        <f t="shared" si="12"/>
        <v>13</v>
      </c>
      <c r="AM29" s="66">
        <f t="shared" si="13"/>
        <v>14</v>
      </c>
      <c r="AN29" s="77">
        <f>$H29*(3+VLOOKUP($G29,'NPC Generator'!$I$2:$R$43,10,FALSE))+($J29*VLOOKUP($I29,'NPC Generator'!$I$2:$R$43,10,FALSE))+(U29*SUM(H29,J29))</f>
        <v>60</v>
      </c>
      <c r="AO29" s="78">
        <f>$H29*(3+VLOOKUP($G29,'NPC Generator'!$I$2:$R$43,9,FALSE))+($J29*VLOOKUP($I29,'NPC Generator'!$I$2:$R$43,9,FALSE))</f>
        <v>76</v>
      </c>
      <c r="AP29" s="163" t="s">
        <v>878</v>
      </c>
      <c r="AQ29" s="163" t="s">
        <v>729</v>
      </c>
      <c r="AR29" s="163" t="s">
        <v>781</v>
      </c>
      <c r="AS29" s="165" t="s">
        <v>828</v>
      </c>
      <c r="AT29" s="68" t="s">
        <v>1127</v>
      </c>
      <c r="AU29" s="64" t="s">
        <v>1181</v>
      </c>
      <c r="AV29" s="66">
        <f>VLOOKUP($AU29,¡RefTables!$G$8:$H$22,2,FALSE)</f>
        <v>1</v>
      </c>
      <c r="AW29" s="67" t="s">
        <v>1201</v>
      </c>
    </row>
    <row r="30" spans="1:49" ht="31.2" x14ac:dyDescent="0.3">
      <c r="A30" s="242" t="s">
        <v>435</v>
      </c>
      <c r="B30" s="134" t="s">
        <v>419</v>
      </c>
      <c r="C30" s="64" t="s">
        <v>105</v>
      </c>
      <c r="D30" s="65" t="s">
        <v>20</v>
      </c>
      <c r="E30" s="83" t="s">
        <v>92</v>
      </c>
      <c r="F30" s="83" t="s">
        <v>105</v>
      </c>
      <c r="G30" s="125" t="s">
        <v>100</v>
      </c>
      <c r="H30" s="125">
        <v>4</v>
      </c>
      <c r="I30" s="128" t="s">
        <v>45</v>
      </c>
      <c r="J30" s="128">
        <v>4</v>
      </c>
      <c r="K30" s="130">
        <f t="shared" si="0"/>
        <v>8</v>
      </c>
      <c r="L30" s="65" t="s">
        <v>318</v>
      </c>
      <c r="M30" s="133" t="s">
        <v>112</v>
      </c>
      <c r="N30" s="133" t="s">
        <v>306</v>
      </c>
      <c r="O30" s="66" t="s">
        <v>958</v>
      </c>
      <c r="P30" s="68">
        <v>10</v>
      </c>
      <c r="Q30" s="81" t="str">
        <f t="shared" si="14"/>
        <v>+0</v>
      </c>
      <c r="R30" s="64">
        <v>11</v>
      </c>
      <c r="S30" s="81" t="str">
        <f t="shared" si="15"/>
        <v>+0</v>
      </c>
      <c r="T30" s="64">
        <v>10</v>
      </c>
      <c r="U30" s="81" t="str">
        <f t="shared" si="16"/>
        <v>+0</v>
      </c>
      <c r="V30" s="64">
        <v>15</v>
      </c>
      <c r="W30" s="81" t="str">
        <f t="shared" si="17"/>
        <v>+2</v>
      </c>
      <c r="X30" s="64">
        <v>17</v>
      </c>
      <c r="Y30" s="81" t="str">
        <f t="shared" si="18"/>
        <v>+3</v>
      </c>
      <c r="Z30" s="66">
        <v>13</v>
      </c>
      <c r="AA30" s="82" t="str">
        <f t="shared" si="19"/>
        <v>+1</v>
      </c>
      <c r="AB30" s="69">
        <f t="shared" si="7"/>
        <v>12.666666666666666</v>
      </c>
      <c r="AC30" s="70" t="str">
        <f t="shared" si="8"/>
        <v>+0</v>
      </c>
      <c r="AD30" s="71">
        <f>ROUND($H30*VLOOKUP($G30,'NPC Generator'!$I$2:$R$43,4,FALSE)/10,0)+ROUND($J30*VLOOKUP($I30,'NPC Generator'!$I$2:$R$43,4,FALSE)/10,0)</f>
        <v>3</v>
      </c>
      <c r="AE30" s="72">
        <f t="shared" si="20"/>
        <v>3</v>
      </c>
      <c r="AF30" s="73">
        <f>ROUND($H30*VLOOKUP($G30,'NPC Generator'!$I$2:$R$43,5,FALSE)/10,0)+ROUND($J30*VLOOKUP($I30,'NPC Generator'!$I$2:$R$43,5,FALSE)/10,0)</f>
        <v>4</v>
      </c>
      <c r="AG30" s="74">
        <f t="shared" si="21"/>
        <v>4</v>
      </c>
      <c r="AH30" s="75">
        <f>ROUND($H30*VLOOKUP($G30,'NPC Generator'!$I$2:$R$43,6,FALSE)/10,0)+ROUND($J30*VLOOKUP($I30,'NPC Generator'!$I$2:$R$43,6,FALSE)/10,0)</f>
        <v>3</v>
      </c>
      <c r="AI30" s="76">
        <f t="shared" si="22"/>
        <v>6</v>
      </c>
      <c r="AJ30" s="165">
        <f>ROUND($H30*VLOOKUP($G30,'NPC Generator'!$I$2:$R$43,3,FALSE)/10,0)+ROUND($J30*VLOOKUP($I30,'NPC Generator'!$I$2:$R$43,3,FALSE)/10,0)</f>
        <v>7</v>
      </c>
      <c r="AK30" s="68">
        <f>10+AC30+ROUND($H30*VLOOKUP($G30,'NPC Generator'!$I$2:$R$43,7,FALSE)/10,0)+ROUND($J30*VLOOKUP($I30,'NPC Generator'!$I$2:$R$43,7,FALSE)/10,0)</f>
        <v>14</v>
      </c>
      <c r="AL30" s="66">
        <f t="shared" si="12"/>
        <v>14</v>
      </c>
      <c r="AM30" s="66">
        <f t="shared" si="13"/>
        <v>14</v>
      </c>
      <c r="AN30" s="77">
        <f>$H30*(3+VLOOKUP($G30,'NPC Generator'!$I$2:$R$43,10,FALSE))+($J30*VLOOKUP($I30,'NPC Generator'!$I$2:$R$43,10,FALSE))+(U30*SUM(H30,J30))</f>
        <v>68</v>
      </c>
      <c r="AO30" s="78">
        <f>$H30*(3+VLOOKUP($G30,'NPC Generator'!$I$2:$R$43,9,FALSE))+($J30*VLOOKUP($I30,'NPC Generator'!$I$2:$R$43,9,FALSE))</f>
        <v>52</v>
      </c>
      <c r="AP30" s="163" t="s">
        <v>900</v>
      </c>
      <c r="AQ30" s="163" t="s">
        <v>736</v>
      </c>
      <c r="AR30" s="163" t="s">
        <v>796</v>
      </c>
      <c r="AS30" s="165" t="s">
        <v>853</v>
      </c>
      <c r="AT30" s="68" t="s">
        <v>1131</v>
      </c>
      <c r="AU30" s="64" t="s">
        <v>176</v>
      </c>
      <c r="AV30" s="66">
        <f>VLOOKUP($AU30,¡RefTables!$G$8:$H$22,2,FALSE)</f>
        <v>0</v>
      </c>
      <c r="AW30" s="67" t="s">
        <v>1219</v>
      </c>
    </row>
    <row r="31" spans="1:49" ht="46.8" x14ac:dyDescent="0.3">
      <c r="A31" s="243" t="s">
        <v>434</v>
      </c>
      <c r="B31" s="134" t="s">
        <v>236</v>
      </c>
      <c r="C31" s="64" t="s">
        <v>105</v>
      </c>
      <c r="D31" s="65" t="s">
        <v>20</v>
      </c>
      <c r="E31" s="83" t="s">
        <v>92</v>
      </c>
      <c r="F31" s="83" t="s">
        <v>105</v>
      </c>
      <c r="G31" s="125" t="s">
        <v>98</v>
      </c>
      <c r="H31" s="125">
        <v>4</v>
      </c>
      <c r="I31" s="128" t="s">
        <v>38</v>
      </c>
      <c r="J31" s="128">
        <v>3</v>
      </c>
      <c r="K31" s="130">
        <f t="shared" si="0"/>
        <v>7</v>
      </c>
      <c r="L31" s="65" t="s">
        <v>311</v>
      </c>
      <c r="M31" s="133" t="s">
        <v>129</v>
      </c>
      <c r="N31" s="133" t="s">
        <v>304</v>
      </c>
      <c r="O31" s="66" t="s">
        <v>532</v>
      </c>
      <c r="P31" s="68">
        <v>10</v>
      </c>
      <c r="Q31" s="81" t="s">
        <v>84</v>
      </c>
      <c r="R31" s="64">
        <v>16</v>
      </c>
      <c r="S31" s="81" t="s">
        <v>83</v>
      </c>
      <c r="T31" s="64">
        <v>10</v>
      </c>
      <c r="U31" s="81" t="s">
        <v>86</v>
      </c>
      <c r="V31" s="64">
        <v>17</v>
      </c>
      <c r="W31" s="81">
        <v>-1</v>
      </c>
      <c r="X31" s="64">
        <v>10</v>
      </c>
      <c r="Y31" s="81" t="s">
        <v>85</v>
      </c>
      <c r="Z31" s="66">
        <v>10</v>
      </c>
      <c r="AA31" s="82" t="s">
        <v>87</v>
      </c>
      <c r="AB31" s="69">
        <f t="shared" si="7"/>
        <v>12.166666666666666</v>
      </c>
      <c r="AC31" s="70" t="str">
        <f t="shared" si="8"/>
        <v>+3</v>
      </c>
      <c r="AD31" s="71">
        <f>ROUND($H31*VLOOKUP($G31,'NPC Generator'!$I$2:$R$43,4,FALSE)/10,0)+ROUND($J31*VLOOKUP($I31,'NPC Generator'!$I$2:$R$43,4,FALSE)/10,0)</f>
        <v>3</v>
      </c>
      <c r="AE31" s="72">
        <v>3</v>
      </c>
      <c r="AF31" s="73">
        <f>ROUND($H31*VLOOKUP($G31,'NPC Generator'!$I$2:$R$43,5,FALSE)/10,0)+ROUND($J31*VLOOKUP($I31,'NPC Generator'!$I$2:$R$43,5,FALSE)/10,0)</f>
        <v>3</v>
      </c>
      <c r="AG31" s="74">
        <v>0</v>
      </c>
      <c r="AH31" s="75">
        <f>ROUND($H31*VLOOKUP($G31,'NPC Generator'!$I$2:$R$43,6,FALSE)/10,0)+ROUND($J31*VLOOKUP($I31,'NPC Generator'!$I$2:$R$43,6,FALSE)/10,0)</f>
        <v>3</v>
      </c>
      <c r="AI31" s="76">
        <v>3</v>
      </c>
      <c r="AJ31" s="165">
        <f>ROUND($H31*VLOOKUP($G31,'NPC Generator'!$I$2:$R$43,3,FALSE)/10,0)+ROUND($J31*VLOOKUP($I31,'NPC Generator'!$I$2:$R$43,3,FALSE)/10,0)</f>
        <v>4</v>
      </c>
      <c r="AK31" s="68">
        <f>10+AC31+ROUND($H31*VLOOKUP($G31,'NPC Generator'!$I$2:$R$43,7,FALSE)/10,0)+ROUND($J31*VLOOKUP($I31,'NPC Generator'!$I$2:$R$43,7,FALSE)/10,0)</f>
        <v>15</v>
      </c>
      <c r="AL31" s="66">
        <f t="shared" si="12"/>
        <v>12</v>
      </c>
      <c r="AM31" s="66">
        <f t="shared" si="13"/>
        <v>15</v>
      </c>
      <c r="AN31" s="77">
        <f>$H31*(3+VLOOKUP($G31,'NPC Generator'!$I$2:$R$43,10,FALSE))+($J31*VLOOKUP($I31,'NPC Generator'!$I$2:$R$43,10,FALSE))+(U31*SUM(H31,J31))</f>
        <v>61</v>
      </c>
      <c r="AO31" s="78">
        <f>$H31*(3+VLOOKUP($G31,'NPC Generator'!$I$2:$R$43,9,FALSE))+($J31*VLOOKUP($I31,'NPC Generator'!$I$2:$R$43,9,FALSE))</f>
        <v>69</v>
      </c>
      <c r="AP31" s="163" t="s">
        <v>877</v>
      </c>
      <c r="AQ31" s="163" t="s">
        <v>730</v>
      </c>
      <c r="AR31" s="163" t="s">
        <v>764</v>
      </c>
      <c r="AS31" s="165" t="s">
        <v>834</v>
      </c>
      <c r="AT31" s="68" t="s">
        <v>1128</v>
      </c>
      <c r="AU31" s="64" t="s">
        <v>176</v>
      </c>
      <c r="AV31" s="66">
        <f>VLOOKUP($AU31,¡RefTables!$G$8:$H$22,2,FALSE)</f>
        <v>0</v>
      </c>
      <c r="AW31" s="67" t="s">
        <v>1252</v>
      </c>
    </row>
    <row r="32" spans="1:49" ht="31.2" x14ac:dyDescent="0.3">
      <c r="A32" s="243" t="s">
        <v>587</v>
      </c>
      <c r="B32" s="134" t="s">
        <v>412</v>
      </c>
      <c r="C32" s="64" t="s">
        <v>106</v>
      </c>
      <c r="D32" s="65" t="s">
        <v>21</v>
      </c>
      <c r="E32" s="84" t="s">
        <v>593</v>
      </c>
      <c r="F32" s="84" t="s">
        <v>156</v>
      </c>
      <c r="G32" s="125" t="s">
        <v>100</v>
      </c>
      <c r="H32" s="125">
        <v>4</v>
      </c>
      <c r="I32" s="128" t="s">
        <v>41</v>
      </c>
      <c r="J32" s="128">
        <v>5</v>
      </c>
      <c r="K32" s="130">
        <f t="shared" si="0"/>
        <v>9</v>
      </c>
      <c r="L32" s="65" t="s">
        <v>326</v>
      </c>
      <c r="M32" s="133" t="s">
        <v>135</v>
      </c>
      <c r="N32" s="133" t="s">
        <v>104</v>
      </c>
      <c r="O32" s="66" t="s">
        <v>534</v>
      </c>
      <c r="P32" s="68">
        <v>18</v>
      </c>
      <c r="Q32" s="81">
        <v>-3</v>
      </c>
      <c r="R32" s="64">
        <v>19</v>
      </c>
      <c r="S32" s="81">
        <v>-1</v>
      </c>
      <c r="T32" s="64">
        <v>15</v>
      </c>
      <c r="U32" s="81" t="s">
        <v>86</v>
      </c>
      <c r="V32" s="64">
        <v>8</v>
      </c>
      <c r="W32" s="81" t="s">
        <v>84</v>
      </c>
      <c r="X32" s="64">
        <v>8</v>
      </c>
      <c r="Y32" s="81" t="s">
        <v>84</v>
      </c>
      <c r="Z32" s="66">
        <v>13</v>
      </c>
      <c r="AA32" s="82" t="s">
        <v>86</v>
      </c>
      <c r="AB32" s="69">
        <f t="shared" si="7"/>
        <v>13.5</v>
      </c>
      <c r="AC32" s="70" t="str">
        <f t="shared" si="8"/>
        <v>+4</v>
      </c>
      <c r="AD32" s="71">
        <f>ROUND($H32*VLOOKUP($G32,'NPC Generator'!$I$2:$R$43,4,FALSE)/10,0)+ROUND($J32*VLOOKUP($I32,'NPC Generator'!$I$2:$R$43,4,FALSE)/10,0)</f>
        <v>5</v>
      </c>
      <c r="AE32" s="72">
        <v>1</v>
      </c>
      <c r="AF32" s="73">
        <f>ROUND($H32*VLOOKUP($G32,'NPC Generator'!$I$2:$R$43,5,FALSE)/10,0)+ROUND($J32*VLOOKUP($I32,'NPC Generator'!$I$2:$R$43,5,FALSE)/10,0)</f>
        <v>3</v>
      </c>
      <c r="AG32" s="74">
        <v>-1</v>
      </c>
      <c r="AH32" s="75">
        <f>ROUND($H32*VLOOKUP($G32,'NPC Generator'!$I$2:$R$43,6,FALSE)/10,0)+ROUND($J32*VLOOKUP($I32,'NPC Generator'!$I$2:$R$43,6,FALSE)/10,0)</f>
        <v>5</v>
      </c>
      <c r="AI32" s="76">
        <v>4</v>
      </c>
      <c r="AJ32" s="165">
        <f>ROUND($H32*VLOOKUP($G32,'NPC Generator'!$I$2:$R$43,3,FALSE)/10,0)+ROUND($J32*VLOOKUP($I32,'NPC Generator'!$I$2:$R$43,3,FALSE)/10,0)</f>
        <v>8</v>
      </c>
      <c r="AK32" s="68">
        <f>10+AC32+ROUND($H32*VLOOKUP($G32,'NPC Generator'!$I$2:$R$43,7,FALSE)/10,0)+ROUND($J32*VLOOKUP($I32,'NPC Generator'!$I$2:$R$43,7,FALSE)/10,0)</f>
        <v>19</v>
      </c>
      <c r="AL32" s="66">
        <f t="shared" si="12"/>
        <v>18</v>
      </c>
      <c r="AM32" s="66">
        <f t="shared" si="13"/>
        <v>22</v>
      </c>
      <c r="AN32" s="77">
        <f>$H32*(3+VLOOKUP($G32,'NPC Generator'!$I$2:$R$43,10,FALSE))+($J32*VLOOKUP($I32,'NPC Generator'!$I$2:$R$43,10,FALSE))+(U32*SUM(H32,J32))</f>
        <v>95</v>
      </c>
      <c r="AO32" s="78">
        <f>$H32*(3+VLOOKUP($G32,'NPC Generator'!$I$2:$R$43,9,FALSE))+($J32*VLOOKUP($I32,'NPC Generator'!$I$2:$R$43,9,FALSE))</f>
        <v>47</v>
      </c>
      <c r="AP32" s="163" t="s">
        <v>874</v>
      </c>
      <c r="AQ32" s="163" t="s">
        <v>736</v>
      </c>
      <c r="AR32" s="163" t="s">
        <v>792</v>
      </c>
      <c r="AS32" s="165" t="s">
        <v>938</v>
      </c>
      <c r="AT32" s="68" t="s">
        <v>176</v>
      </c>
      <c r="AU32" s="64" t="s">
        <v>1185</v>
      </c>
      <c r="AV32" s="66">
        <f>VLOOKUP($AU32,¡RefTables!$G$8:$H$22,2,FALSE)</f>
        <v>3</v>
      </c>
      <c r="AW32" s="67" t="s">
        <v>1243</v>
      </c>
    </row>
    <row r="33" spans="1:49" ht="31.2" x14ac:dyDescent="0.3">
      <c r="A33" s="243" t="s">
        <v>588</v>
      </c>
      <c r="B33" s="134" t="s">
        <v>412</v>
      </c>
      <c r="C33" s="64" t="s">
        <v>106</v>
      </c>
      <c r="D33" s="65" t="s">
        <v>21</v>
      </c>
      <c r="E33" s="84" t="s">
        <v>593</v>
      </c>
      <c r="F33" s="84" t="s">
        <v>156</v>
      </c>
      <c r="G33" s="125" t="s">
        <v>101</v>
      </c>
      <c r="H33" s="125">
        <v>4</v>
      </c>
      <c r="I33" s="128" t="s">
        <v>41</v>
      </c>
      <c r="J33" s="128">
        <v>5</v>
      </c>
      <c r="K33" s="130">
        <f t="shared" si="0"/>
        <v>9</v>
      </c>
      <c r="L33" s="65" t="s">
        <v>326</v>
      </c>
      <c r="M33" s="133" t="s">
        <v>135</v>
      </c>
      <c r="N33" s="133" t="s">
        <v>104</v>
      </c>
      <c r="O33" s="66" t="s">
        <v>535</v>
      </c>
      <c r="P33" s="68">
        <v>17</v>
      </c>
      <c r="Q33" s="81" t="str">
        <f>IF(P33&gt;9.9,CONCATENATE("+",ROUNDDOWN((P33-10) / 2,0)),ROUNDUP((P33-10) / 2,0))</f>
        <v>+3</v>
      </c>
      <c r="R33" s="64">
        <v>18</v>
      </c>
      <c r="S33" s="81" t="str">
        <f>IF(R33&gt;9.9,CONCATENATE("+",ROUNDDOWN((R33-10) / 2,0)),ROUNDUP((R33-10) / 2,0))</f>
        <v>+4</v>
      </c>
      <c r="T33" s="64">
        <v>16</v>
      </c>
      <c r="U33" s="81" t="str">
        <f>IF(T33&gt;9.9,CONCATENATE("+",ROUNDDOWN((T33-10) / 2,0)),ROUNDUP((T33-10) / 2,0))</f>
        <v>+3</v>
      </c>
      <c r="V33" s="64">
        <v>10</v>
      </c>
      <c r="W33" s="81" t="str">
        <f>IF(V33&gt;9.9,CONCATENATE("+",ROUNDDOWN((V33-10) / 2,0)),ROUNDUP((V33-10) / 2,0))</f>
        <v>+0</v>
      </c>
      <c r="X33" s="64">
        <v>10</v>
      </c>
      <c r="Y33" s="81" t="str">
        <f>IF(X33&gt;9.9,CONCATENATE("+",ROUNDDOWN((X33-10) / 2,0)),ROUNDUP((X33-10) / 2,0))</f>
        <v>+0</v>
      </c>
      <c r="Z33" s="66">
        <v>10</v>
      </c>
      <c r="AA33" s="82" t="str">
        <f>IF(Z33&gt;9.9,CONCATENATE("+",ROUNDDOWN((Z33-10) / 2,0)),ROUNDUP((Z33-10) / 2,0))</f>
        <v>+0</v>
      </c>
      <c r="AB33" s="69">
        <f t="shared" si="7"/>
        <v>13.5</v>
      </c>
      <c r="AC33" s="70" t="str">
        <f t="shared" si="8"/>
        <v>+4</v>
      </c>
      <c r="AD33" s="71">
        <f>ROUND($H33*VLOOKUP($G33,'NPC Generator'!$I$2:$R$43,4,FALSE)/10,0)+ROUND($J33*VLOOKUP($I33,'NPC Generator'!$I$2:$R$43,4,FALSE)/10,0)</f>
        <v>4</v>
      </c>
      <c r="AE33" s="72">
        <f>IF(T33&gt;9.9,(ROUNDDOWN((T33-10) / 2,0)),ROUNDUP((T33-10) / 2,0))+AD33</f>
        <v>7</v>
      </c>
      <c r="AF33" s="73">
        <f>ROUND($H33*VLOOKUP($G33,'NPC Generator'!$I$2:$R$43,5,FALSE)/10,0)+ROUND($J33*VLOOKUP($I33,'NPC Generator'!$I$2:$R$43,5,FALSE)/10,0)</f>
        <v>4</v>
      </c>
      <c r="AG33" s="74">
        <f>AF33+AC33</f>
        <v>8</v>
      </c>
      <c r="AH33" s="75">
        <f>ROUND($H33*VLOOKUP($G33,'NPC Generator'!$I$2:$R$43,6,FALSE)/10,0)+ROUND($J33*VLOOKUP($I33,'NPC Generator'!$I$2:$R$43,6,FALSE)/10,0)</f>
        <v>4</v>
      </c>
      <c r="AI33" s="76">
        <f>IF(X33&gt;9.9,(ROUNDDOWN((X33-10) / 2,0)),ROUNDUP((X33-10) / 2,0))+AH33</f>
        <v>4</v>
      </c>
      <c r="AJ33" s="165">
        <f>ROUND($H33*VLOOKUP($G33,'NPC Generator'!$I$2:$R$43,3,FALSE)/10,0)+ROUND($J33*VLOOKUP($I33,'NPC Generator'!$I$2:$R$43,3,FALSE)/10,0)</f>
        <v>8</v>
      </c>
      <c r="AK33" s="68">
        <f>10+AC33+ROUND($H33*VLOOKUP($G33,'NPC Generator'!$I$2:$R$43,7,FALSE)/10,0)+ROUND($J33*VLOOKUP($I33,'NPC Generator'!$I$2:$R$43,7,FALSE)/10,0)</f>
        <v>20</v>
      </c>
      <c r="AL33" s="66">
        <f t="shared" si="12"/>
        <v>19</v>
      </c>
      <c r="AM33" s="66">
        <f t="shared" si="13"/>
        <v>23</v>
      </c>
      <c r="AN33" s="77">
        <f>$H33*(3+VLOOKUP($G33,'NPC Generator'!$I$2:$R$43,10,FALSE))+($J33*VLOOKUP($I33,'NPC Generator'!$I$2:$R$43,10,FALSE))+(U33*SUM(H33,J33))</f>
        <v>121</v>
      </c>
      <c r="AO33" s="78">
        <f>$H33*(3+VLOOKUP($G33,'NPC Generator'!$I$2:$R$43,9,FALSE))+($J33*VLOOKUP($I33,'NPC Generator'!$I$2:$R$43,9,FALSE))</f>
        <v>47</v>
      </c>
      <c r="AP33" s="163" t="s">
        <v>875</v>
      </c>
      <c r="AQ33" s="163" t="s">
        <v>727</v>
      </c>
      <c r="AR33" s="163" t="s">
        <v>751</v>
      </c>
      <c r="AS33" s="165" t="s">
        <v>817</v>
      </c>
      <c r="AT33" s="68" t="s">
        <v>1068</v>
      </c>
      <c r="AU33" s="64" t="s">
        <v>1185</v>
      </c>
      <c r="AV33" s="66">
        <f>VLOOKUP($AU33,¡RefTables!$G$8:$H$22,2,FALSE)</f>
        <v>3</v>
      </c>
      <c r="AW33" s="67" t="s">
        <v>1217</v>
      </c>
    </row>
    <row r="34" spans="1:49" ht="62.4" x14ac:dyDescent="0.3">
      <c r="A34" s="242" t="s">
        <v>590</v>
      </c>
      <c r="B34" s="134" t="s">
        <v>418</v>
      </c>
      <c r="C34" s="64" t="s">
        <v>106</v>
      </c>
      <c r="D34" s="65" t="s">
        <v>21</v>
      </c>
      <c r="E34" s="102" t="s">
        <v>593</v>
      </c>
      <c r="F34" s="84" t="s">
        <v>156</v>
      </c>
      <c r="G34" s="125" t="s">
        <v>98</v>
      </c>
      <c r="H34" s="125">
        <v>4</v>
      </c>
      <c r="I34" s="128" t="s">
        <v>29</v>
      </c>
      <c r="J34" s="128">
        <v>4</v>
      </c>
      <c r="K34" s="130">
        <f t="shared" ref="K34:K65" si="23">J34+H34</f>
        <v>8</v>
      </c>
      <c r="L34" s="65" t="s">
        <v>320</v>
      </c>
      <c r="M34" s="133" t="s">
        <v>112</v>
      </c>
      <c r="N34" s="133" t="s">
        <v>337</v>
      </c>
      <c r="O34" s="66" t="s">
        <v>533</v>
      </c>
      <c r="P34" s="68">
        <v>10</v>
      </c>
      <c r="Q34" s="81" t="str">
        <f>IF(P34&gt;9.9,CONCATENATE("+",ROUNDDOWN((P34-10) / 2,0)),ROUNDUP((P34-10) / 2,0))</f>
        <v>+0</v>
      </c>
      <c r="R34" s="64">
        <v>15</v>
      </c>
      <c r="S34" s="81" t="str">
        <f>IF(R34&gt;9.9,CONCATENATE("+",ROUNDDOWN((R34-10) / 2,0)),ROUNDUP((R34-10) / 2,0))</f>
        <v>+2</v>
      </c>
      <c r="T34" s="64">
        <v>10</v>
      </c>
      <c r="U34" s="81" t="str">
        <f>IF(T34&gt;9.9,CONCATENATE("+",ROUNDDOWN((T34-10) / 2,0)),ROUNDUP((T34-10) / 2,0))</f>
        <v>+0</v>
      </c>
      <c r="V34" s="64">
        <v>17</v>
      </c>
      <c r="W34" s="81" t="str">
        <f>IF(V34&gt;9.9,CONCATENATE("+",ROUNDDOWN((V34-10) / 2,0)),ROUNDUP((V34-10) / 2,0))</f>
        <v>+3</v>
      </c>
      <c r="X34" s="64">
        <v>17</v>
      </c>
      <c r="Y34" s="81" t="str">
        <f>IF(X34&gt;9.9,CONCATENATE("+",ROUNDDOWN((X34-10) / 2,0)),ROUNDUP((X34-10) / 2,0))</f>
        <v>+3</v>
      </c>
      <c r="Z34" s="66">
        <v>11</v>
      </c>
      <c r="AA34" s="82" t="str">
        <f>IF(Z34&gt;9.9,CONCATENATE("+",ROUNDDOWN((Z34-10) / 2,0)),ROUNDUP((Z34-10) / 2,0))</f>
        <v>+0</v>
      </c>
      <c r="AB34" s="69">
        <f t="shared" ref="AB34:AB65" si="24">AVERAGE(P34,R34,T34,V34,X34,Z34)</f>
        <v>13.333333333333334</v>
      </c>
      <c r="AC34" s="70" t="str">
        <f t="shared" ref="AC34:AC65" si="25">IF(R34&gt;9.9,CONCATENATE("+",ROUNDDOWN((R34-10) / 2,0)),ROUNDUP((R34-10) / 2,0))</f>
        <v>+2</v>
      </c>
      <c r="AD34" s="71">
        <f>ROUND($H34*VLOOKUP($G34,'NPC Generator'!$I$2:$R$43,4,FALSE)/10,0)+ROUND($J34*VLOOKUP($I34,'NPC Generator'!$I$2:$R$43,4,FALSE)/10,0)</f>
        <v>3</v>
      </c>
      <c r="AE34" s="72">
        <f>IF(T34&gt;9.9,(ROUNDDOWN((T34-10) / 2,0)),ROUNDUP((T34-10) / 2,0))+AD34</f>
        <v>3</v>
      </c>
      <c r="AF34" s="73">
        <f>ROUND($H34*VLOOKUP($G34,'NPC Generator'!$I$2:$R$43,5,FALSE)/10,0)+ROUND($J34*VLOOKUP($I34,'NPC Generator'!$I$2:$R$43,5,FALSE)/10,0)</f>
        <v>3</v>
      </c>
      <c r="AG34" s="74">
        <f>AF34+AC34</f>
        <v>5</v>
      </c>
      <c r="AH34" s="75">
        <f>ROUND($H34*VLOOKUP($G34,'NPC Generator'!$I$2:$R$43,6,FALSE)/10,0)+ROUND($J34*VLOOKUP($I34,'NPC Generator'!$I$2:$R$43,6,FALSE)/10,0)</f>
        <v>3</v>
      </c>
      <c r="AI34" s="76">
        <f>IF(X34&gt;9.9,(ROUNDDOWN((X34-10) / 2,0)),ROUNDUP((X34-10) / 2,0))+AH34</f>
        <v>6</v>
      </c>
      <c r="AJ34" s="165">
        <f>ROUND($H34*VLOOKUP($G34,'NPC Generator'!$I$2:$R$43,3,FALSE)/10,0)+ROUND($J34*VLOOKUP($I34,'NPC Generator'!$I$2:$R$43,3,FALSE)/10,0)</f>
        <v>4</v>
      </c>
      <c r="AK34" s="68">
        <f>10+AC34+ROUND($H34*VLOOKUP($G34,'NPC Generator'!$I$2:$R$43,7,FALSE)/10,0)+ROUND($J34*VLOOKUP($I34,'NPC Generator'!$I$2:$R$43,7,FALSE)/10,0)</f>
        <v>14</v>
      </c>
      <c r="AL34" s="66">
        <f t="shared" si="12"/>
        <v>13</v>
      </c>
      <c r="AM34" s="66">
        <f t="shared" si="13"/>
        <v>15</v>
      </c>
      <c r="AN34" s="77">
        <f>$H34*(3+VLOOKUP($G34,'NPC Generator'!$I$2:$R$43,10,FALSE))+($J34*VLOOKUP($I34,'NPC Generator'!$I$2:$R$43,10,FALSE))+(U34*SUM(H34,J34))</f>
        <v>68</v>
      </c>
      <c r="AO34" s="78">
        <f>$H34*(3+VLOOKUP($G34,'NPC Generator'!$I$2:$R$43,9,FALSE))+($J34*VLOOKUP($I34,'NPC Generator'!$I$2:$R$43,9,FALSE))</f>
        <v>76</v>
      </c>
      <c r="AP34" s="163" t="s">
        <v>869</v>
      </c>
      <c r="AQ34" s="163" t="s">
        <v>729</v>
      </c>
      <c r="AR34" s="163" t="s">
        <v>765</v>
      </c>
      <c r="AS34" s="165" t="s">
        <v>833</v>
      </c>
      <c r="AT34" s="68" t="s">
        <v>1231</v>
      </c>
      <c r="AU34" s="64" t="s">
        <v>1181</v>
      </c>
      <c r="AV34" s="66">
        <f>VLOOKUP($AU34,¡RefTables!$G$8:$H$22,2,FALSE)</f>
        <v>1</v>
      </c>
      <c r="AW34" s="67" t="s">
        <v>1197</v>
      </c>
    </row>
    <row r="35" spans="1:49" ht="46.8" x14ac:dyDescent="0.3">
      <c r="A35" s="243" t="s">
        <v>589</v>
      </c>
      <c r="B35" s="135" t="s">
        <v>411</v>
      </c>
      <c r="C35" s="64" t="s">
        <v>106</v>
      </c>
      <c r="D35" s="65" t="s">
        <v>21</v>
      </c>
      <c r="E35" s="84" t="s">
        <v>593</v>
      </c>
      <c r="F35" s="84" t="s">
        <v>156</v>
      </c>
      <c r="G35" s="125" t="s">
        <v>98</v>
      </c>
      <c r="H35" s="125">
        <v>4</v>
      </c>
      <c r="I35" s="128" t="s">
        <v>45</v>
      </c>
      <c r="J35" s="128">
        <v>4</v>
      </c>
      <c r="K35" s="130">
        <f t="shared" si="23"/>
        <v>8</v>
      </c>
      <c r="L35" s="65" t="s">
        <v>308</v>
      </c>
      <c r="M35" s="133" t="s">
        <v>135</v>
      </c>
      <c r="N35" s="133" t="s">
        <v>306</v>
      </c>
      <c r="O35" s="66" t="s">
        <v>536</v>
      </c>
      <c r="P35" s="68">
        <v>11</v>
      </c>
      <c r="Q35" s="81" t="str">
        <f>IF(P35&gt;9.9,CONCATENATE("+",ROUNDDOWN((P35-10) / 2,0)),ROUNDUP((P35-10) / 2,0))</f>
        <v>+0</v>
      </c>
      <c r="R35" s="64">
        <v>12</v>
      </c>
      <c r="S35" s="81" t="str">
        <f>IF(R35&gt;9.9,CONCATENATE("+",ROUNDDOWN((R35-10) / 2,0)),ROUNDUP((R35-10) / 2,0))</f>
        <v>+1</v>
      </c>
      <c r="T35" s="64">
        <v>10</v>
      </c>
      <c r="U35" s="81" t="str">
        <f>IF(T35&gt;9.9,CONCATENATE("+",ROUNDDOWN((T35-10) / 2,0)),ROUNDUP((T35-10) / 2,0))</f>
        <v>+0</v>
      </c>
      <c r="V35" s="64">
        <v>17</v>
      </c>
      <c r="W35" s="81" t="str">
        <f>IF(V35&gt;9.9,CONCATENATE("+",ROUNDDOWN((V35-10) / 2,0)),ROUNDUP((V35-10) / 2,0))</f>
        <v>+3</v>
      </c>
      <c r="X35" s="64">
        <v>17</v>
      </c>
      <c r="Y35" s="81" t="str">
        <f>IF(X35&gt;9.9,CONCATENATE("+",ROUNDDOWN((X35-10) / 2,0)),ROUNDUP((X35-10) / 2,0))</f>
        <v>+3</v>
      </c>
      <c r="Z35" s="66">
        <v>13</v>
      </c>
      <c r="AA35" s="82" t="str">
        <f>IF(Z35&gt;9.9,CONCATENATE("+",ROUNDDOWN((Z35-10) / 2,0)),ROUNDUP((Z35-10) / 2,0))</f>
        <v>+1</v>
      </c>
      <c r="AB35" s="69">
        <f t="shared" si="24"/>
        <v>13.333333333333334</v>
      </c>
      <c r="AC35" s="70" t="str">
        <f t="shared" si="25"/>
        <v>+1</v>
      </c>
      <c r="AD35" s="71">
        <f>ROUND($H35*VLOOKUP($G35,'NPC Generator'!$I$2:$R$43,4,FALSE)/10,0)+ROUND($J35*VLOOKUP($I35,'NPC Generator'!$I$2:$R$43,4,FALSE)/10,0)</f>
        <v>2</v>
      </c>
      <c r="AE35" s="72">
        <f>IF(T35&gt;9.9,(ROUNDDOWN((T35-10) / 2,0)),ROUNDUP((T35-10) / 2,0))+AD35</f>
        <v>2</v>
      </c>
      <c r="AF35" s="73">
        <f>ROUND($H35*VLOOKUP($G35,'NPC Generator'!$I$2:$R$43,5,FALSE)/10,0)+ROUND($J35*VLOOKUP($I35,'NPC Generator'!$I$2:$R$43,5,FALSE)/10,0)</f>
        <v>4</v>
      </c>
      <c r="AG35" s="74">
        <f>AF35+AC35</f>
        <v>5</v>
      </c>
      <c r="AH35" s="75">
        <f>ROUND($H35*VLOOKUP($G35,'NPC Generator'!$I$2:$R$43,6,FALSE)/10,0)+ROUND($J35*VLOOKUP($I35,'NPC Generator'!$I$2:$R$43,6,FALSE)/10,0)</f>
        <v>3</v>
      </c>
      <c r="AI35" s="76">
        <f>IF(X35&gt;9.9,(ROUNDDOWN((X35-10) / 2,0)),ROUNDUP((X35-10) / 2,0))+AH35</f>
        <v>6</v>
      </c>
      <c r="AJ35" s="165">
        <f>ROUND($H35*VLOOKUP($G35,'NPC Generator'!$I$2:$R$43,3,FALSE)/10,0)+ROUND($J35*VLOOKUP($I35,'NPC Generator'!$I$2:$R$43,3,FALSE)/10,0)</f>
        <v>6</v>
      </c>
      <c r="AK35" s="68">
        <f>10+AC35+ROUND($H35*VLOOKUP($G35,'NPC Generator'!$I$2:$R$43,7,FALSE)/10,0)+ROUND($J35*VLOOKUP($I35,'NPC Generator'!$I$2:$R$43,7,FALSE)/10,0)</f>
        <v>14</v>
      </c>
      <c r="AL35" s="66">
        <f t="shared" si="12"/>
        <v>15</v>
      </c>
      <c r="AM35" s="66">
        <f t="shared" si="13"/>
        <v>16</v>
      </c>
      <c r="AN35" s="77">
        <f>$H35*(3+VLOOKUP($G35,'NPC Generator'!$I$2:$R$43,10,FALSE))+($J35*VLOOKUP($I35,'NPC Generator'!$I$2:$R$43,10,FALSE))+(U35*SUM(H35,J35))</f>
        <v>68</v>
      </c>
      <c r="AO35" s="78">
        <f>$H35*(3+VLOOKUP($G35,'NPC Generator'!$I$2:$R$43,9,FALSE))+($J35*VLOOKUP($I35,'NPC Generator'!$I$2:$R$43,9,FALSE))</f>
        <v>68</v>
      </c>
      <c r="AP35" s="163" t="s">
        <v>868</v>
      </c>
      <c r="AQ35" s="163" t="s">
        <v>730</v>
      </c>
      <c r="AR35" s="163" t="s">
        <v>770</v>
      </c>
      <c r="AS35" s="165" t="s">
        <v>854</v>
      </c>
      <c r="AT35" s="68" t="s">
        <v>1232</v>
      </c>
      <c r="AU35" s="64" t="s">
        <v>1184</v>
      </c>
      <c r="AV35" s="66">
        <f>VLOOKUP($AU35,¡RefTables!$G$8:$H$22,2,FALSE)</f>
        <v>2</v>
      </c>
      <c r="AW35" s="67" t="s">
        <v>1205</v>
      </c>
    </row>
    <row r="36" spans="1:49" ht="62.4" x14ac:dyDescent="0.3">
      <c r="A36" s="242" t="s">
        <v>591</v>
      </c>
      <c r="B36" s="135" t="s">
        <v>417</v>
      </c>
      <c r="C36" s="64" t="s">
        <v>106</v>
      </c>
      <c r="D36" s="65" t="s">
        <v>21</v>
      </c>
      <c r="E36" s="84" t="s">
        <v>593</v>
      </c>
      <c r="F36" s="84" t="s">
        <v>156</v>
      </c>
      <c r="G36" s="125" t="s">
        <v>98</v>
      </c>
      <c r="H36" s="125">
        <v>4</v>
      </c>
      <c r="I36" s="128" t="s">
        <v>38</v>
      </c>
      <c r="J36" s="128">
        <v>3</v>
      </c>
      <c r="K36" s="130">
        <f t="shared" si="23"/>
        <v>7</v>
      </c>
      <c r="L36" s="65" t="s">
        <v>334</v>
      </c>
      <c r="M36" s="133" t="s">
        <v>129</v>
      </c>
      <c r="N36" s="133" t="s">
        <v>304</v>
      </c>
      <c r="O36" s="66" t="s">
        <v>537</v>
      </c>
      <c r="P36" s="68">
        <v>12</v>
      </c>
      <c r="Q36" s="81" t="str">
        <f>IF(P36&gt;9.9,CONCATENATE("+",ROUNDDOWN((P36-10) / 2,0)),ROUNDUP((P36-10) / 2,0))</f>
        <v>+1</v>
      </c>
      <c r="R36" s="64">
        <v>14</v>
      </c>
      <c r="S36" s="81" t="str">
        <f>IF(R36&gt;9.9,CONCATENATE("+",ROUNDDOWN((R36-10) / 2,0)),ROUNDUP((R36-10) / 2,0))</f>
        <v>+2</v>
      </c>
      <c r="T36" s="64">
        <v>9</v>
      </c>
      <c r="U36" s="81">
        <f>IF(T36&gt;9.9,CONCATENATE("+",ROUNDDOWN((T36-10) / 2,0)),ROUNDUP((T36-10) / 2,0))</f>
        <v>-1</v>
      </c>
      <c r="V36" s="64">
        <v>16</v>
      </c>
      <c r="W36" s="81" t="str">
        <f>IF(V36&gt;9.9,CONCATENATE("+",ROUNDDOWN((V36-10) / 2,0)),ROUNDUP((V36-10) / 2,0))</f>
        <v>+3</v>
      </c>
      <c r="X36" s="64">
        <v>13</v>
      </c>
      <c r="Y36" s="81" t="str">
        <f>IF(X36&gt;9.9,CONCATENATE("+",ROUNDDOWN((X36-10) / 2,0)),ROUNDUP((X36-10) / 2,0))</f>
        <v>+1</v>
      </c>
      <c r="Z36" s="66">
        <v>10</v>
      </c>
      <c r="AA36" s="82" t="str">
        <f>IF(Z36&gt;9.9,CONCATENATE("+",ROUNDDOWN((Z36-10) / 2,0)),ROUNDUP((Z36-10) / 2,0))</f>
        <v>+0</v>
      </c>
      <c r="AB36" s="69">
        <f t="shared" si="24"/>
        <v>12.333333333333334</v>
      </c>
      <c r="AC36" s="70" t="str">
        <f t="shared" si="25"/>
        <v>+2</v>
      </c>
      <c r="AD36" s="71">
        <f>ROUND($H36*VLOOKUP($G36,'NPC Generator'!$I$2:$R$43,4,FALSE)/10,0)+ROUND($J36*VLOOKUP($I36,'NPC Generator'!$I$2:$R$43,4,FALSE)/10,0)</f>
        <v>3</v>
      </c>
      <c r="AE36" s="72">
        <f>IF(T36&gt;9.9,(ROUNDDOWN((T36-10) / 2,0)),ROUNDUP((T36-10) / 2,0))+AD36</f>
        <v>2</v>
      </c>
      <c r="AF36" s="73">
        <f>ROUND($H36*VLOOKUP($G36,'NPC Generator'!$I$2:$R$43,5,FALSE)/10,0)+ROUND($J36*VLOOKUP($I36,'NPC Generator'!$I$2:$R$43,5,FALSE)/10,0)</f>
        <v>3</v>
      </c>
      <c r="AG36" s="74">
        <f>AF36+AC36</f>
        <v>5</v>
      </c>
      <c r="AH36" s="75">
        <f>ROUND($H36*VLOOKUP($G36,'NPC Generator'!$I$2:$R$43,6,FALSE)/10,0)+ROUND($J36*VLOOKUP($I36,'NPC Generator'!$I$2:$R$43,6,FALSE)/10,0)</f>
        <v>3</v>
      </c>
      <c r="AI36" s="76">
        <f>IF(X36&gt;9.9,(ROUNDDOWN((X36-10) / 2,0)),ROUNDUP((X36-10) / 2,0))+AH36</f>
        <v>4</v>
      </c>
      <c r="AJ36" s="165">
        <f>ROUND($H36*VLOOKUP($G36,'NPC Generator'!$I$2:$R$43,3,FALSE)/10,0)+ROUND($J36*VLOOKUP($I36,'NPC Generator'!$I$2:$R$43,3,FALSE)/10,0)</f>
        <v>4</v>
      </c>
      <c r="AK36" s="68">
        <f>10+AC36+ROUND($H36*VLOOKUP($G36,'NPC Generator'!$I$2:$R$43,7,FALSE)/10,0)+ROUND($J36*VLOOKUP($I36,'NPC Generator'!$I$2:$R$43,7,FALSE)/10,0)</f>
        <v>14</v>
      </c>
      <c r="AL36" s="66">
        <f t="shared" si="12"/>
        <v>13</v>
      </c>
      <c r="AM36" s="66">
        <f t="shared" si="13"/>
        <v>15</v>
      </c>
      <c r="AN36" s="77">
        <f>$H36*(3+VLOOKUP($G36,'NPC Generator'!$I$2:$R$43,10,FALSE))+($J36*VLOOKUP($I36,'NPC Generator'!$I$2:$R$43,10,FALSE))+(U36*SUM(H36,J36))</f>
        <v>47</v>
      </c>
      <c r="AO36" s="78">
        <f>$H36*(3+VLOOKUP($G36,'NPC Generator'!$I$2:$R$43,9,FALSE))+($J36*VLOOKUP($I36,'NPC Generator'!$I$2:$R$43,9,FALSE))</f>
        <v>69</v>
      </c>
      <c r="AP36" s="163" t="s">
        <v>869</v>
      </c>
      <c r="AQ36" s="163" t="s">
        <v>729</v>
      </c>
      <c r="AR36" s="163" t="s">
        <v>773</v>
      </c>
      <c r="AS36" s="165" t="s">
        <v>813</v>
      </c>
      <c r="AT36" s="68" t="s">
        <v>1066</v>
      </c>
      <c r="AU36" s="64" t="s">
        <v>1181</v>
      </c>
      <c r="AV36" s="66">
        <f>VLOOKUP($AU36,¡RefTables!$G$8:$H$22,2,FALSE)</f>
        <v>1</v>
      </c>
      <c r="AW36" s="67" t="s">
        <v>1199</v>
      </c>
    </row>
    <row r="37" spans="1:49" ht="31.2" x14ac:dyDescent="0.3">
      <c r="A37" s="242" t="s">
        <v>444</v>
      </c>
      <c r="B37" s="134" t="s">
        <v>445</v>
      </c>
      <c r="C37" s="64" t="s">
        <v>303</v>
      </c>
      <c r="D37" s="65" t="s">
        <v>18</v>
      </c>
      <c r="E37" s="84" t="s">
        <v>490</v>
      </c>
      <c r="F37" s="84" t="s">
        <v>156</v>
      </c>
      <c r="G37" s="125" t="s">
        <v>100</v>
      </c>
      <c r="H37" s="125">
        <v>4</v>
      </c>
      <c r="I37" s="128" t="s">
        <v>35</v>
      </c>
      <c r="J37" s="128">
        <v>6</v>
      </c>
      <c r="K37" s="130">
        <f t="shared" si="23"/>
        <v>10</v>
      </c>
      <c r="L37" s="65" t="s">
        <v>317</v>
      </c>
      <c r="M37" s="133" t="s">
        <v>135</v>
      </c>
      <c r="N37" s="133" t="s">
        <v>148</v>
      </c>
      <c r="O37" s="66" t="s">
        <v>959</v>
      </c>
      <c r="P37" s="68">
        <v>6</v>
      </c>
      <c r="Q37" s="81">
        <f>IF(P37&gt;9.9,CONCATENATE("+",ROUNDDOWN((P37-10) / 2,0)),ROUNDUP((P37-10) / 2,0))</f>
        <v>-2</v>
      </c>
      <c r="R37" s="64">
        <v>7</v>
      </c>
      <c r="S37" s="81">
        <f>IF(R37&gt;9.9,CONCATENATE("+",ROUNDDOWN((R37-10) / 2,0)),ROUNDUP((R37-10) / 2,0))</f>
        <v>-2</v>
      </c>
      <c r="T37" s="64">
        <v>8</v>
      </c>
      <c r="U37" s="81">
        <f>IF(T37&gt;9.9,CONCATENATE("+",ROUNDDOWN((T37-10) / 2,0)),ROUNDUP((T37-10) / 2,0))</f>
        <v>-1</v>
      </c>
      <c r="V37" s="64">
        <v>16</v>
      </c>
      <c r="W37" s="81" t="str">
        <f>IF(V37&gt;9.9,CONCATENATE("+",ROUNDDOWN((V37-10) / 2,0)),ROUNDUP((V37-10) / 2,0))</f>
        <v>+3</v>
      </c>
      <c r="X37" s="64">
        <v>16</v>
      </c>
      <c r="Y37" s="81" t="str">
        <f>IF(X37&gt;9.9,CONCATENATE("+",ROUNDDOWN((X37-10) / 2,0)),ROUNDUP((X37-10) / 2,0))</f>
        <v>+3</v>
      </c>
      <c r="Z37" s="66">
        <v>18</v>
      </c>
      <c r="AA37" s="82" t="str">
        <f>IF(Z37&gt;9.9,CONCATENATE("+",ROUNDDOWN((Z37-10) / 2,0)),ROUNDUP((Z37-10) / 2,0))</f>
        <v>+4</v>
      </c>
      <c r="AB37" s="69">
        <f t="shared" si="24"/>
        <v>11.833333333333334</v>
      </c>
      <c r="AC37" s="70">
        <f t="shared" si="25"/>
        <v>-2</v>
      </c>
      <c r="AD37" s="71">
        <f>ROUND($H37*VLOOKUP($G37,'NPC Generator'!$I$2:$R$43,4,FALSE)/10,0)+ROUND($J37*VLOOKUP($I37,'NPC Generator'!$I$2:$R$43,4,FALSE)/10,0)</f>
        <v>4</v>
      </c>
      <c r="AE37" s="72">
        <f>IF(T37&gt;9.9,(ROUNDDOWN((T37-10) / 2,0)),ROUNDUP((T37-10) / 2,0))+AD37</f>
        <v>3</v>
      </c>
      <c r="AF37" s="73">
        <f>ROUND($H37*VLOOKUP($G37,'NPC Generator'!$I$2:$R$43,5,FALSE)/10,0)+ROUND($J37*VLOOKUP($I37,'NPC Generator'!$I$2:$R$43,5,FALSE)/10,0)</f>
        <v>3</v>
      </c>
      <c r="AG37" s="74">
        <f>AF37+AC37</f>
        <v>1</v>
      </c>
      <c r="AH37" s="75">
        <f>ROUND($H37*VLOOKUP($G37,'NPC Generator'!$I$2:$R$43,6,FALSE)/10,0)+ROUND($J37*VLOOKUP($I37,'NPC Generator'!$I$2:$R$43,6,FALSE)/10,0)</f>
        <v>6</v>
      </c>
      <c r="AI37" s="76">
        <f>IF(X37&gt;9.9,(ROUNDDOWN((X37-10) / 2,0)),ROUNDUP((X37-10) / 2,0))+AH37</f>
        <v>9</v>
      </c>
      <c r="AJ37" s="165">
        <f>ROUND($H37*VLOOKUP($G37,'NPC Generator'!$I$2:$R$43,3,FALSE)/10,0)+ROUND($J37*VLOOKUP($I37,'NPC Generator'!$I$2:$R$43,3,FALSE)/10,0)</f>
        <v>7</v>
      </c>
      <c r="AK37" s="68">
        <f>10+AC37+ROUND($H37*VLOOKUP($G37,'NPC Generator'!$I$2:$R$43,7,FALSE)/10,0)+ROUND($J37*VLOOKUP($I37,'NPC Generator'!$I$2:$R$43,7,FALSE)/10,0)</f>
        <v>13</v>
      </c>
      <c r="AL37" s="66">
        <f t="shared" si="12"/>
        <v>15</v>
      </c>
      <c r="AM37" s="66">
        <f t="shared" si="13"/>
        <v>13</v>
      </c>
      <c r="AN37" s="77">
        <f>$H37*(3+VLOOKUP($G37,'NPC Generator'!$I$2:$R$43,10,FALSE))+($J37*VLOOKUP($I37,'NPC Generator'!$I$2:$R$43,10,FALSE))+(U37*SUM(H37,J37))</f>
        <v>62</v>
      </c>
      <c r="AO37" s="78">
        <f>$H37*(3+VLOOKUP($G37,'NPC Generator'!$I$2:$R$43,9,FALSE))+($J37*VLOOKUP($I37,'NPC Generator'!$I$2:$R$43,9,FALSE))</f>
        <v>62</v>
      </c>
      <c r="AP37" s="163" t="s">
        <v>860</v>
      </c>
      <c r="AQ37" s="163" t="s">
        <v>736</v>
      </c>
      <c r="AR37" s="163" t="s">
        <v>789</v>
      </c>
      <c r="AS37" s="165" t="s">
        <v>809</v>
      </c>
      <c r="AT37" s="68" t="s">
        <v>1057</v>
      </c>
      <c r="AU37" s="64" t="s">
        <v>176</v>
      </c>
      <c r="AV37" s="66">
        <f>VLOOKUP($AU37,¡RefTables!$G$8:$H$22,2,FALSE)</f>
        <v>0</v>
      </c>
      <c r="AW37" s="67" t="s">
        <v>1197</v>
      </c>
    </row>
    <row r="38" spans="1:49" ht="46.8" x14ac:dyDescent="0.3">
      <c r="A38" s="242" t="s">
        <v>439</v>
      </c>
      <c r="B38" s="134" t="s">
        <v>580</v>
      </c>
      <c r="C38" s="64" t="s">
        <v>303</v>
      </c>
      <c r="D38" s="65" t="s">
        <v>18</v>
      </c>
      <c r="E38" s="84" t="s">
        <v>490</v>
      </c>
      <c r="F38" s="84" t="s">
        <v>156</v>
      </c>
      <c r="G38" s="125" t="s">
        <v>100</v>
      </c>
      <c r="H38" s="125">
        <v>4</v>
      </c>
      <c r="I38" s="128" t="s">
        <v>29</v>
      </c>
      <c r="J38" s="128">
        <v>5</v>
      </c>
      <c r="K38" s="130">
        <f t="shared" si="23"/>
        <v>9</v>
      </c>
      <c r="L38" s="65" t="s">
        <v>321</v>
      </c>
      <c r="M38" s="133" t="s">
        <v>135</v>
      </c>
      <c r="N38" s="133" t="s">
        <v>104</v>
      </c>
      <c r="O38" s="66" t="s">
        <v>522</v>
      </c>
      <c r="P38" s="68">
        <v>10</v>
      </c>
      <c r="Q38" s="81">
        <v>-2</v>
      </c>
      <c r="R38" s="64">
        <v>10</v>
      </c>
      <c r="S38" s="81">
        <v>-1</v>
      </c>
      <c r="T38" s="64">
        <v>10</v>
      </c>
      <c r="U38" s="81">
        <v>-1</v>
      </c>
      <c r="V38" s="64">
        <v>16</v>
      </c>
      <c r="W38" s="81" t="s">
        <v>84</v>
      </c>
      <c r="X38" s="64">
        <v>19</v>
      </c>
      <c r="Y38" s="81" t="s">
        <v>86</v>
      </c>
      <c r="Z38" s="66">
        <v>12</v>
      </c>
      <c r="AA38" s="82" t="s">
        <v>85</v>
      </c>
      <c r="AB38" s="69">
        <f t="shared" si="24"/>
        <v>12.833333333333334</v>
      </c>
      <c r="AC38" s="70" t="str">
        <f t="shared" si="25"/>
        <v>+0</v>
      </c>
      <c r="AD38" s="71">
        <f>ROUND($H38*VLOOKUP($G38,'NPC Generator'!$I$2:$R$43,4,FALSE)/10,0)+ROUND($J38*VLOOKUP($I38,'NPC Generator'!$I$2:$R$43,4,FALSE)/10,0)</f>
        <v>5</v>
      </c>
      <c r="AE38" s="72">
        <v>-1</v>
      </c>
      <c r="AF38" s="73">
        <f>ROUND($H38*VLOOKUP($G38,'NPC Generator'!$I$2:$R$43,5,FALSE)/10,0)+ROUND($J38*VLOOKUP($I38,'NPC Generator'!$I$2:$R$43,5,FALSE)/10,0)</f>
        <v>4</v>
      </c>
      <c r="AG38" s="74">
        <v>-1</v>
      </c>
      <c r="AH38" s="75">
        <f>ROUND($H38*VLOOKUP($G38,'NPC Generator'!$I$2:$R$43,6,FALSE)/10,0)+ROUND($J38*VLOOKUP($I38,'NPC Generator'!$I$2:$R$43,6,FALSE)/10,0)</f>
        <v>4</v>
      </c>
      <c r="AI38" s="76">
        <v>3</v>
      </c>
      <c r="AJ38" s="165">
        <f>ROUND($H38*VLOOKUP($G38,'NPC Generator'!$I$2:$R$43,3,FALSE)/10,0)+ROUND($J38*VLOOKUP($I38,'NPC Generator'!$I$2:$R$43,3,FALSE)/10,0)</f>
        <v>6</v>
      </c>
      <c r="AK38" s="68">
        <f>10+AC38+ROUND($H38*VLOOKUP($G38,'NPC Generator'!$I$2:$R$43,7,FALSE)/10,0)+ROUND($J38*VLOOKUP($I38,'NPC Generator'!$I$2:$R$43,7,FALSE)/10,0)</f>
        <v>14</v>
      </c>
      <c r="AL38" s="66">
        <f t="shared" si="12"/>
        <v>14</v>
      </c>
      <c r="AM38" s="66">
        <f t="shared" si="13"/>
        <v>14</v>
      </c>
      <c r="AN38" s="77">
        <f>$H38*(3+VLOOKUP($G38,'NPC Generator'!$I$2:$R$43,10,FALSE))+($J38*VLOOKUP($I38,'NPC Generator'!$I$2:$R$43,10,FALSE))+(U38*SUM(H38,J38))</f>
        <v>67</v>
      </c>
      <c r="AO38" s="78">
        <f>$H38*(3+VLOOKUP($G38,'NPC Generator'!$I$2:$R$43,9,FALSE))+($J38*VLOOKUP($I38,'NPC Generator'!$I$2:$R$43,9,FALSE))</f>
        <v>67</v>
      </c>
      <c r="AP38" s="163" t="s">
        <v>880</v>
      </c>
      <c r="AQ38" s="163" t="s">
        <v>736</v>
      </c>
      <c r="AR38" s="163" t="s">
        <v>790</v>
      </c>
      <c r="AS38" s="165" t="s">
        <v>831</v>
      </c>
      <c r="AT38" s="68" t="s">
        <v>1131</v>
      </c>
      <c r="AU38" s="64" t="s">
        <v>176</v>
      </c>
      <c r="AV38" s="66">
        <f>VLOOKUP($AU38,¡RefTables!$G$8:$H$22,2,FALSE)</f>
        <v>0</v>
      </c>
      <c r="AW38" s="67" t="s">
        <v>1253</v>
      </c>
    </row>
    <row r="39" spans="1:49" ht="31.2" x14ac:dyDescent="0.3">
      <c r="A39" s="242" t="s">
        <v>440</v>
      </c>
      <c r="B39" s="135" t="s">
        <v>442</v>
      </c>
      <c r="C39" s="64" t="s">
        <v>105</v>
      </c>
      <c r="D39" s="65" t="s">
        <v>20</v>
      </c>
      <c r="E39" s="84" t="s">
        <v>490</v>
      </c>
      <c r="F39" s="84" t="s">
        <v>156</v>
      </c>
      <c r="G39" s="125" t="s">
        <v>98</v>
      </c>
      <c r="H39" s="125">
        <v>4</v>
      </c>
      <c r="I39" s="128" t="s">
        <v>26</v>
      </c>
      <c r="J39" s="128">
        <v>4</v>
      </c>
      <c r="K39" s="130">
        <f t="shared" si="23"/>
        <v>8</v>
      </c>
      <c r="L39" s="65" t="s">
        <v>325</v>
      </c>
      <c r="M39" s="133" t="s">
        <v>135</v>
      </c>
      <c r="N39" s="133" t="s">
        <v>337</v>
      </c>
      <c r="O39" s="66" t="s">
        <v>524</v>
      </c>
      <c r="P39" s="68">
        <v>7</v>
      </c>
      <c r="Q39" s="81">
        <f>IF(P39&gt;9.9,CONCATENATE("+",ROUNDDOWN((P39-10) / 2,0)),ROUNDUP((P39-10) / 2,0))</f>
        <v>-2</v>
      </c>
      <c r="R39" s="64">
        <v>8</v>
      </c>
      <c r="S39" s="81">
        <f>IF(R39&gt;9.9,CONCATENATE("+",ROUNDDOWN((R39-10) / 2,0)),ROUNDUP((R39-10) / 2,0))</f>
        <v>-1</v>
      </c>
      <c r="T39" s="64">
        <v>9</v>
      </c>
      <c r="U39" s="81">
        <f>IF(T39&gt;9.9,CONCATENATE("+",ROUNDDOWN((T39-10) / 2,0)),ROUNDUP((T39-10) / 2,0))</f>
        <v>-1</v>
      </c>
      <c r="V39" s="64">
        <v>19</v>
      </c>
      <c r="W39" s="81" t="str">
        <f>IF(V39&gt;9.9,CONCATENATE("+",ROUNDDOWN((V39-10) / 2,0)),ROUNDUP((V39-10) / 2,0))</f>
        <v>+4</v>
      </c>
      <c r="X39" s="64">
        <v>16</v>
      </c>
      <c r="Y39" s="81" t="str">
        <f>IF(X39&gt;9.9,CONCATENATE("+",ROUNDDOWN((X39-10) / 2,0)),ROUNDUP((X39-10) / 2,0))</f>
        <v>+3</v>
      </c>
      <c r="Z39" s="66">
        <v>13</v>
      </c>
      <c r="AA39" s="82" t="str">
        <f>IF(Z39&gt;9.9,CONCATENATE("+",ROUNDDOWN((Z39-10) / 2,0)),ROUNDUP((Z39-10) / 2,0))</f>
        <v>+1</v>
      </c>
      <c r="AB39" s="69">
        <f t="shared" si="24"/>
        <v>12</v>
      </c>
      <c r="AC39" s="70">
        <f t="shared" si="25"/>
        <v>-1</v>
      </c>
      <c r="AD39" s="71">
        <f>ROUND($H39*VLOOKUP($G39,'NPC Generator'!$I$2:$R$43,4,FALSE)/10,0)+ROUND($J39*VLOOKUP($I39,'NPC Generator'!$I$2:$R$43,4,FALSE)/10,0)</f>
        <v>2</v>
      </c>
      <c r="AE39" s="72">
        <f>IF(T39&gt;9.9,(ROUNDDOWN((T39-10) / 2,0)),ROUNDUP((T39-10) / 2,0))+AD39</f>
        <v>1</v>
      </c>
      <c r="AF39" s="73">
        <f>ROUND($H39*VLOOKUP($G39,'NPC Generator'!$I$2:$R$43,5,FALSE)/10,0)+ROUND($J39*VLOOKUP($I39,'NPC Generator'!$I$2:$R$43,5,FALSE)/10,0)</f>
        <v>4</v>
      </c>
      <c r="AG39" s="74">
        <f>AF39+AC39</f>
        <v>3</v>
      </c>
      <c r="AH39" s="75">
        <f>ROUND($H39*VLOOKUP($G39,'NPC Generator'!$I$2:$R$43,6,FALSE)/10,0)+ROUND($J39*VLOOKUP($I39,'NPC Generator'!$I$2:$R$43,6,FALSE)/10,0)</f>
        <v>3</v>
      </c>
      <c r="AI39" s="76">
        <f>IF(X39&gt;9.9,(ROUNDDOWN((X39-10) / 2,0)),ROUNDUP((X39-10) / 2,0))+AH39</f>
        <v>6</v>
      </c>
      <c r="AJ39" s="165">
        <f>ROUND($H39*VLOOKUP($G39,'NPC Generator'!$I$2:$R$43,3,FALSE)/10,0)+ROUND($J39*VLOOKUP($I39,'NPC Generator'!$I$2:$R$43,3,FALSE)/10,0)</f>
        <v>4</v>
      </c>
      <c r="AK39" s="68">
        <f>10+AC39+ROUND($H39*VLOOKUP($G39,'NPC Generator'!$I$2:$R$43,7,FALSE)/10,0)+ROUND($J39*VLOOKUP($I39,'NPC Generator'!$I$2:$R$43,7,FALSE)/10,0)</f>
        <v>13</v>
      </c>
      <c r="AL39" s="66">
        <f t="shared" si="12"/>
        <v>14</v>
      </c>
      <c r="AM39" s="66">
        <f t="shared" si="13"/>
        <v>13</v>
      </c>
      <c r="AN39" s="77">
        <f>$H39*(3+VLOOKUP($G39,'NPC Generator'!$I$2:$R$43,10,FALSE))+($J39*VLOOKUP($I39,'NPC Generator'!$I$2:$R$43,10,FALSE))+(U39*SUM(H39,J39))</f>
        <v>60</v>
      </c>
      <c r="AO39" s="78">
        <f>$H39*(3+VLOOKUP($G39,'NPC Generator'!$I$2:$R$43,9,FALSE))+($J39*VLOOKUP($I39,'NPC Generator'!$I$2:$R$43,9,FALSE))</f>
        <v>76</v>
      </c>
      <c r="AP39" s="163" t="s">
        <v>900</v>
      </c>
      <c r="AQ39" s="163" t="s">
        <v>730</v>
      </c>
      <c r="AR39" s="163" t="s">
        <v>783</v>
      </c>
      <c r="AS39" s="165" t="s">
        <v>820</v>
      </c>
      <c r="AT39" s="68" t="s">
        <v>1173</v>
      </c>
      <c r="AU39" s="64" t="s">
        <v>176</v>
      </c>
      <c r="AV39" s="66">
        <f>VLOOKUP($AU39,¡RefTables!$G$8:$H$22,2,FALSE)</f>
        <v>0</v>
      </c>
      <c r="AW39" s="67" t="s">
        <v>1206</v>
      </c>
    </row>
    <row r="40" spans="1:49" ht="62.4" x14ac:dyDescent="0.3">
      <c r="A40" s="242" t="s">
        <v>443</v>
      </c>
      <c r="B40" s="134" t="s">
        <v>416</v>
      </c>
      <c r="C40" s="64" t="s">
        <v>106</v>
      </c>
      <c r="D40" s="65" t="s">
        <v>21</v>
      </c>
      <c r="E40" s="84" t="s">
        <v>490</v>
      </c>
      <c r="F40" s="84" t="s">
        <v>156</v>
      </c>
      <c r="G40" s="125" t="s">
        <v>99</v>
      </c>
      <c r="H40" s="125">
        <v>4</v>
      </c>
      <c r="I40" s="128" t="s">
        <v>32</v>
      </c>
      <c r="J40" s="128">
        <v>4</v>
      </c>
      <c r="K40" s="130">
        <f t="shared" si="23"/>
        <v>8</v>
      </c>
      <c r="L40" s="65" t="s">
        <v>326</v>
      </c>
      <c r="M40" s="133" t="s">
        <v>135</v>
      </c>
      <c r="N40" s="133" t="s">
        <v>305</v>
      </c>
      <c r="O40" s="66" t="s">
        <v>413</v>
      </c>
      <c r="P40" s="68">
        <v>9</v>
      </c>
      <c r="Q40" s="81">
        <f>IF(P40&gt;9.9,CONCATENATE("+",ROUNDDOWN((P40-10) / 2,0)),ROUNDUP((P40-10) / 2,0))</f>
        <v>-1</v>
      </c>
      <c r="R40" s="64">
        <v>9</v>
      </c>
      <c r="S40" s="81">
        <f>IF(R40&gt;9.9,CONCATENATE("+",ROUNDDOWN((R40-10) / 2,0)),ROUNDUP((R40-10) / 2,0))</f>
        <v>-1</v>
      </c>
      <c r="T40" s="64">
        <v>8</v>
      </c>
      <c r="U40" s="81">
        <f>IF(T40&gt;9.9,CONCATENATE("+",ROUNDDOWN((T40-10) / 2,0)),ROUNDUP((T40-10) / 2,0))</f>
        <v>-1</v>
      </c>
      <c r="V40" s="64">
        <v>14</v>
      </c>
      <c r="W40" s="81" t="str">
        <f>IF(V40&gt;9.9,CONCATENATE("+",ROUNDDOWN((V40-10) / 2,0)),ROUNDUP((V40-10) / 2,0))</f>
        <v>+2</v>
      </c>
      <c r="X40" s="64">
        <v>16</v>
      </c>
      <c r="Y40" s="81" t="str">
        <f>IF(X40&gt;9.9,CONCATENATE("+",ROUNDDOWN((X40-10) / 2,0)),ROUNDUP((X40-10) / 2,0))</f>
        <v>+3</v>
      </c>
      <c r="Z40" s="66">
        <v>20</v>
      </c>
      <c r="AA40" s="82" t="str">
        <f>IF(Z40&gt;9.9,CONCATENATE("+",ROUNDDOWN((Z40-10) / 2,0)),ROUNDUP((Z40-10) / 2,0))</f>
        <v>+5</v>
      </c>
      <c r="AB40" s="69">
        <f t="shared" si="24"/>
        <v>12.666666666666666</v>
      </c>
      <c r="AC40" s="70">
        <f t="shared" si="25"/>
        <v>-1</v>
      </c>
      <c r="AD40" s="71">
        <f>ROUND($H40*VLOOKUP($G40,'NPC Generator'!$I$2:$R$43,4,FALSE)/10,0)+ROUND($J40*VLOOKUP($I40,'NPC Generator'!$I$2:$R$43,4,FALSE)/10,0)</f>
        <v>3</v>
      </c>
      <c r="AE40" s="72">
        <f>IF(T40&gt;9.9,(ROUNDDOWN((T40-10) / 2,0)),ROUNDUP((T40-10) / 2,0))+AD40</f>
        <v>2</v>
      </c>
      <c r="AF40" s="73">
        <f>ROUND($H40*VLOOKUP($G40,'NPC Generator'!$I$2:$R$43,5,FALSE)/10,0)+ROUND($J40*VLOOKUP($I40,'NPC Generator'!$I$2:$R$43,5,FALSE)/10,0)</f>
        <v>4</v>
      </c>
      <c r="AG40" s="74">
        <f>AF40+AC40</f>
        <v>3</v>
      </c>
      <c r="AH40" s="75">
        <f>ROUND($H40*VLOOKUP($G40,'NPC Generator'!$I$2:$R$43,6,FALSE)/10,0)+ROUND($J40*VLOOKUP($I40,'NPC Generator'!$I$2:$R$43,6,FALSE)/10,0)</f>
        <v>3</v>
      </c>
      <c r="AI40" s="76">
        <f>IF(X40&gt;9.9,(ROUNDDOWN((X40-10) / 2,0)),ROUNDUP((X40-10) / 2,0))+AH40</f>
        <v>6</v>
      </c>
      <c r="AJ40" s="165">
        <f>ROUND($H40*VLOOKUP($G40,'NPC Generator'!$I$2:$R$43,3,FALSE)/10,0)+ROUND($J40*VLOOKUP($I40,'NPC Generator'!$I$2:$R$43,3,FALSE)/10,0)</f>
        <v>5</v>
      </c>
      <c r="AK40" s="68">
        <f>10+AC40+ROUND($H40*VLOOKUP($G40,'NPC Generator'!$I$2:$R$43,7,FALSE)/10,0)+ROUND($J40*VLOOKUP($I40,'NPC Generator'!$I$2:$R$43,7,FALSE)/10,0)</f>
        <v>12</v>
      </c>
      <c r="AL40" s="66">
        <f t="shared" si="12"/>
        <v>13</v>
      </c>
      <c r="AM40" s="66">
        <f t="shared" si="13"/>
        <v>12</v>
      </c>
      <c r="AN40" s="77">
        <f>$H40*(3+VLOOKUP($G40,'NPC Generator'!$I$2:$R$43,10,FALSE))+($J40*VLOOKUP($I40,'NPC Generator'!$I$2:$R$43,10,FALSE))+(U40*SUM(H40,J40))</f>
        <v>52</v>
      </c>
      <c r="AO40" s="78">
        <f>$H40*(3+VLOOKUP($G40,'NPC Generator'!$I$2:$R$43,9,FALSE))+($J40*VLOOKUP($I40,'NPC Generator'!$I$2:$R$43,9,FALSE))</f>
        <v>60</v>
      </c>
      <c r="AP40" s="163" t="s">
        <v>896</v>
      </c>
      <c r="AQ40" s="163" t="s">
        <v>731</v>
      </c>
      <c r="AR40" s="163" t="s">
        <v>804</v>
      </c>
      <c r="AS40" s="165" t="s">
        <v>827</v>
      </c>
      <c r="AT40" s="68" t="s">
        <v>1058</v>
      </c>
      <c r="AU40" s="64" t="s">
        <v>176</v>
      </c>
      <c r="AV40" s="66">
        <f>VLOOKUP($AU40,¡RefTables!$G$8:$H$22,2,FALSE)</f>
        <v>0</v>
      </c>
      <c r="AW40" s="67" t="s">
        <v>1240</v>
      </c>
    </row>
    <row r="41" spans="1:49" ht="46.8" x14ac:dyDescent="0.3">
      <c r="A41" s="242" t="s">
        <v>456</v>
      </c>
      <c r="B41" s="134" t="s">
        <v>441</v>
      </c>
      <c r="C41" s="64" t="s">
        <v>106</v>
      </c>
      <c r="D41" s="65" t="s">
        <v>19</v>
      </c>
      <c r="E41" s="84" t="s">
        <v>490</v>
      </c>
      <c r="F41" s="84" t="s">
        <v>156</v>
      </c>
      <c r="G41" s="125" t="s">
        <v>98</v>
      </c>
      <c r="H41" s="125">
        <v>4</v>
      </c>
      <c r="I41" s="128" t="s">
        <v>45</v>
      </c>
      <c r="J41" s="128">
        <v>4</v>
      </c>
      <c r="K41" s="130">
        <f t="shared" si="23"/>
        <v>8</v>
      </c>
      <c r="L41" s="65" t="s">
        <v>328</v>
      </c>
      <c r="M41" s="133" t="s">
        <v>135</v>
      </c>
      <c r="N41" s="133" t="s">
        <v>306</v>
      </c>
      <c r="O41" s="66" t="s">
        <v>523</v>
      </c>
      <c r="P41" s="68">
        <v>8</v>
      </c>
      <c r="Q41" s="81">
        <f>IF(P41&gt;9.9,CONCATENATE("+",ROUNDDOWN((P41-10) / 2,0)),ROUNDUP((P41-10) / 2,0))</f>
        <v>-1</v>
      </c>
      <c r="R41" s="64">
        <v>7</v>
      </c>
      <c r="S41" s="81">
        <f>IF(R41&gt;9.9,CONCATENATE("+",ROUNDDOWN((R41-10) / 2,0)),ROUNDUP((R41-10) / 2,0))</f>
        <v>-2</v>
      </c>
      <c r="T41" s="64">
        <v>11</v>
      </c>
      <c r="U41" s="81" t="str">
        <f>IF(T41&gt;9.9,CONCATENATE("+",ROUNDDOWN((T41-10) / 2,0)),ROUNDUP((T41-10) / 2,0))</f>
        <v>+0</v>
      </c>
      <c r="V41" s="64">
        <v>19</v>
      </c>
      <c r="W41" s="81" t="str">
        <f>IF(V41&gt;9.9,CONCATENATE("+",ROUNDDOWN((V41-10) / 2,0)),ROUNDUP((V41-10) / 2,0))</f>
        <v>+4</v>
      </c>
      <c r="X41" s="64">
        <v>17</v>
      </c>
      <c r="Y41" s="81" t="str">
        <f>IF(X41&gt;9.9,CONCATENATE("+",ROUNDDOWN((X41-10) / 2,0)),ROUNDUP((X41-10) / 2,0))</f>
        <v>+3</v>
      </c>
      <c r="Z41" s="66">
        <v>10</v>
      </c>
      <c r="AA41" s="82" t="str">
        <f>IF(Z41&gt;9.9,CONCATENATE("+",ROUNDDOWN((Z41-10) / 2,0)),ROUNDUP((Z41-10) / 2,0))</f>
        <v>+0</v>
      </c>
      <c r="AB41" s="69">
        <f t="shared" si="24"/>
        <v>12</v>
      </c>
      <c r="AC41" s="70">
        <f t="shared" si="25"/>
        <v>-2</v>
      </c>
      <c r="AD41" s="71">
        <f>ROUND($H41*VLOOKUP($G41,'NPC Generator'!$I$2:$R$43,4,FALSE)/10,0)+ROUND($J41*VLOOKUP($I41,'NPC Generator'!$I$2:$R$43,4,FALSE)/10,0)</f>
        <v>2</v>
      </c>
      <c r="AE41" s="72">
        <f>IF(T41&gt;9.9,(ROUNDDOWN((T41-10) / 2,0)),ROUNDUP((T41-10) / 2,0))+AD41</f>
        <v>2</v>
      </c>
      <c r="AF41" s="73">
        <f>ROUND($H41*VLOOKUP($G41,'NPC Generator'!$I$2:$R$43,5,FALSE)/10,0)+ROUND($J41*VLOOKUP($I41,'NPC Generator'!$I$2:$R$43,5,FALSE)/10,0)</f>
        <v>4</v>
      </c>
      <c r="AG41" s="74">
        <f>AF41+AC41</f>
        <v>2</v>
      </c>
      <c r="AH41" s="75">
        <f>ROUND($H41*VLOOKUP($G41,'NPC Generator'!$I$2:$R$43,6,FALSE)/10,0)+ROUND($J41*VLOOKUP($I41,'NPC Generator'!$I$2:$R$43,6,FALSE)/10,0)</f>
        <v>3</v>
      </c>
      <c r="AI41" s="76">
        <f>IF(X41&gt;9.9,(ROUNDDOWN((X41-10) / 2,0)),ROUNDUP((X41-10) / 2,0))+AH41</f>
        <v>6</v>
      </c>
      <c r="AJ41" s="165">
        <f>ROUND($H41*VLOOKUP($G41,'NPC Generator'!$I$2:$R$43,3,FALSE)/10,0)+ROUND($J41*VLOOKUP($I41,'NPC Generator'!$I$2:$R$43,3,FALSE)/10,0)</f>
        <v>6</v>
      </c>
      <c r="AK41" s="68">
        <f>10+AC41+ROUND($H41*VLOOKUP($G41,'NPC Generator'!$I$2:$R$43,7,FALSE)/10,0)+ROUND($J41*VLOOKUP($I41,'NPC Generator'!$I$2:$R$43,7,FALSE)/10,0)</f>
        <v>11</v>
      </c>
      <c r="AL41" s="66">
        <f t="shared" si="12"/>
        <v>13</v>
      </c>
      <c r="AM41" s="66">
        <f t="shared" si="13"/>
        <v>11</v>
      </c>
      <c r="AN41" s="77">
        <f>$H41*(3+VLOOKUP($G41,'NPC Generator'!$I$2:$R$43,10,FALSE))+($J41*VLOOKUP($I41,'NPC Generator'!$I$2:$R$43,10,FALSE))+(U41*SUM(H41,J41))</f>
        <v>68</v>
      </c>
      <c r="AO41" s="78">
        <f>$H41*(3+VLOOKUP($G41,'NPC Generator'!$I$2:$R$43,9,FALSE))+($J41*VLOOKUP($I41,'NPC Generator'!$I$2:$R$43,9,FALSE))</f>
        <v>68</v>
      </c>
      <c r="AP41" s="163" t="s">
        <v>900</v>
      </c>
      <c r="AQ41" s="163" t="s">
        <v>730</v>
      </c>
      <c r="AR41" s="163" t="s">
        <v>782</v>
      </c>
      <c r="AS41" s="165" t="s">
        <v>854</v>
      </c>
      <c r="AT41" s="68" t="s">
        <v>1174</v>
      </c>
      <c r="AU41" s="64" t="s">
        <v>176</v>
      </c>
      <c r="AV41" s="66">
        <f>VLOOKUP($AU41,¡RefTables!$G$8:$H$22,2,FALSE)</f>
        <v>0</v>
      </c>
      <c r="AW41" s="67" t="s">
        <v>1195</v>
      </c>
    </row>
    <row r="42" spans="1:49" ht="31.2" x14ac:dyDescent="0.3">
      <c r="A42" s="243" t="s">
        <v>470</v>
      </c>
      <c r="B42" s="134" t="s">
        <v>469</v>
      </c>
      <c r="C42" s="64" t="s">
        <v>303</v>
      </c>
      <c r="D42" s="65" t="s">
        <v>18</v>
      </c>
      <c r="E42" s="84" t="s">
        <v>95</v>
      </c>
      <c r="F42" s="84" t="s">
        <v>156</v>
      </c>
      <c r="G42" s="125" t="s">
        <v>99</v>
      </c>
      <c r="H42" s="125">
        <v>4</v>
      </c>
      <c r="I42" s="128" t="s">
        <v>43</v>
      </c>
      <c r="J42" s="128">
        <v>6</v>
      </c>
      <c r="K42" s="130">
        <f t="shared" si="23"/>
        <v>10</v>
      </c>
      <c r="L42" s="65" t="s">
        <v>328</v>
      </c>
      <c r="M42" s="133" t="s">
        <v>137</v>
      </c>
      <c r="N42" s="133" t="s">
        <v>148</v>
      </c>
      <c r="O42" s="66" t="s">
        <v>538</v>
      </c>
      <c r="P42" s="68">
        <v>9</v>
      </c>
      <c r="Q42" s="81">
        <f>IF(P42&gt;9.9,CONCATENATE("+",ROUNDDOWN((P42-10) / 2,0)),ROUNDUP((P42-10) / 2,0))</f>
        <v>-1</v>
      </c>
      <c r="R42" s="64">
        <v>9</v>
      </c>
      <c r="S42" s="81">
        <f>IF(R42&gt;9.9,CONCATENATE("+",ROUNDDOWN((R42-10) / 2,0)),ROUNDUP((R42-10) / 2,0))</f>
        <v>-1</v>
      </c>
      <c r="T42" s="64">
        <v>9</v>
      </c>
      <c r="U42" s="81">
        <f>IF(T42&gt;9.9,CONCATENATE("+",ROUNDDOWN((T42-10) / 2,0)),ROUNDUP((T42-10) / 2,0))</f>
        <v>-1</v>
      </c>
      <c r="V42" s="64">
        <v>16</v>
      </c>
      <c r="W42" s="81" t="str">
        <f>IF(V42&gt;9.9,CONCATENATE("+",ROUNDDOWN((V42-10) / 2,0)),ROUNDUP((V42-10) / 2,0))</f>
        <v>+3</v>
      </c>
      <c r="X42" s="64">
        <v>13</v>
      </c>
      <c r="Y42" s="81" t="str">
        <f>IF(X42&gt;9.9,CONCATENATE("+",ROUNDDOWN((X42-10) / 2,0)),ROUNDUP((X42-10) / 2,0))</f>
        <v>+1</v>
      </c>
      <c r="Z42" s="66">
        <v>20</v>
      </c>
      <c r="AA42" s="82" t="str">
        <f>IF(Z42&gt;9.9,CONCATENATE("+",ROUNDDOWN((Z42-10) / 2,0)),ROUNDUP((Z42-10) / 2,0))</f>
        <v>+5</v>
      </c>
      <c r="AB42" s="69">
        <f t="shared" si="24"/>
        <v>12.666666666666666</v>
      </c>
      <c r="AC42" s="70">
        <f t="shared" si="25"/>
        <v>-1</v>
      </c>
      <c r="AD42" s="71">
        <f>ROUND($H42*VLOOKUP($G42,'NPC Generator'!$I$2:$R$43,4,FALSE)/10,0)+ROUND($J42*VLOOKUP($I42,'NPC Generator'!$I$2:$R$43,4,FALSE)/10,0)</f>
        <v>4</v>
      </c>
      <c r="AE42" s="72">
        <f>IF(T42&gt;9.9,(ROUNDDOWN((T42-10) / 2,0)),ROUNDUP((T42-10) / 2,0))+AD42</f>
        <v>3</v>
      </c>
      <c r="AF42" s="73">
        <f>ROUND($H42*VLOOKUP($G42,'NPC Generator'!$I$2:$R$43,5,FALSE)/10,0)+ROUND($J42*VLOOKUP($I42,'NPC Generator'!$I$2:$R$43,5,FALSE)/10,0)</f>
        <v>5</v>
      </c>
      <c r="AG42" s="74">
        <f>AF42+AC42</f>
        <v>4</v>
      </c>
      <c r="AH42" s="75">
        <f>ROUND($H42*VLOOKUP($G42,'NPC Generator'!$I$2:$R$43,6,FALSE)/10,0)+ROUND($J42*VLOOKUP($I42,'NPC Generator'!$I$2:$R$43,6,FALSE)/10,0)</f>
        <v>5</v>
      </c>
      <c r="AI42" s="76">
        <f>IF(X42&gt;9.9,(ROUNDDOWN((X42-10) / 2,0)),ROUNDUP((X42-10) / 2,0))+AH42</f>
        <v>6</v>
      </c>
      <c r="AJ42" s="165">
        <f>ROUND($H42*VLOOKUP($G42,'NPC Generator'!$I$2:$R$43,3,FALSE)/10,0)+ROUND($J42*VLOOKUP($I42,'NPC Generator'!$I$2:$R$43,3,FALSE)/10,0)</f>
        <v>6</v>
      </c>
      <c r="AK42" s="68">
        <f>10+AC42+ROUND($H42*VLOOKUP($G42,'NPC Generator'!$I$2:$R$43,7,FALSE)/10,0)+ROUND($J42*VLOOKUP($I42,'NPC Generator'!$I$2:$R$43,7,FALSE)/10,0)</f>
        <v>12</v>
      </c>
      <c r="AL42" s="66">
        <f t="shared" si="12"/>
        <v>13</v>
      </c>
      <c r="AM42" s="66">
        <f t="shared" si="13"/>
        <v>12</v>
      </c>
      <c r="AN42" s="77">
        <f>$H42*(3+VLOOKUP($G42,'NPC Generator'!$I$2:$R$43,10,FALSE))+($J42*VLOOKUP($I42,'NPC Generator'!$I$2:$R$43,10,FALSE))+(U42*SUM(H42,J42))</f>
        <v>62</v>
      </c>
      <c r="AO42" s="78">
        <f>$H42*(3+VLOOKUP($G42,'NPC Generator'!$I$2:$R$43,9,FALSE))+($J42*VLOOKUP($I42,'NPC Generator'!$I$2:$R$43,9,FALSE))</f>
        <v>82</v>
      </c>
      <c r="AP42" s="163" t="s">
        <v>895</v>
      </c>
      <c r="AQ42" s="163" t="s">
        <v>733</v>
      </c>
      <c r="AR42" s="163" t="s">
        <v>802</v>
      </c>
      <c r="AS42" s="165" t="s">
        <v>824</v>
      </c>
      <c r="AT42" s="68" t="s">
        <v>991</v>
      </c>
      <c r="AU42" s="64" t="s">
        <v>176</v>
      </c>
      <c r="AV42" s="66">
        <f>VLOOKUP($AU42,¡RefTables!$G$8:$H$22,2,FALSE)</f>
        <v>0</v>
      </c>
      <c r="AW42" s="67" t="s">
        <v>1195</v>
      </c>
    </row>
    <row r="43" spans="1:49" ht="46.8" x14ac:dyDescent="0.3">
      <c r="A43" s="243" t="s">
        <v>399</v>
      </c>
      <c r="B43" s="135" t="s">
        <v>400</v>
      </c>
      <c r="C43" s="64" t="s">
        <v>105</v>
      </c>
      <c r="D43" s="65" t="s">
        <v>21</v>
      </c>
      <c r="E43" s="84" t="s">
        <v>95</v>
      </c>
      <c r="F43" s="84" t="s">
        <v>156</v>
      </c>
      <c r="G43" s="125" t="s">
        <v>100</v>
      </c>
      <c r="H43" s="125">
        <v>4</v>
      </c>
      <c r="I43" s="128" t="s">
        <v>28</v>
      </c>
      <c r="J43" s="128">
        <v>5</v>
      </c>
      <c r="K43" s="130">
        <f t="shared" si="23"/>
        <v>9</v>
      </c>
      <c r="L43" s="65" t="s">
        <v>334</v>
      </c>
      <c r="M43" s="133" t="s">
        <v>127</v>
      </c>
      <c r="N43" s="133" t="s">
        <v>150</v>
      </c>
      <c r="O43" s="66" t="s">
        <v>539</v>
      </c>
      <c r="P43" s="68">
        <v>14</v>
      </c>
      <c r="Q43" s="81" t="str">
        <f>IF(P43&gt;9.9,CONCATENATE("+",ROUNDDOWN((P43-10) / 2,0)),ROUNDUP((P43-10) / 2,0))</f>
        <v>+2</v>
      </c>
      <c r="R43" s="64">
        <v>13</v>
      </c>
      <c r="S43" s="81" t="str">
        <f>IF(R43&gt;9.9,CONCATENATE("+",ROUNDDOWN((R43-10) / 2,0)),ROUNDUP((R43-10) / 2,0))</f>
        <v>+1</v>
      </c>
      <c r="T43" s="64">
        <v>14</v>
      </c>
      <c r="U43" s="81" t="str">
        <f>IF(T43&gt;9.9,CONCATENATE("+",ROUNDDOWN((T43-10) / 2,0)),ROUNDUP((T43-10) / 2,0))</f>
        <v>+2</v>
      </c>
      <c r="V43" s="64">
        <v>9</v>
      </c>
      <c r="W43" s="81">
        <f>IF(V43&gt;9.9,CONCATENATE("+",ROUNDDOWN((V43-10) / 2,0)),ROUNDUP((V43-10) / 2,0))</f>
        <v>-1</v>
      </c>
      <c r="X43" s="64">
        <v>16</v>
      </c>
      <c r="Y43" s="81" t="str">
        <f>IF(X43&gt;9.9,CONCATENATE("+",ROUNDDOWN((X43-10) / 2,0)),ROUNDUP((X43-10) / 2,0))</f>
        <v>+3</v>
      </c>
      <c r="Z43" s="66">
        <v>3</v>
      </c>
      <c r="AA43" s="82">
        <f>IF(Z43&gt;9.9,CONCATENATE("+",ROUNDDOWN((Z43-10) / 2,0)),ROUNDUP((Z43-10) / 2,0))</f>
        <v>-4</v>
      </c>
      <c r="AB43" s="69">
        <f t="shared" si="24"/>
        <v>11.5</v>
      </c>
      <c r="AC43" s="70" t="str">
        <f t="shared" si="25"/>
        <v>+1</v>
      </c>
      <c r="AD43" s="71">
        <f>ROUND($H43*VLOOKUP($G43,'NPC Generator'!$I$2:$R$43,4,FALSE)/10,0)+ROUND($J43*VLOOKUP($I43,'NPC Generator'!$I$2:$R$43,4,FALSE)/10,0)</f>
        <v>5</v>
      </c>
      <c r="AE43" s="72">
        <f>IF(T43&gt;9.9,(ROUNDDOWN((T43-10) / 2,0)),ROUNDUP((T43-10) / 2,0))+AD43</f>
        <v>7</v>
      </c>
      <c r="AF43" s="73">
        <f>ROUND($H43*VLOOKUP($G43,'NPC Generator'!$I$2:$R$43,5,FALSE)/10,0)+ROUND($J43*VLOOKUP($I43,'NPC Generator'!$I$2:$R$43,5,FALSE)/10,0)</f>
        <v>5</v>
      </c>
      <c r="AG43" s="74">
        <f>AF43+AC43</f>
        <v>6</v>
      </c>
      <c r="AH43" s="75">
        <f>ROUND($H43*VLOOKUP($G43,'NPC Generator'!$I$2:$R$43,6,FALSE)/10,0)+ROUND($J43*VLOOKUP($I43,'NPC Generator'!$I$2:$R$43,6,FALSE)/10,0)</f>
        <v>4</v>
      </c>
      <c r="AI43" s="76">
        <f>IF(X43&gt;9.9,(ROUNDDOWN((X43-10) / 2,0)),ROUNDUP((X43-10) / 2,0))+AH43</f>
        <v>7</v>
      </c>
      <c r="AJ43" s="165">
        <f>ROUND($H43*VLOOKUP($G43,'NPC Generator'!$I$2:$R$43,3,FALSE)/10,0)+ROUND($J43*VLOOKUP($I43,'NPC Generator'!$I$2:$R$43,3,FALSE)/10,0)</f>
        <v>7</v>
      </c>
      <c r="AK43" s="68">
        <f>10+AC43+ROUND($H43*VLOOKUP($G43,'NPC Generator'!$I$2:$R$43,7,FALSE)/10,0)+ROUND($J43*VLOOKUP($I43,'NPC Generator'!$I$2:$R$43,7,FALSE)/10,0)</f>
        <v>16</v>
      </c>
      <c r="AL43" s="66">
        <f t="shared" si="12"/>
        <v>15</v>
      </c>
      <c r="AM43" s="66">
        <f t="shared" si="13"/>
        <v>16</v>
      </c>
      <c r="AN43" s="77">
        <f>$H43*(3+VLOOKUP($G43,'NPC Generator'!$I$2:$R$43,10,FALSE))+($J43*VLOOKUP($I43,'NPC Generator'!$I$2:$R$43,10,FALSE))+(U43*SUM(H43,J43))</f>
        <v>114</v>
      </c>
      <c r="AO43" s="78">
        <f>$H43*(3+VLOOKUP($G43,'NPC Generator'!$I$2:$R$43,9,FALSE))+($J43*VLOOKUP($I43,'NPC Generator'!$I$2:$R$43,9,FALSE))</f>
        <v>47</v>
      </c>
      <c r="AP43" s="163" t="s">
        <v>908</v>
      </c>
      <c r="AQ43" s="163" t="s">
        <v>734</v>
      </c>
      <c r="AR43" s="163" t="s">
        <v>797</v>
      </c>
      <c r="AS43" s="165" t="s">
        <v>830</v>
      </c>
      <c r="AT43" s="68" t="s">
        <v>1148</v>
      </c>
      <c r="AU43" s="64" t="s">
        <v>176</v>
      </c>
      <c r="AV43" s="66">
        <f>VLOOKUP($AU43,¡RefTables!$G$8:$H$22,2,FALSE)</f>
        <v>0</v>
      </c>
      <c r="AW43" s="67" t="s">
        <v>1217</v>
      </c>
    </row>
    <row r="44" spans="1:49" ht="46.8" x14ac:dyDescent="0.3">
      <c r="A44" s="242" t="s">
        <v>237</v>
      </c>
      <c r="B44" s="134" t="s">
        <v>301</v>
      </c>
      <c r="C44" s="64" t="s">
        <v>303</v>
      </c>
      <c r="D44" s="65" t="s">
        <v>18</v>
      </c>
      <c r="E44" s="84" t="s">
        <v>95</v>
      </c>
      <c r="F44" s="84" t="s">
        <v>156</v>
      </c>
      <c r="G44" s="125" t="s">
        <v>101</v>
      </c>
      <c r="H44" s="125">
        <v>4</v>
      </c>
      <c r="I44" s="128" t="s">
        <v>33</v>
      </c>
      <c r="J44" s="128">
        <v>5</v>
      </c>
      <c r="K44" s="130">
        <f t="shared" si="23"/>
        <v>9</v>
      </c>
      <c r="L44" s="65" t="s">
        <v>317</v>
      </c>
      <c r="M44" s="133" t="s">
        <v>114</v>
      </c>
      <c r="N44" s="133" t="s">
        <v>104</v>
      </c>
      <c r="O44" s="66" t="s">
        <v>366</v>
      </c>
      <c r="P44" s="68">
        <v>10</v>
      </c>
      <c r="Q44" s="81">
        <v>-1</v>
      </c>
      <c r="R44" s="64">
        <v>16</v>
      </c>
      <c r="S44" s="81" t="s">
        <v>83</v>
      </c>
      <c r="T44" s="64">
        <v>8</v>
      </c>
      <c r="U44" s="81" t="s">
        <v>83</v>
      </c>
      <c r="V44" s="64">
        <v>14</v>
      </c>
      <c r="W44" s="81" t="s">
        <v>84</v>
      </c>
      <c r="X44" s="64">
        <v>10</v>
      </c>
      <c r="Y44" s="81" t="s">
        <v>84</v>
      </c>
      <c r="Z44" s="66">
        <v>15</v>
      </c>
      <c r="AA44" s="82">
        <v>-2</v>
      </c>
      <c r="AB44" s="69">
        <f t="shared" si="24"/>
        <v>12.166666666666666</v>
      </c>
      <c r="AC44" s="70" t="str">
        <f t="shared" si="25"/>
        <v>+3</v>
      </c>
      <c r="AD44" s="71">
        <f>ROUND($H44*VLOOKUP($G44,'NPC Generator'!$I$2:$R$43,4,FALSE)/10,0)+ROUND($J44*VLOOKUP($I44,'NPC Generator'!$I$2:$R$43,4,FALSE)/10,0)</f>
        <v>4</v>
      </c>
      <c r="AE44" s="72">
        <v>0</v>
      </c>
      <c r="AF44" s="73">
        <f>ROUND($H44*VLOOKUP($G44,'NPC Generator'!$I$2:$R$43,5,FALSE)/10,0)+ROUND($J44*VLOOKUP($I44,'NPC Generator'!$I$2:$R$43,5,FALSE)/10,0)</f>
        <v>5</v>
      </c>
      <c r="AG44" s="74">
        <v>0</v>
      </c>
      <c r="AH44" s="75">
        <f>ROUND($H44*VLOOKUP($G44,'NPC Generator'!$I$2:$R$43,6,FALSE)/10,0)+ROUND($J44*VLOOKUP($I44,'NPC Generator'!$I$2:$R$43,6,FALSE)/10,0)</f>
        <v>3</v>
      </c>
      <c r="AI44" s="76">
        <v>4</v>
      </c>
      <c r="AJ44" s="165">
        <f>ROUND($H44*VLOOKUP($G44,'NPC Generator'!$I$2:$R$43,3,FALSE)/10,0)+ROUND($J44*VLOOKUP($I44,'NPC Generator'!$I$2:$R$43,3,FALSE)/10,0)</f>
        <v>6</v>
      </c>
      <c r="AK44" s="68">
        <f>10+AC44+ROUND($H44*VLOOKUP($G44,'NPC Generator'!$I$2:$R$43,7,FALSE)/10,0)+ROUND($J44*VLOOKUP($I44,'NPC Generator'!$I$2:$R$43,7,FALSE)/10,0)</f>
        <v>18</v>
      </c>
      <c r="AL44" s="66">
        <f t="shared" si="12"/>
        <v>15</v>
      </c>
      <c r="AM44" s="66">
        <f t="shared" si="13"/>
        <v>18</v>
      </c>
      <c r="AN44" s="77">
        <f>$H44*(3+VLOOKUP($G44,'NPC Generator'!$I$2:$R$43,10,FALSE))+($J44*VLOOKUP($I44,'NPC Generator'!$I$2:$R$43,10,FALSE))+(U44*SUM(H44,J44))</f>
        <v>74</v>
      </c>
      <c r="AO44" s="78">
        <f>$H44*(3+VLOOKUP($G44,'NPC Generator'!$I$2:$R$43,9,FALSE))+($J44*VLOOKUP($I44,'NPC Generator'!$I$2:$R$43,9,FALSE))</f>
        <v>57</v>
      </c>
      <c r="AP44" s="163" t="s">
        <v>913</v>
      </c>
      <c r="AQ44" s="163" t="s">
        <v>727</v>
      </c>
      <c r="AR44" s="163" t="s">
        <v>756</v>
      </c>
      <c r="AS44" s="165" t="s">
        <v>923</v>
      </c>
      <c r="AT44" s="68" t="s">
        <v>1175</v>
      </c>
      <c r="AU44" s="64" t="s">
        <v>176</v>
      </c>
      <c r="AV44" s="66">
        <f>VLOOKUP($AU44,¡RefTables!$G$8:$H$22,2,FALSE)</f>
        <v>0</v>
      </c>
      <c r="AW44" s="67" t="s">
        <v>1241</v>
      </c>
    </row>
    <row r="45" spans="1:49" ht="46.8" x14ac:dyDescent="0.3">
      <c r="A45" s="243" t="s">
        <v>397</v>
      </c>
      <c r="B45" s="134" t="s">
        <v>398</v>
      </c>
      <c r="C45" s="64" t="s">
        <v>303</v>
      </c>
      <c r="D45" s="65" t="s">
        <v>18</v>
      </c>
      <c r="E45" s="84" t="s">
        <v>95</v>
      </c>
      <c r="F45" s="84" t="s">
        <v>156</v>
      </c>
      <c r="G45" s="125" t="s">
        <v>98</v>
      </c>
      <c r="H45" s="125">
        <v>4</v>
      </c>
      <c r="I45" s="128" t="s">
        <v>32</v>
      </c>
      <c r="J45" s="128">
        <v>4</v>
      </c>
      <c r="K45" s="130">
        <f t="shared" si="23"/>
        <v>8</v>
      </c>
      <c r="L45" s="65" t="s">
        <v>333</v>
      </c>
      <c r="M45" s="133" t="s">
        <v>119</v>
      </c>
      <c r="N45" s="133" t="s">
        <v>306</v>
      </c>
      <c r="O45" s="66" t="s">
        <v>541</v>
      </c>
      <c r="P45" s="68">
        <v>10</v>
      </c>
      <c r="Q45" s="81" t="str">
        <f t="shared" ref="Q45:Q63" si="26">IF(P45&gt;9.9,CONCATENATE("+",ROUNDDOWN((P45-10) / 2,0)),ROUNDUP((P45-10) / 2,0))</f>
        <v>+0</v>
      </c>
      <c r="R45" s="64">
        <v>11</v>
      </c>
      <c r="S45" s="81" t="str">
        <f t="shared" ref="S45:S63" si="27">IF(R45&gt;9.9,CONCATENATE("+",ROUNDDOWN((R45-10) / 2,0)),ROUNDUP((R45-10) / 2,0))</f>
        <v>+0</v>
      </c>
      <c r="T45" s="64">
        <v>10</v>
      </c>
      <c r="U45" s="81" t="str">
        <f t="shared" ref="U45:U63" si="28">IF(T45&gt;9.9,CONCATENATE("+",ROUNDDOWN((T45-10) / 2,0)),ROUNDUP((T45-10) / 2,0))</f>
        <v>+0</v>
      </c>
      <c r="V45" s="64">
        <v>19</v>
      </c>
      <c r="W45" s="81" t="str">
        <f t="shared" ref="W45:W54" si="29">IF(V45&gt;9.9,CONCATENATE("+",ROUNDDOWN((V45-10) / 2,0)),ROUNDUP((V45-10) / 2,0))</f>
        <v>+4</v>
      </c>
      <c r="X45" s="64">
        <v>13</v>
      </c>
      <c r="Y45" s="81" t="str">
        <f t="shared" ref="Y45:Y54" si="30">IF(X45&gt;9.9,CONCATENATE("+",ROUNDDOWN((X45-10) / 2,0)),ROUNDUP((X45-10) / 2,0))</f>
        <v>+1</v>
      </c>
      <c r="Z45" s="66">
        <v>10</v>
      </c>
      <c r="AA45" s="82" t="str">
        <f t="shared" ref="AA45:AA63" si="31">IF(Z45&gt;9.9,CONCATENATE("+",ROUNDDOWN((Z45-10) / 2,0)),ROUNDUP((Z45-10) / 2,0))</f>
        <v>+0</v>
      </c>
      <c r="AB45" s="69">
        <f t="shared" si="24"/>
        <v>12.166666666666666</v>
      </c>
      <c r="AC45" s="70" t="str">
        <f t="shared" si="25"/>
        <v>+0</v>
      </c>
      <c r="AD45" s="71">
        <f>ROUND($H45*VLOOKUP($G45,'NPC Generator'!$I$2:$R$43,4,FALSE)/10,0)+ROUND($J45*VLOOKUP($I45,'NPC Generator'!$I$2:$R$43,4,FALSE)/10,0)</f>
        <v>2</v>
      </c>
      <c r="AE45" s="72">
        <f t="shared" ref="AE45:AE63" si="32">IF(T45&gt;9.9,(ROUNDDOWN((T45-10) / 2,0)),ROUNDUP((T45-10) / 2,0))+AD45</f>
        <v>2</v>
      </c>
      <c r="AF45" s="73">
        <f>ROUND($H45*VLOOKUP($G45,'NPC Generator'!$I$2:$R$43,5,FALSE)/10,0)+ROUND($J45*VLOOKUP($I45,'NPC Generator'!$I$2:$R$43,5,FALSE)/10,0)</f>
        <v>3</v>
      </c>
      <c r="AG45" s="74">
        <f t="shared" ref="AG45:AG63" si="33">AF45+AC45</f>
        <v>3</v>
      </c>
      <c r="AH45" s="75">
        <f>ROUND($H45*VLOOKUP($G45,'NPC Generator'!$I$2:$R$43,6,FALSE)/10,0)+ROUND($J45*VLOOKUP($I45,'NPC Generator'!$I$2:$R$43,6,FALSE)/10,0)</f>
        <v>4</v>
      </c>
      <c r="AI45" s="76">
        <f t="shared" ref="AI45:AI63" si="34">IF(X45&gt;9.9,(ROUNDDOWN((X45-10) / 2,0)),ROUNDUP((X45-10) / 2,0))+AH45</f>
        <v>5</v>
      </c>
      <c r="AJ45" s="165">
        <f>ROUND($H45*VLOOKUP($G45,'NPC Generator'!$I$2:$R$43,3,FALSE)/10,0)+ROUND($J45*VLOOKUP($I45,'NPC Generator'!$I$2:$R$43,3,FALSE)/10,0)</f>
        <v>5</v>
      </c>
      <c r="AK45" s="68">
        <f>10+AC45+ROUND($H45*VLOOKUP($G45,'NPC Generator'!$I$2:$R$43,7,FALSE)/10,0)+ROUND($J45*VLOOKUP($I45,'NPC Generator'!$I$2:$R$43,7,FALSE)/10,0)</f>
        <v>13</v>
      </c>
      <c r="AL45" s="66">
        <f t="shared" si="12"/>
        <v>13</v>
      </c>
      <c r="AM45" s="66">
        <f t="shared" si="13"/>
        <v>13</v>
      </c>
      <c r="AN45" s="77">
        <f>$H45*(3+VLOOKUP($G45,'NPC Generator'!$I$2:$R$43,10,FALSE))+($J45*VLOOKUP($I45,'NPC Generator'!$I$2:$R$43,10,FALSE))+(U45*SUM(H45,J45))</f>
        <v>60</v>
      </c>
      <c r="AO45" s="78">
        <f>$H45*(3+VLOOKUP($G45,'NPC Generator'!$I$2:$R$43,9,FALSE))+($J45*VLOOKUP($I45,'NPC Generator'!$I$2:$R$43,9,FALSE))</f>
        <v>68</v>
      </c>
      <c r="AP45" s="163" t="s">
        <v>885</v>
      </c>
      <c r="AQ45" s="163" t="s">
        <v>730</v>
      </c>
      <c r="AR45" s="163" t="s">
        <v>772</v>
      </c>
      <c r="AS45" s="165" t="s">
        <v>922</v>
      </c>
      <c r="AT45" s="68" t="s">
        <v>1233</v>
      </c>
      <c r="AU45" s="64" t="s">
        <v>176</v>
      </c>
      <c r="AV45" s="66">
        <f>VLOOKUP($AU45,¡RefTables!$G$8:$H$22,2,FALSE)</f>
        <v>0</v>
      </c>
      <c r="AW45" s="67" t="s">
        <v>1254</v>
      </c>
    </row>
    <row r="46" spans="1:49" ht="46.8" x14ac:dyDescent="0.3">
      <c r="A46" s="242" t="s">
        <v>1202</v>
      </c>
      <c r="B46" s="134" t="s">
        <v>374</v>
      </c>
      <c r="C46" s="64" t="s">
        <v>303</v>
      </c>
      <c r="D46" s="65" t="s">
        <v>18</v>
      </c>
      <c r="E46" s="84" t="s">
        <v>95</v>
      </c>
      <c r="F46" s="84" t="s">
        <v>156</v>
      </c>
      <c r="G46" s="125" t="s">
        <v>101</v>
      </c>
      <c r="H46" s="125">
        <v>4</v>
      </c>
      <c r="I46" s="128" t="s">
        <v>719</v>
      </c>
      <c r="J46" s="128">
        <v>3</v>
      </c>
      <c r="K46" s="130">
        <f t="shared" si="23"/>
        <v>7</v>
      </c>
      <c r="L46" s="65" t="s">
        <v>329</v>
      </c>
      <c r="M46" s="133" t="s">
        <v>138</v>
      </c>
      <c r="N46" s="133" t="s">
        <v>149</v>
      </c>
      <c r="O46" s="66" t="s">
        <v>540</v>
      </c>
      <c r="P46" s="68">
        <v>14</v>
      </c>
      <c r="Q46" s="81" t="str">
        <f t="shared" si="26"/>
        <v>+2</v>
      </c>
      <c r="R46" s="64">
        <v>16</v>
      </c>
      <c r="S46" s="81" t="str">
        <f t="shared" si="27"/>
        <v>+3</v>
      </c>
      <c r="T46" s="64">
        <v>13</v>
      </c>
      <c r="U46" s="81" t="str">
        <f t="shared" si="28"/>
        <v>+1</v>
      </c>
      <c r="V46" s="64">
        <v>12</v>
      </c>
      <c r="W46" s="81" t="str">
        <f t="shared" si="29"/>
        <v>+1</v>
      </c>
      <c r="X46" s="64">
        <v>10</v>
      </c>
      <c r="Y46" s="81" t="str">
        <f t="shared" si="30"/>
        <v>+0</v>
      </c>
      <c r="Z46" s="66">
        <v>5</v>
      </c>
      <c r="AA46" s="82">
        <f t="shared" si="31"/>
        <v>-3</v>
      </c>
      <c r="AB46" s="69">
        <f t="shared" si="24"/>
        <v>11.666666666666666</v>
      </c>
      <c r="AC46" s="70" t="str">
        <f t="shared" si="25"/>
        <v>+3</v>
      </c>
      <c r="AD46" s="71">
        <f>ROUND($H46*VLOOKUP($G46,'NPC Generator'!$I$2:$R$43,4,FALSE)/10,0)+ROUND($J46*VLOOKUP($I46,'NPC Generator'!$I$2:$R$43,4,FALSE)/10,0)</f>
        <v>3</v>
      </c>
      <c r="AE46" s="72">
        <f t="shared" si="32"/>
        <v>4</v>
      </c>
      <c r="AF46" s="73">
        <f>ROUND($H46*VLOOKUP($G46,'NPC Generator'!$I$2:$R$43,5,FALSE)/10,0)+ROUND($J46*VLOOKUP($I46,'NPC Generator'!$I$2:$R$43,5,FALSE)/10,0)</f>
        <v>4</v>
      </c>
      <c r="AG46" s="74">
        <f t="shared" si="33"/>
        <v>7</v>
      </c>
      <c r="AH46" s="75">
        <f>ROUND($H46*VLOOKUP($G46,'NPC Generator'!$I$2:$R$43,6,FALSE)/10,0)+ROUND($J46*VLOOKUP($I46,'NPC Generator'!$I$2:$R$43,6,FALSE)/10,0)</f>
        <v>2</v>
      </c>
      <c r="AI46" s="76">
        <f t="shared" si="34"/>
        <v>2</v>
      </c>
      <c r="AJ46" s="165">
        <f>ROUND($H46*VLOOKUP($G46,'NPC Generator'!$I$2:$R$43,3,FALSE)/10,0)+ROUND($J46*VLOOKUP($I46,'NPC Generator'!$I$2:$R$43,3,FALSE)/10,0)</f>
        <v>5</v>
      </c>
      <c r="AK46" s="68">
        <f>10+AC46+ROUND($H46*VLOOKUP($G46,'NPC Generator'!$I$2:$R$43,7,FALSE)/10,0)+ROUND($J46*VLOOKUP($I46,'NPC Generator'!$I$2:$R$43,7,FALSE)/10,0)</f>
        <v>18</v>
      </c>
      <c r="AL46" s="66">
        <f t="shared" si="12"/>
        <v>17</v>
      </c>
      <c r="AM46" s="66">
        <f t="shared" si="13"/>
        <v>20</v>
      </c>
      <c r="AN46" s="77">
        <f>$H46*(3+VLOOKUP($G46,'NPC Generator'!$I$2:$R$43,10,FALSE))+($J46*VLOOKUP($I46,'NPC Generator'!$I$2:$R$43,10,FALSE))+(U46*SUM(H46,J46))</f>
        <v>75</v>
      </c>
      <c r="AO46" s="78">
        <f>$H46*(3+VLOOKUP($G46,'NPC Generator'!$I$2:$R$43,9,FALSE))+($J46*VLOOKUP($I46,'NPC Generator'!$I$2:$R$43,9,FALSE))</f>
        <v>47</v>
      </c>
      <c r="AP46" s="163" t="s">
        <v>920</v>
      </c>
      <c r="AQ46" s="163" t="s">
        <v>727</v>
      </c>
      <c r="AR46" s="163" t="s">
        <v>757</v>
      </c>
      <c r="AS46" s="165" t="s">
        <v>818</v>
      </c>
      <c r="AT46" s="68" t="s">
        <v>1150</v>
      </c>
      <c r="AU46" s="64" t="s">
        <v>1182</v>
      </c>
      <c r="AV46" s="66">
        <f>VLOOKUP($AU46,¡RefTables!$G$8:$H$22,2,FALSE)</f>
        <v>2</v>
      </c>
      <c r="AW46" s="67" t="s">
        <v>1198</v>
      </c>
    </row>
    <row r="47" spans="1:49" ht="62.4" x14ac:dyDescent="0.3">
      <c r="A47" s="242" t="s">
        <v>367</v>
      </c>
      <c r="B47" s="134" t="s">
        <v>368</v>
      </c>
      <c r="C47" s="64" t="s">
        <v>303</v>
      </c>
      <c r="D47" s="65" t="s">
        <v>18</v>
      </c>
      <c r="E47" s="132" t="s">
        <v>232</v>
      </c>
      <c r="F47" s="132" t="s">
        <v>153</v>
      </c>
      <c r="G47" s="125" t="s">
        <v>98</v>
      </c>
      <c r="H47" s="125">
        <v>4</v>
      </c>
      <c r="I47" s="128" t="s">
        <v>32</v>
      </c>
      <c r="J47" s="128">
        <v>6</v>
      </c>
      <c r="K47" s="130">
        <f t="shared" si="23"/>
        <v>10</v>
      </c>
      <c r="L47" s="65" t="s">
        <v>331</v>
      </c>
      <c r="M47" s="133" t="s">
        <v>127</v>
      </c>
      <c r="N47" s="133" t="s">
        <v>148</v>
      </c>
      <c r="O47" s="64" t="s">
        <v>960</v>
      </c>
      <c r="P47" s="68">
        <v>10</v>
      </c>
      <c r="Q47" s="81" t="str">
        <f t="shared" si="26"/>
        <v>+0</v>
      </c>
      <c r="R47" s="64">
        <v>11</v>
      </c>
      <c r="S47" s="81" t="str">
        <f t="shared" si="27"/>
        <v>+0</v>
      </c>
      <c r="T47" s="64">
        <v>10</v>
      </c>
      <c r="U47" s="81" t="str">
        <f t="shared" si="28"/>
        <v>+0</v>
      </c>
      <c r="V47" s="64">
        <v>17</v>
      </c>
      <c r="W47" s="81" t="str">
        <f t="shared" si="29"/>
        <v>+3</v>
      </c>
      <c r="X47" s="64">
        <v>15</v>
      </c>
      <c r="Y47" s="81" t="str">
        <f t="shared" si="30"/>
        <v>+2</v>
      </c>
      <c r="Z47" s="66">
        <v>14</v>
      </c>
      <c r="AA47" s="82" t="str">
        <f t="shared" si="31"/>
        <v>+2</v>
      </c>
      <c r="AB47" s="69">
        <f t="shared" si="24"/>
        <v>12.833333333333334</v>
      </c>
      <c r="AC47" s="70" t="str">
        <f t="shared" si="25"/>
        <v>+0</v>
      </c>
      <c r="AD47" s="71">
        <f>ROUND($H47*VLOOKUP($G47,'NPC Generator'!$I$2:$R$43,4,FALSE)/10,0)+ROUND($J47*VLOOKUP($I47,'NPC Generator'!$I$2:$R$43,4,FALSE)/10,0)</f>
        <v>3</v>
      </c>
      <c r="AE47" s="72">
        <f t="shared" si="32"/>
        <v>3</v>
      </c>
      <c r="AF47" s="73">
        <f>ROUND($H47*VLOOKUP($G47,'NPC Generator'!$I$2:$R$43,5,FALSE)/10,0)+ROUND($J47*VLOOKUP($I47,'NPC Generator'!$I$2:$R$43,5,FALSE)/10,0)</f>
        <v>4</v>
      </c>
      <c r="AG47" s="74">
        <f t="shared" si="33"/>
        <v>4</v>
      </c>
      <c r="AH47" s="75">
        <f>ROUND($H47*VLOOKUP($G47,'NPC Generator'!$I$2:$R$43,6,FALSE)/10,0)+ROUND($J47*VLOOKUP($I47,'NPC Generator'!$I$2:$R$43,6,FALSE)/10,0)</f>
        <v>5</v>
      </c>
      <c r="AI47" s="76">
        <f t="shared" si="34"/>
        <v>7</v>
      </c>
      <c r="AJ47" s="165">
        <f>ROUND($H47*VLOOKUP($G47,'NPC Generator'!$I$2:$R$43,3,FALSE)/10,0)+ROUND($J47*VLOOKUP($I47,'NPC Generator'!$I$2:$R$43,3,FALSE)/10,0)</f>
        <v>6</v>
      </c>
      <c r="AK47" s="68">
        <f>10+AC47+ROUND($H47*VLOOKUP($G47,'NPC Generator'!$I$2:$R$43,7,FALSE)/10,0)+ROUND($J47*VLOOKUP($I47,'NPC Generator'!$I$2:$R$43,7,FALSE)/10,0)</f>
        <v>14</v>
      </c>
      <c r="AL47" s="66">
        <f t="shared" si="12"/>
        <v>15</v>
      </c>
      <c r="AM47" s="66">
        <f t="shared" si="13"/>
        <v>15</v>
      </c>
      <c r="AN47" s="77">
        <f>$H47*(3+VLOOKUP($G47,'NPC Generator'!$I$2:$R$43,10,FALSE))+($J47*VLOOKUP($I47,'NPC Generator'!$I$2:$R$43,10,FALSE))+(U47*SUM(H47,J47))</f>
        <v>72</v>
      </c>
      <c r="AO47" s="78">
        <f>$H47*(3+VLOOKUP($G47,'NPC Generator'!$I$2:$R$43,9,FALSE))+($J47*VLOOKUP($I47,'NPC Generator'!$I$2:$R$43,9,FALSE))</f>
        <v>78</v>
      </c>
      <c r="AP47" s="163" t="s">
        <v>897</v>
      </c>
      <c r="AQ47" s="163" t="s">
        <v>730</v>
      </c>
      <c r="AR47" s="163" t="s">
        <v>782</v>
      </c>
      <c r="AS47" s="165" t="s">
        <v>843</v>
      </c>
      <c r="AT47" s="68" t="s">
        <v>1169</v>
      </c>
      <c r="AU47" s="64" t="s">
        <v>1181</v>
      </c>
      <c r="AV47" s="66">
        <f>VLOOKUP($AU47,¡RefTables!$G$8:$H$22,2,FALSE)</f>
        <v>1</v>
      </c>
      <c r="AW47" s="67" t="s">
        <v>1220</v>
      </c>
    </row>
    <row r="48" spans="1:49" ht="46.8" x14ac:dyDescent="0.3">
      <c r="A48" s="242" t="s">
        <v>356</v>
      </c>
      <c r="B48" s="134" t="s">
        <v>357</v>
      </c>
      <c r="C48" s="64" t="s">
        <v>105</v>
      </c>
      <c r="D48" s="65" t="s">
        <v>21</v>
      </c>
      <c r="E48" s="132" t="s">
        <v>232</v>
      </c>
      <c r="F48" s="132" t="s">
        <v>153</v>
      </c>
      <c r="G48" s="125" t="s">
        <v>99</v>
      </c>
      <c r="H48" s="125">
        <v>4</v>
      </c>
      <c r="I48" s="128" t="s">
        <v>26</v>
      </c>
      <c r="J48" s="128">
        <v>5</v>
      </c>
      <c r="K48" s="130">
        <f t="shared" si="23"/>
        <v>9</v>
      </c>
      <c r="L48" s="65" t="s">
        <v>313</v>
      </c>
      <c r="M48" s="133" t="s">
        <v>136</v>
      </c>
      <c r="N48" s="133" t="s">
        <v>104</v>
      </c>
      <c r="O48" s="66" t="s">
        <v>543</v>
      </c>
      <c r="P48" s="68">
        <v>9</v>
      </c>
      <c r="Q48" s="81">
        <f t="shared" si="26"/>
        <v>-1</v>
      </c>
      <c r="R48" s="64">
        <v>13</v>
      </c>
      <c r="S48" s="81" t="str">
        <f t="shared" si="27"/>
        <v>+1</v>
      </c>
      <c r="T48" s="64">
        <v>12</v>
      </c>
      <c r="U48" s="81" t="str">
        <f t="shared" si="28"/>
        <v>+1</v>
      </c>
      <c r="V48" s="64">
        <v>14</v>
      </c>
      <c r="W48" s="81" t="str">
        <f t="shared" si="29"/>
        <v>+2</v>
      </c>
      <c r="X48" s="64">
        <v>15</v>
      </c>
      <c r="Y48" s="81" t="str">
        <f t="shared" si="30"/>
        <v>+2</v>
      </c>
      <c r="Z48" s="66">
        <v>17</v>
      </c>
      <c r="AA48" s="82" t="str">
        <f t="shared" si="31"/>
        <v>+3</v>
      </c>
      <c r="AB48" s="69">
        <f t="shared" si="24"/>
        <v>13.333333333333334</v>
      </c>
      <c r="AC48" s="70" t="str">
        <f t="shared" si="25"/>
        <v>+1</v>
      </c>
      <c r="AD48" s="71">
        <f>ROUND($H48*VLOOKUP($G48,'NPC Generator'!$I$2:$R$43,4,FALSE)/10,0)+ROUND($J48*VLOOKUP($I48,'NPC Generator'!$I$2:$R$43,4,FALSE)/10,0)</f>
        <v>4</v>
      </c>
      <c r="AE48" s="72">
        <f t="shared" si="32"/>
        <v>5</v>
      </c>
      <c r="AF48" s="73">
        <f>ROUND($H48*VLOOKUP($G48,'NPC Generator'!$I$2:$R$43,5,FALSE)/10,0)+ROUND($J48*VLOOKUP($I48,'NPC Generator'!$I$2:$R$43,5,FALSE)/10,0)</f>
        <v>6</v>
      </c>
      <c r="AG48" s="74">
        <f t="shared" si="33"/>
        <v>7</v>
      </c>
      <c r="AH48" s="75">
        <f>ROUND($H48*VLOOKUP($G48,'NPC Generator'!$I$2:$R$43,6,FALSE)/10,0)+ROUND($J48*VLOOKUP($I48,'NPC Generator'!$I$2:$R$43,6,FALSE)/10,0)</f>
        <v>3</v>
      </c>
      <c r="AI48" s="76">
        <f t="shared" si="34"/>
        <v>5</v>
      </c>
      <c r="AJ48" s="165">
        <f>ROUND($H48*VLOOKUP($G48,'NPC Generator'!$I$2:$R$43,3,FALSE)/10,0)+ROUND($J48*VLOOKUP($I48,'NPC Generator'!$I$2:$R$43,3,FALSE)/10,0)</f>
        <v>5</v>
      </c>
      <c r="AK48" s="68">
        <f>10+AC48+ROUND($H48*VLOOKUP($G48,'NPC Generator'!$I$2:$R$43,7,FALSE)/10,0)+ROUND($J48*VLOOKUP($I48,'NPC Generator'!$I$2:$R$43,7,FALSE)/10,0)</f>
        <v>16</v>
      </c>
      <c r="AL48" s="66">
        <f t="shared" si="12"/>
        <v>17</v>
      </c>
      <c r="AM48" s="66">
        <f t="shared" si="13"/>
        <v>18</v>
      </c>
      <c r="AN48" s="77">
        <f>$H48*(3+VLOOKUP($G48,'NPC Generator'!$I$2:$R$43,10,FALSE))+($J48*VLOOKUP($I48,'NPC Generator'!$I$2:$R$43,10,FALSE))+(U48*SUM(H48,J48))</f>
        <v>85</v>
      </c>
      <c r="AO48" s="78">
        <f>$H48*(3+VLOOKUP($G48,'NPC Generator'!$I$2:$R$43,9,FALSE))+($J48*VLOOKUP($I48,'NPC Generator'!$I$2:$R$43,9,FALSE))</f>
        <v>75</v>
      </c>
      <c r="AP48" s="163" t="s">
        <v>899</v>
      </c>
      <c r="AQ48" s="163" t="s">
        <v>732</v>
      </c>
      <c r="AR48" s="163" t="s">
        <v>806</v>
      </c>
      <c r="AS48" s="165" t="s">
        <v>842</v>
      </c>
      <c r="AT48" s="68" t="s">
        <v>1134</v>
      </c>
      <c r="AU48" s="64" t="s">
        <v>1183</v>
      </c>
      <c r="AV48" s="66">
        <f>VLOOKUP($AU48,¡RefTables!$G$8:$H$22,2,FALSE)</f>
        <v>2</v>
      </c>
      <c r="AW48" s="67" t="s">
        <v>1207</v>
      </c>
    </row>
    <row r="49" spans="1:49" ht="46.8" x14ac:dyDescent="0.3">
      <c r="A49" s="243" t="s">
        <v>371</v>
      </c>
      <c r="B49" s="135" t="s">
        <v>372</v>
      </c>
      <c r="C49" s="64" t="s">
        <v>105</v>
      </c>
      <c r="D49" s="65" t="s">
        <v>20</v>
      </c>
      <c r="E49" s="131" t="s">
        <v>232</v>
      </c>
      <c r="F49" s="132" t="s">
        <v>153</v>
      </c>
      <c r="G49" s="125" t="s">
        <v>101</v>
      </c>
      <c r="H49" s="125">
        <v>4</v>
      </c>
      <c r="I49" s="128" t="s">
        <v>36</v>
      </c>
      <c r="J49" s="128">
        <v>4</v>
      </c>
      <c r="K49" s="130">
        <f t="shared" si="23"/>
        <v>8</v>
      </c>
      <c r="L49" s="65" t="s">
        <v>324</v>
      </c>
      <c r="M49" s="133" t="s">
        <v>133</v>
      </c>
      <c r="N49" s="133" t="s">
        <v>149</v>
      </c>
      <c r="O49" s="66" t="s">
        <v>531</v>
      </c>
      <c r="P49" s="68">
        <v>12</v>
      </c>
      <c r="Q49" s="81" t="str">
        <f t="shared" si="26"/>
        <v>+1</v>
      </c>
      <c r="R49" s="64">
        <v>17</v>
      </c>
      <c r="S49" s="81" t="str">
        <f t="shared" si="27"/>
        <v>+3</v>
      </c>
      <c r="T49" s="64">
        <v>10</v>
      </c>
      <c r="U49" s="81" t="str">
        <f t="shared" si="28"/>
        <v>+0</v>
      </c>
      <c r="V49" s="64">
        <v>15</v>
      </c>
      <c r="W49" s="81" t="str">
        <f t="shared" si="29"/>
        <v>+2</v>
      </c>
      <c r="X49" s="64">
        <v>13</v>
      </c>
      <c r="Y49" s="81" t="str">
        <f t="shared" si="30"/>
        <v>+1</v>
      </c>
      <c r="Z49" s="66">
        <v>11</v>
      </c>
      <c r="AA49" s="82" t="str">
        <f t="shared" si="31"/>
        <v>+0</v>
      </c>
      <c r="AB49" s="69">
        <f t="shared" si="24"/>
        <v>13</v>
      </c>
      <c r="AC49" s="70" t="str">
        <f t="shared" si="25"/>
        <v>+3</v>
      </c>
      <c r="AD49" s="71">
        <f>ROUND($H49*VLOOKUP($G49,'NPC Generator'!$I$2:$R$43,4,FALSE)/10,0)+ROUND($J49*VLOOKUP($I49,'NPC Generator'!$I$2:$R$43,4,FALSE)/10,0)</f>
        <v>2</v>
      </c>
      <c r="AE49" s="72">
        <f t="shared" si="32"/>
        <v>2</v>
      </c>
      <c r="AF49" s="73">
        <f>ROUND($H49*VLOOKUP($G49,'NPC Generator'!$I$2:$R$43,5,FALSE)/10,0)+ROUND($J49*VLOOKUP($I49,'NPC Generator'!$I$2:$R$43,5,FALSE)/10,0)</f>
        <v>5</v>
      </c>
      <c r="AG49" s="74">
        <f t="shared" si="33"/>
        <v>8</v>
      </c>
      <c r="AH49" s="75">
        <f>ROUND($H49*VLOOKUP($G49,'NPC Generator'!$I$2:$R$43,6,FALSE)/10,0)+ROUND($J49*VLOOKUP($I49,'NPC Generator'!$I$2:$R$43,6,FALSE)/10,0)</f>
        <v>2</v>
      </c>
      <c r="AI49" s="76">
        <f t="shared" si="34"/>
        <v>3</v>
      </c>
      <c r="AJ49" s="165">
        <f>ROUND($H49*VLOOKUP($G49,'NPC Generator'!$I$2:$R$43,3,FALSE)/10,0)+ROUND($J49*VLOOKUP($I49,'NPC Generator'!$I$2:$R$43,3,FALSE)/10,0)</f>
        <v>6</v>
      </c>
      <c r="AK49" s="68">
        <f>10+AC49+ROUND($H49*VLOOKUP($G49,'NPC Generator'!$I$2:$R$43,7,FALSE)/10,0)+ROUND($J49*VLOOKUP($I49,'NPC Generator'!$I$2:$R$43,7,FALSE)/10,0)</f>
        <v>18</v>
      </c>
      <c r="AL49" s="66">
        <f t="shared" si="12"/>
        <v>17</v>
      </c>
      <c r="AM49" s="66">
        <f t="shared" si="13"/>
        <v>20</v>
      </c>
      <c r="AN49" s="77">
        <f>$H49*(3+VLOOKUP($G49,'NPC Generator'!$I$2:$R$43,10,FALSE))+($J49*VLOOKUP($I49,'NPC Generator'!$I$2:$R$43,10,FALSE))+(U49*SUM(H49,J49))</f>
        <v>76</v>
      </c>
      <c r="AO49" s="78">
        <f>$H49*(3+VLOOKUP($G49,'NPC Generator'!$I$2:$R$43,9,FALSE))+($J49*VLOOKUP($I49,'NPC Generator'!$I$2:$R$43,9,FALSE))</f>
        <v>52</v>
      </c>
      <c r="AP49" s="163" t="s">
        <v>891</v>
      </c>
      <c r="AQ49" s="163" t="s">
        <v>727</v>
      </c>
      <c r="AR49" s="163" t="s">
        <v>747</v>
      </c>
      <c r="AS49" s="165" t="s">
        <v>844</v>
      </c>
      <c r="AT49" s="68" t="s">
        <v>1164</v>
      </c>
      <c r="AU49" s="64" t="s">
        <v>1183</v>
      </c>
      <c r="AV49" s="66">
        <f>VLOOKUP($AU49,¡RefTables!$G$8:$H$22,2,FALSE)</f>
        <v>2</v>
      </c>
      <c r="AW49" s="67" t="s">
        <v>1209</v>
      </c>
    </row>
    <row r="50" spans="1:49" ht="46.8" x14ac:dyDescent="0.3">
      <c r="A50" s="243" t="s">
        <v>373</v>
      </c>
      <c r="B50" s="135" t="s">
        <v>455</v>
      </c>
      <c r="C50" s="64" t="s">
        <v>106</v>
      </c>
      <c r="D50" s="65" t="s">
        <v>19</v>
      </c>
      <c r="E50" s="132" t="s">
        <v>232</v>
      </c>
      <c r="F50" s="132" t="s">
        <v>153</v>
      </c>
      <c r="G50" s="125" t="s">
        <v>98</v>
      </c>
      <c r="H50" s="125">
        <v>4</v>
      </c>
      <c r="I50" s="128" t="s">
        <v>45</v>
      </c>
      <c r="J50" s="128">
        <v>4</v>
      </c>
      <c r="K50" s="130">
        <f t="shared" si="23"/>
        <v>8</v>
      </c>
      <c r="L50" s="65" t="s">
        <v>313</v>
      </c>
      <c r="M50" s="133" t="s">
        <v>138</v>
      </c>
      <c r="N50" s="133" t="s">
        <v>306</v>
      </c>
      <c r="O50" s="66" t="s">
        <v>542</v>
      </c>
      <c r="P50" s="68">
        <v>9</v>
      </c>
      <c r="Q50" s="81">
        <f t="shared" si="26"/>
        <v>-1</v>
      </c>
      <c r="R50" s="64">
        <v>9</v>
      </c>
      <c r="S50" s="81">
        <f t="shared" si="27"/>
        <v>-1</v>
      </c>
      <c r="T50" s="64">
        <v>9</v>
      </c>
      <c r="U50" s="81">
        <f t="shared" si="28"/>
        <v>-1</v>
      </c>
      <c r="V50" s="64">
        <v>18</v>
      </c>
      <c r="W50" s="81" t="str">
        <f t="shared" si="29"/>
        <v>+4</v>
      </c>
      <c r="X50" s="64">
        <v>15</v>
      </c>
      <c r="Y50" s="81" t="str">
        <f t="shared" si="30"/>
        <v>+2</v>
      </c>
      <c r="Z50" s="66">
        <v>11</v>
      </c>
      <c r="AA50" s="82" t="str">
        <f t="shared" si="31"/>
        <v>+0</v>
      </c>
      <c r="AB50" s="69">
        <f t="shared" si="24"/>
        <v>11.833333333333334</v>
      </c>
      <c r="AC50" s="70">
        <f t="shared" si="25"/>
        <v>-1</v>
      </c>
      <c r="AD50" s="71">
        <f>ROUND($H50*VLOOKUP($G50,'NPC Generator'!$I$2:$R$43,4,FALSE)/10,0)+ROUND($J50*VLOOKUP($I50,'NPC Generator'!$I$2:$R$43,4,FALSE)/10,0)</f>
        <v>2</v>
      </c>
      <c r="AE50" s="72">
        <f t="shared" si="32"/>
        <v>1</v>
      </c>
      <c r="AF50" s="73">
        <f>ROUND($H50*VLOOKUP($G50,'NPC Generator'!$I$2:$R$43,5,FALSE)/10,0)+ROUND($J50*VLOOKUP($I50,'NPC Generator'!$I$2:$R$43,5,FALSE)/10,0)</f>
        <v>4</v>
      </c>
      <c r="AG50" s="74">
        <f t="shared" si="33"/>
        <v>3</v>
      </c>
      <c r="AH50" s="75">
        <f>ROUND($H50*VLOOKUP($G50,'NPC Generator'!$I$2:$R$43,6,FALSE)/10,0)+ROUND($J50*VLOOKUP($I50,'NPC Generator'!$I$2:$R$43,6,FALSE)/10,0)</f>
        <v>3</v>
      </c>
      <c r="AI50" s="76">
        <f t="shared" si="34"/>
        <v>5</v>
      </c>
      <c r="AJ50" s="165">
        <f>ROUND($H50*VLOOKUP($G50,'NPC Generator'!$I$2:$R$43,3,FALSE)/10,0)+ROUND($J50*VLOOKUP($I50,'NPC Generator'!$I$2:$R$43,3,FALSE)/10,0)</f>
        <v>6</v>
      </c>
      <c r="AK50" s="68">
        <f>10+AC50+ROUND($H50*VLOOKUP($G50,'NPC Generator'!$I$2:$R$43,7,FALSE)/10,0)+ROUND($J50*VLOOKUP($I50,'NPC Generator'!$I$2:$R$43,7,FALSE)/10,0)</f>
        <v>12</v>
      </c>
      <c r="AL50" s="66">
        <f t="shared" si="12"/>
        <v>15</v>
      </c>
      <c r="AM50" s="66">
        <f t="shared" si="13"/>
        <v>14</v>
      </c>
      <c r="AN50" s="77">
        <f>$H50*(3+VLOOKUP($G50,'NPC Generator'!$I$2:$R$43,10,FALSE))+($J50*VLOOKUP($I50,'NPC Generator'!$I$2:$R$43,10,FALSE))+(U50*SUM(H50,J50))</f>
        <v>60</v>
      </c>
      <c r="AO50" s="78">
        <f>$H50*(3+VLOOKUP($G50,'NPC Generator'!$I$2:$R$43,9,FALSE))+($J50*VLOOKUP($I50,'NPC Generator'!$I$2:$R$43,9,FALSE))</f>
        <v>68</v>
      </c>
      <c r="AP50" s="163" t="s">
        <v>905</v>
      </c>
      <c r="AQ50" s="163" t="s">
        <v>730</v>
      </c>
      <c r="AR50" s="163" t="s">
        <v>773</v>
      </c>
      <c r="AS50" s="165" t="s">
        <v>939</v>
      </c>
      <c r="AT50" s="68" t="s">
        <v>1234</v>
      </c>
      <c r="AU50" s="64" t="s">
        <v>1183</v>
      </c>
      <c r="AV50" s="66">
        <f>VLOOKUP($AU50,¡RefTables!$G$8:$H$22,2,FALSE)</f>
        <v>2</v>
      </c>
      <c r="AW50" s="67" t="s">
        <v>1215</v>
      </c>
    </row>
    <row r="51" spans="1:49" ht="46.8" x14ac:dyDescent="0.3">
      <c r="A51" s="243" t="s">
        <v>369</v>
      </c>
      <c r="B51" s="135" t="s">
        <v>370</v>
      </c>
      <c r="C51" s="64" t="s">
        <v>106</v>
      </c>
      <c r="D51" s="65" t="s">
        <v>19</v>
      </c>
      <c r="E51" s="132" t="s">
        <v>232</v>
      </c>
      <c r="F51" s="132" t="s">
        <v>153</v>
      </c>
      <c r="G51" s="125" t="s">
        <v>98</v>
      </c>
      <c r="H51" s="125">
        <v>4</v>
      </c>
      <c r="I51" s="128" t="s">
        <v>716</v>
      </c>
      <c r="J51" s="128">
        <v>3</v>
      </c>
      <c r="K51" s="130">
        <f t="shared" si="23"/>
        <v>7</v>
      </c>
      <c r="L51" s="65" t="s">
        <v>313</v>
      </c>
      <c r="M51" s="133" t="s">
        <v>137</v>
      </c>
      <c r="N51" s="133" t="s">
        <v>304</v>
      </c>
      <c r="O51" s="66" t="s">
        <v>544</v>
      </c>
      <c r="P51" s="68">
        <v>11</v>
      </c>
      <c r="Q51" s="81" t="str">
        <f t="shared" si="26"/>
        <v>+0</v>
      </c>
      <c r="R51" s="64">
        <v>13</v>
      </c>
      <c r="S51" s="81" t="str">
        <f t="shared" si="27"/>
        <v>+1</v>
      </c>
      <c r="T51" s="64">
        <v>11</v>
      </c>
      <c r="U51" s="81" t="str">
        <f t="shared" si="28"/>
        <v>+0</v>
      </c>
      <c r="V51" s="64">
        <v>16</v>
      </c>
      <c r="W51" s="81" t="str">
        <f t="shared" si="29"/>
        <v>+3</v>
      </c>
      <c r="X51" s="64">
        <v>12</v>
      </c>
      <c r="Y51" s="81" t="str">
        <f t="shared" si="30"/>
        <v>+1</v>
      </c>
      <c r="Z51" s="66">
        <v>9</v>
      </c>
      <c r="AA51" s="82">
        <f t="shared" si="31"/>
        <v>-1</v>
      </c>
      <c r="AB51" s="69">
        <f t="shared" si="24"/>
        <v>12</v>
      </c>
      <c r="AC51" s="70" t="str">
        <f t="shared" si="25"/>
        <v>+1</v>
      </c>
      <c r="AD51" s="71">
        <f>ROUND($H51*VLOOKUP($G51,'NPC Generator'!$I$2:$R$43,4,FALSE)/10,0)+ROUND($J51*VLOOKUP($I51,'NPC Generator'!$I$2:$R$43,4,FALSE)/10,0)</f>
        <v>2</v>
      </c>
      <c r="AE51" s="72">
        <f t="shared" si="32"/>
        <v>2</v>
      </c>
      <c r="AF51" s="73">
        <f>ROUND($H51*VLOOKUP($G51,'NPC Generator'!$I$2:$R$43,5,FALSE)/10,0)+ROUND($J51*VLOOKUP($I51,'NPC Generator'!$I$2:$R$43,5,FALSE)/10,0)</f>
        <v>2</v>
      </c>
      <c r="AG51" s="74">
        <f t="shared" si="33"/>
        <v>3</v>
      </c>
      <c r="AH51" s="75">
        <f>ROUND($H51*VLOOKUP($G51,'NPC Generator'!$I$2:$R$43,6,FALSE)/10,0)+ROUND($J51*VLOOKUP($I51,'NPC Generator'!$I$2:$R$43,6,FALSE)/10,0)</f>
        <v>4</v>
      </c>
      <c r="AI51" s="76">
        <f t="shared" si="34"/>
        <v>5</v>
      </c>
      <c r="AJ51" s="165">
        <f>ROUND($H51*VLOOKUP($G51,'NPC Generator'!$I$2:$R$43,3,FALSE)/10,0)+ROUND($J51*VLOOKUP($I51,'NPC Generator'!$I$2:$R$43,3,FALSE)/10,0)</f>
        <v>4</v>
      </c>
      <c r="AK51" s="68">
        <f>10+AC51+ROUND($H51*VLOOKUP($G51,'NPC Generator'!$I$2:$R$43,7,FALSE)/10,0)+ROUND($J51*VLOOKUP($I51,'NPC Generator'!$I$2:$R$43,7,FALSE)/10,0)</f>
        <v>14</v>
      </c>
      <c r="AL51" s="66">
        <f t="shared" si="12"/>
        <v>14</v>
      </c>
      <c r="AM51" s="66">
        <f t="shared" si="13"/>
        <v>15</v>
      </c>
      <c r="AN51" s="77">
        <f>$H51*(3+VLOOKUP($G51,'NPC Generator'!$I$2:$R$43,10,FALSE))+($J51*VLOOKUP($I51,'NPC Generator'!$I$2:$R$43,10,FALSE))+(U51*SUM(H51,J51))</f>
        <v>54</v>
      </c>
      <c r="AO51" s="78">
        <f>$H51*(3+VLOOKUP($G51,'NPC Generator'!$I$2:$R$43,9,FALSE))+($J51*VLOOKUP($I51,'NPC Generator'!$I$2:$R$43,9,FALSE))</f>
        <v>69</v>
      </c>
      <c r="AP51" s="163" t="s">
        <v>882</v>
      </c>
      <c r="AQ51" s="163" t="s">
        <v>730</v>
      </c>
      <c r="AR51" s="163" t="s">
        <v>781</v>
      </c>
      <c r="AS51" s="165" t="s">
        <v>843</v>
      </c>
      <c r="AT51" s="68" t="s">
        <v>1152</v>
      </c>
      <c r="AU51" s="64" t="s">
        <v>1181</v>
      </c>
      <c r="AV51" s="66">
        <f>VLOOKUP($AU51,¡RefTables!$G$8:$H$22,2,FALSE)</f>
        <v>1</v>
      </c>
      <c r="AW51" s="67" t="s">
        <v>1216</v>
      </c>
    </row>
    <row r="52" spans="1:49" ht="46.8" x14ac:dyDescent="0.3">
      <c r="A52" s="243" t="s">
        <v>352</v>
      </c>
      <c r="B52" s="135" t="s">
        <v>468</v>
      </c>
      <c r="C52" s="64" t="s">
        <v>303</v>
      </c>
      <c r="D52" s="65" t="s">
        <v>18</v>
      </c>
      <c r="E52" s="122" t="s">
        <v>349</v>
      </c>
      <c r="F52" s="122" t="s">
        <v>351</v>
      </c>
      <c r="G52" s="125" t="s">
        <v>100</v>
      </c>
      <c r="H52" s="125">
        <v>4</v>
      </c>
      <c r="I52" s="128" t="s">
        <v>34</v>
      </c>
      <c r="J52" s="128">
        <v>6</v>
      </c>
      <c r="K52" s="130">
        <f t="shared" si="23"/>
        <v>10</v>
      </c>
      <c r="L52" s="65" t="s">
        <v>313</v>
      </c>
      <c r="M52" s="133" t="s">
        <v>124</v>
      </c>
      <c r="N52" s="133" t="s">
        <v>148</v>
      </c>
      <c r="O52" s="66" t="s">
        <v>545</v>
      </c>
      <c r="P52" s="68">
        <v>12</v>
      </c>
      <c r="Q52" s="81" t="str">
        <f t="shared" si="26"/>
        <v>+1</v>
      </c>
      <c r="R52" s="64">
        <v>10</v>
      </c>
      <c r="S52" s="81" t="str">
        <f t="shared" si="27"/>
        <v>+0</v>
      </c>
      <c r="T52" s="64">
        <v>12</v>
      </c>
      <c r="U52" s="81" t="str">
        <f t="shared" si="28"/>
        <v>+1</v>
      </c>
      <c r="V52" s="64">
        <v>13</v>
      </c>
      <c r="W52" s="81" t="str">
        <f t="shared" si="29"/>
        <v>+1</v>
      </c>
      <c r="X52" s="64">
        <v>16</v>
      </c>
      <c r="Y52" s="81" t="str">
        <f t="shared" si="30"/>
        <v>+3</v>
      </c>
      <c r="Z52" s="66">
        <v>19</v>
      </c>
      <c r="AA52" s="82" t="str">
        <f t="shared" si="31"/>
        <v>+4</v>
      </c>
      <c r="AB52" s="69">
        <f t="shared" si="24"/>
        <v>13.666666666666666</v>
      </c>
      <c r="AC52" s="70" t="str">
        <f t="shared" si="25"/>
        <v>+0</v>
      </c>
      <c r="AD52" s="71">
        <f>ROUND($H52*VLOOKUP($G52,'NPC Generator'!$I$2:$R$43,4,FALSE)/10,0)+ROUND($J52*VLOOKUP($I52,'NPC Generator'!$I$2:$R$43,4,FALSE)/10,0)</f>
        <v>5</v>
      </c>
      <c r="AE52" s="72">
        <f t="shared" si="32"/>
        <v>6</v>
      </c>
      <c r="AF52" s="73">
        <f>ROUND($H52*VLOOKUP($G52,'NPC Generator'!$I$2:$R$43,5,FALSE)/10,0)+ROUND($J52*VLOOKUP($I52,'NPC Generator'!$I$2:$R$43,5,FALSE)/10,0)</f>
        <v>3</v>
      </c>
      <c r="AG52" s="74">
        <f t="shared" si="33"/>
        <v>3</v>
      </c>
      <c r="AH52" s="75">
        <f>ROUND($H52*VLOOKUP($G52,'NPC Generator'!$I$2:$R$43,6,FALSE)/10,0)+ROUND($J52*VLOOKUP($I52,'NPC Generator'!$I$2:$R$43,6,FALSE)/10,0)</f>
        <v>6</v>
      </c>
      <c r="AI52" s="76">
        <f t="shared" si="34"/>
        <v>9</v>
      </c>
      <c r="AJ52" s="165">
        <f>ROUND($H52*VLOOKUP($G52,'NPC Generator'!$I$2:$R$43,3,FALSE)/10,0)+ROUND($J52*VLOOKUP($I52,'NPC Generator'!$I$2:$R$43,3,FALSE)/10,0)</f>
        <v>7</v>
      </c>
      <c r="AK52" s="68">
        <f>10+AC52+ROUND($H52*VLOOKUP($G52,'NPC Generator'!$I$2:$R$43,7,FALSE)/10,0)+ROUND($J52*VLOOKUP($I52,'NPC Generator'!$I$2:$R$43,7,FALSE)/10,0)</f>
        <v>14</v>
      </c>
      <c r="AL52" s="66">
        <f t="shared" si="12"/>
        <v>18</v>
      </c>
      <c r="AM52" s="66">
        <f t="shared" si="13"/>
        <v>18</v>
      </c>
      <c r="AN52" s="77">
        <f>$H52*(3+VLOOKUP($G52,'NPC Generator'!$I$2:$R$43,10,FALSE))+($J52*VLOOKUP($I52,'NPC Generator'!$I$2:$R$43,10,FALSE))+(U52*SUM(H52,J52))</f>
        <v>94</v>
      </c>
      <c r="AO52" s="78">
        <f>$H52*(3+VLOOKUP($G52,'NPC Generator'!$I$2:$R$43,9,FALSE))+($J52*VLOOKUP($I52,'NPC Generator'!$I$2:$R$43,9,FALSE))</f>
        <v>62</v>
      </c>
      <c r="AP52" s="163" t="s">
        <v>915</v>
      </c>
      <c r="AQ52" s="163" t="s">
        <v>734</v>
      </c>
      <c r="AR52" s="163" t="s">
        <v>800</v>
      </c>
      <c r="AS52" s="165" t="s">
        <v>839</v>
      </c>
      <c r="AT52" s="68" t="s">
        <v>1171</v>
      </c>
      <c r="AU52" s="64" t="s">
        <v>1186</v>
      </c>
      <c r="AV52" s="66">
        <f>VLOOKUP($AU52,¡RefTables!$G$8:$H$22,2,FALSE)</f>
        <v>4</v>
      </c>
      <c r="AW52" s="67" t="s">
        <v>1217</v>
      </c>
    </row>
    <row r="53" spans="1:49" ht="46.8" x14ac:dyDescent="0.3">
      <c r="A53" s="243" t="s">
        <v>283</v>
      </c>
      <c r="B53" s="135" t="s">
        <v>499</v>
      </c>
      <c r="C53" s="64" t="s">
        <v>105</v>
      </c>
      <c r="D53" s="65" t="s">
        <v>20</v>
      </c>
      <c r="E53" s="122" t="s">
        <v>349</v>
      </c>
      <c r="F53" s="122" t="s">
        <v>351</v>
      </c>
      <c r="G53" s="125" t="s">
        <v>98</v>
      </c>
      <c r="H53" s="125">
        <v>4</v>
      </c>
      <c r="I53" s="128" t="s">
        <v>23</v>
      </c>
      <c r="J53" s="128">
        <v>4</v>
      </c>
      <c r="K53" s="130">
        <f t="shared" si="23"/>
        <v>8</v>
      </c>
      <c r="L53" s="65" t="s">
        <v>313</v>
      </c>
      <c r="M53" s="133" t="s">
        <v>124</v>
      </c>
      <c r="N53" s="133" t="s">
        <v>150</v>
      </c>
      <c r="O53" s="66" t="s">
        <v>961</v>
      </c>
      <c r="P53" s="68">
        <v>11</v>
      </c>
      <c r="Q53" s="81" t="str">
        <f t="shared" si="26"/>
        <v>+0</v>
      </c>
      <c r="R53" s="64">
        <v>11</v>
      </c>
      <c r="S53" s="81" t="str">
        <f t="shared" si="27"/>
        <v>+0</v>
      </c>
      <c r="T53" s="64">
        <v>11</v>
      </c>
      <c r="U53" s="81" t="str">
        <f t="shared" si="28"/>
        <v>+0</v>
      </c>
      <c r="V53" s="64">
        <v>18</v>
      </c>
      <c r="W53" s="81" t="str">
        <f t="shared" si="29"/>
        <v>+4</v>
      </c>
      <c r="X53" s="64">
        <v>16</v>
      </c>
      <c r="Y53" s="81" t="str">
        <f t="shared" si="30"/>
        <v>+3</v>
      </c>
      <c r="Z53" s="66">
        <v>14</v>
      </c>
      <c r="AA53" s="82" t="str">
        <f t="shared" si="31"/>
        <v>+2</v>
      </c>
      <c r="AB53" s="69">
        <f t="shared" si="24"/>
        <v>13.5</v>
      </c>
      <c r="AC53" s="70" t="str">
        <f t="shared" si="25"/>
        <v>+0</v>
      </c>
      <c r="AD53" s="71">
        <f>ROUND($H53*VLOOKUP($G53,'NPC Generator'!$I$2:$R$43,4,FALSE)/10,0)+ROUND($J53*VLOOKUP($I53,'NPC Generator'!$I$2:$R$43,4,FALSE)/10,0)</f>
        <v>3</v>
      </c>
      <c r="AE53" s="72">
        <f t="shared" si="32"/>
        <v>3</v>
      </c>
      <c r="AF53" s="73">
        <f>ROUND($H53*VLOOKUP($G53,'NPC Generator'!$I$2:$R$43,5,FALSE)/10,0)+ROUND($J53*VLOOKUP($I53,'NPC Generator'!$I$2:$R$43,5,FALSE)/10,0)</f>
        <v>3</v>
      </c>
      <c r="AG53" s="74">
        <f t="shared" si="33"/>
        <v>3</v>
      </c>
      <c r="AH53" s="75">
        <f>ROUND($H53*VLOOKUP($G53,'NPC Generator'!$I$2:$R$43,6,FALSE)/10,0)+ROUND($J53*VLOOKUP($I53,'NPC Generator'!$I$2:$R$43,6,FALSE)/10,0)</f>
        <v>3</v>
      </c>
      <c r="AI53" s="76">
        <f t="shared" si="34"/>
        <v>6</v>
      </c>
      <c r="AJ53" s="165">
        <f>ROUND($H53*VLOOKUP($G53,'NPC Generator'!$I$2:$R$43,3,FALSE)/10,0)+ROUND($J53*VLOOKUP($I53,'NPC Generator'!$I$2:$R$43,3,FALSE)/10,0)</f>
        <v>5</v>
      </c>
      <c r="AK53" s="68">
        <f>10+AC53+ROUND($H53*VLOOKUP($G53,'NPC Generator'!$I$2:$R$43,7,FALSE)/10,0)+ROUND($J53*VLOOKUP($I53,'NPC Generator'!$I$2:$R$43,7,FALSE)/10,0)</f>
        <v>13</v>
      </c>
      <c r="AL53" s="66">
        <f t="shared" si="12"/>
        <v>16</v>
      </c>
      <c r="AM53" s="66">
        <f t="shared" si="13"/>
        <v>16</v>
      </c>
      <c r="AN53" s="77">
        <f>$H53*(3+VLOOKUP($G53,'NPC Generator'!$I$2:$R$43,10,FALSE))+($J53*VLOOKUP($I53,'NPC Generator'!$I$2:$R$43,10,FALSE))+(U53*SUM(H53,J53))</f>
        <v>76</v>
      </c>
      <c r="AO53" s="78">
        <f>$H53*(3+VLOOKUP($G53,'NPC Generator'!$I$2:$R$43,9,FALSE))+($J53*VLOOKUP($I53,'NPC Generator'!$I$2:$R$43,9,FALSE))</f>
        <v>68</v>
      </c>
      <c r="AP53" s="163" t="s">
        <v>893</v>
      </c>
      <c r="AQ53" s="163" t="s">
        <v>730</v>
      </c>
      <c r="AR53" s="163" t="s">
        <v>771</v>
      </c>
      <c r="AS53" s="165" t="s">
        <v>930</v>
      </c>
      <c r="AT53" s="68" t="s">
        <v>1176</v>
      </c>
      <c r="AU53" s="64" t="s">
        <v>1185</v>
      </c>
      <c r="AV53" s="66">
        <f>VLOOKUP($AU53,¡RefTables!$G$8:$H$22,2,FALSE)</f>
        <v>3</v>
      </c>
      <c r="AW53" s="67" t="s">
        <v>1203</v>
      </c>
    </row>
    <row r="54" spans="1:49" ht="62.4" x14ac:dyDescent="0.3">
      <c r="A54" s="243" t="s">
        <v>353</v>
      </c>
      <c r="B54" s="135" t="s">
        <v>390</v>
      </c>
      <c r="C54" s="64" t="s">
        <v>106</v>
      </c>
      <c r="D54" s="65" t="s">
        <v>21</v>
      </c>
      <c r="E54" s="122" t="s">
        <v>349</v>
      </c>
      <c r="F54" s="122" t="s">
        <v>351</v>
      </c>
      <c r="G54" s="125" t="s">
        <v>103</v>
      </c>
      <c r="H54" s="125">
        <v>4</v>
      </c>
      <c r="I54" s="128" t="s">
        <v>24</v>
      </c>
      <c r="J54" s="128">
        <v>3</v>
      </c>
      <c r="K54" s="130">
        <f t="shared" si="23"/>
        <v>7</v>
      </c>
      <c r="L54" s="65" t="s">
        <v>313</v>
      </c>
      <c r="M54" s="133" t="s">
        <v>124</v>
      </c>
      <c r="N54" s="133" t="s">
        <v>104</v>
      </c>
      <c r="O54" s="66" t="s">
        <v>546</v>
      </c>
      <c r="P54" s="68">
        <v>19</v>
      </c>
      <c r="Q54" s="81" t="str">
        <f t="shared" si="26"/>
        <v>+4</v>
      </c>
      <c r="R54" s="64">
        <v>14</v>
      </c>
      <c r="S54" s="81" t="str">
        <f t="shared" si="27"/>
        <v>+2</v>
      </c>
      <c r="T54" s="64">
        <v>12</v>
      </c>
      <c r="U54" s="81" t="str">
        <f t="shared" si="28"/>
        <v>+1</v>
      </c>
      <c r="V54" s="64">
        <v>11</v>
      </c>
      <c r="W54" s="81" t="str">
        <f t="shared" si="29"/>
        <v>+0</v>
      </c>
      <c r="X54" s="64">
        <v>11</v>
      </c>
      <c r="Y54" s="81" t="str">
        <f t="shared" si="30"/>
        <v>+0</v>
      </c>
      <c r="Z54" s="66">
        <v>12</v>
      </c>
      <c r="AA54" s="82" t="str">
        <f t="shared" si="31"/>
        <v>+1</v>
      </c>
      <c r="AB54" s="69">
        <f t="shared" si="24"/>
        <v>13.166666666666666</v>
      </c>
      <c r="AC54" s="70" t="str">
        <f t="shared" si="25"/>
        <v>+2</v>
      </c>
      <c r="AD54" s="71">
        <f>ROUND($H54*VLOOKUP($G54,'NPC Generator'!$I$2:$R$43,4,FALSE)/10,0)+ROUND($J54*VLOOKUP($I54,'NPC Generator'!$I$2:$R$43,4,FALSE)/10,0)</f>
        <v>3</v>
      </c>
      <c r="AE54" s="72">
        <f t="shared" si="32"/>
        <v>4</v>
      </c>
      <c r="AF54" s="73">
        <f>ROUND($H54*VLOOKUP($G54,'NPC Generator'!$I$2:$R$43,5,FALSE)/10,0)+ROUND($J54*VLOOKUP($I54,'NPC Generator'!$I$2:$R$43,5,FALSE)/10,0)</f>
        <v>3</v>
      </c>
      <c r="AG54" s="74">
        <f t="shared" si="33"/>
        <v>5</v>
      </c>
      <c r="AH54" s="75">
        <f>ROUND($H54*VLOOKUP($G54,'NPC Generator'!$I$2:$R$43,6,FALSE)/10,0)+ROUND($J54*VLOOKUP($I54,'NPC Generator'!$I$2:$R$43,6,FALSE)/10,0)</f>
        <v>2</v>
      </c>
      <c r="AI54" s="76">
        <f t="shared" si="34"/>
        <v>2</v>
      </c>
      <c r="AJ54" s="165">
        <f>ROUND($H54*VLOOKUP($G54,'NPC Generator'!$I$2:$R$43,3,FALSE)/10,0)+ROUND($J54*VLOOKUP($I54,'NPC Generator'!$I$2:$R$43,3,FALSE)/10,0)</f>
        <v>7</v>
      </c>
      <c r="AK54" s="68">
        <f>10+AC54+ROUND($H54*VLOOKUP($G54,'NPC Generator'!$I$2:$R$43,7,FALSE)/10,0)+ROUND($J54*VLOOKUP($I54,'NPC Generator'!$I$2:$R$43,7,FALSE)/10,0)</f>
        <v>16</v>
      </c>
      <c r="AL54" s="66">
        <f t="shared" si="12"/>
        <v>18</v>
      </c>
      <c r="AM54" s="66">
        <f t="shared" si="13"/>
        <v>20</v>
      </c>
      <c r="AN54" s="77">
        <f>$H54*(3+VLOOKUP($G54,'NPC Generator'!$I$2:$R$43,10,FALSE))+($J54*VLOOKUP($I54,'NPC Generator'!$I$2:$R$43,10,FALSE))+(U54*SUM(H54,J54))</f>
        <v>75</v>
      </c>
      <c r="AO54" s="78">
        <f>$H54*(3+VLOOKUP($G54,'NPC Generator'!$I$2:$R$43,9,FALSE))+($J54*VLOOKUP($I54,'NPC Generator'!$I$2:$R$43,9,FALSE))</f>
        <v>33</v>
      </c>
      <c r="AP54" s="163" t="s">
        <v>861</v>
      </c>
      <c r="AQ54" s="163" t="s">
        <v>724</v>
      </c>
      <c r="AR54" s="163" t="s">
        <v>745</v>
      </c>
      <c r="AS54" s="165" t="s">
        <v>840</v>
      </c>
      <c r="AT54" s="68" t="s">
        <v>1170</v>
      </c>
      <c r="AU54" s="64" t="s">
        <v>1186</v>
      </c>
      <c r="AV54" s="66">
        <f>VLOOKUP($AU54,¡RefTables!$G$8:$H$22,2,FALSE)</f>
        <v>4</v>
      </c>
      <c r="AW54" s="67" t="s">
        <v>1210</v>
      </c>
    </row>
    <row r="55" spans="1:49" ht="46.8" x14ac:dyDescent="0.3">
      <c r="A55" s="243" t="s">
        <v>354</v>
      </c>
      <c r="B55" s="135" t="s">
        <v>384</v>
      </c>
      <c r="C55" s="64" t="s">
        <v>105</v>
      </c>
      <c r="D55" s="65" t="s">
        <v>19</v>
      </c>
      <c r="E55" s="122" t="s">
        <v>349</v>
      </c>
      <c r="F55" s="122" t="s">
        <v>351</v>
      </c>
      <c r="G55" s="125" t="s">
        <v>102</v>
      </c>
      <c r="H55" s="125">
        <v>4</v>
      </c>
      <c r="I55" s="128" t="s">
        <v>40</v>
      </c>
      <c r="J55" s="128">
        <v>2</v>
      </c>
      <c r="K55" s="130">
        <f t="shared" si="23"/>
        <v>6</v>
      </c>
      <c r="L55" s="65" t="s">
        <v>313</v>
      </c>
      <c r="M55" s="133" t="s">
        <v>125</v>
      </c>
      <c r="N55" s="133" t="s">
        <v>150</v>
      </c>
      <c r="O55" s="66" t="s">
        <v>962</v>
      </c>
      <c r="P55" s="68">
        <v>13</v>
      </c>
      <c r="Q55" s="81" t="str">
        <f t="shared" si="26"/>
        <v>+1</v>
      </c>
      <c r="R55" s="64">
        <v>13</v>
      </c>
      <c r="S55" s="81" t="str">
        <f t="shared" si="27"/>
        <v>+1</v>
      </c>
      <c r="T55" s="64">
        <v>16</v>
      </c>
      <c r="U55" s="81" t="str">
        <f t="shared" si="28"/>
        <v>+3</v>
      </c>
      <c r="V55" s="64">
        <v>8</v>
      </c>
      <c r="W55" s="81">
        <v>8</v>
      </c>
      <c r="X55" s="64">
        <v>8</v>
      </c>
      <c r="Y55" s="81">
        <v>8</v>
      </c>
      <c r="Z55" s="66">
        <v>8</v>
      </c>
      <c r="AA55" s="82">
        <f t="shared" si="31"/>
        <v>-1</v>
      </c>
      <c r="AB55" s="69">
        <f t="shared" si="24"/>
        <v>11</v>
      </c>
      <c r="AC55" s="70" t="str">
        <f t="shared" si="25"/>
        <v>+1</v>
      </c>
      <c r="AD55" s="71">
        <f>ROUND($H55*VLOOKUP($G55,'NPC Generator'!$I$2:$R$43,4,FALSE)/10,0)+ROUND($J55*VLOOKUP($I55,'NPC Generator'!$I$2:$R$43,4,FALSE)/10,0)</f>
        <v>3</v>
      </c>
      <c r="AE55" s="72">
        <f t="shared" si="32"/>
        <v>6</v>
      </c>
      <c r="AF55" s="73">
        <f>ROUND($H55*VLOOKUP($G55,'NPC Generator'!$I$2:$R$43,5,FALSE)/10,0)+ROUND($J55*VLOOKUP($I55,'NPC Generator'!$I$2:$R$43,5,FALSE)/10,0)</f>
        <v>2</v>
      </c>
      <c r="AG55" s="74">
        <f t="shared" si="33"/>
        <v>3</v>
      </c>
      <c r="AH55" s="75">
        <f>ROUND($H55*VLOOKUP($G55,'NPC Generator'!$I$2:$R$43,6,FALSE)/10,0)+ROUND($J55*VLOOKUP($I55,'NPC Generator'!$I$2:$R$43,6,FALSE)/10,0)</f>
        <v>2</v>
      </c>
      <c r="AI55" s="76">
        <f t="shared" si="34"/>
        <v>1</v>
      </c>
      <c r="AJ55" s="165">
        <f>ROUND($H55*VLOOKUP($G55,'NPC Generator'!$I$2:$R$43,3,FALSE)/10,0)+ROUND($J55*VLOOKUP($I55,'NPC Generator'!$I$2:$R$43,3,FALSE)/10,0)</f>
        <v>5</v>
      </c>
      <c r="AK55" s="68">
        <f>10+AC55+ROUND($H55*VLOOKUP($G55,'NPC Generator'!$I$2:$R$43,7,FALSE)/10,0)+ROUND($J55*VLOOKUP($I55,'NPC Generator'!$I$2:$R$43,7,FALSE)/10,0)</f>
        <v>14</v>
      </c>
      <c r="AL55" s="66">
        <f t="shared" si="12"/>
        <v>18</v>
      </c>
      <c r="AM55" s="66">
        <f t="shared" si="13"/>
        <v>19</v>
      </c>
      <c r="AN55" s="77">
        <f>$H55*(3+VLOOKUP($G55,'NPC Generator'!$I$2:$R$43,10,FALSE))+($J55*VLOOKUP($I55,'NPC Generator'!$I$2:$R$43,10,FALSE))+(U55*SUM(H55,J55))</f>
        <v>86</v>
      </c>
      <c r="AO55" s="78">
        <f>$H55*(3+VLOOKUP($G55,'NPC Generator'!$I$2:$R$43,9,FALSE))+($J55*VLOOKUP($I55,'NPC Generator'!$I$2:$R$43,9,FALSE))</f>
        <v>34</v>
      </c>
      <c r="AP55" s="163" t="s">
        <v>873</v>
      </c>
      <c r="AQ55" s="163" t="s">
        <v>737</v>
      </c>
      <c r="AR55" s="163" t="s">
        <v>760</v>
      </c>
      <c r="AS55" s="165" t="s">
        <v>940</v>
      </c>
      <c r="AT55" s="68" t="s">
        <v>1159</v>
      </c>
      <c r="AU55" s="64" t="s">
        <v>1188</v>
      </c>
      <c r="AV55" s="66">
        <f>VLOOKUP($AU55,¡RefTables!$G$8:$H$22,2,FALSE)</f>
        <v>5</v>
      </c>
      <c r="AW55" s="67" t="s">
        <v>1211</v>
      </c>
    </row>
    <row r="56" spans="1:49" ht="62.4" x14ac:dyDescent="0.3">
      <c r="A56" s="243" t="s">
        <v>486</v>
      </c>
      <c r="B56" s="135" t="s">
        <v>391</v>
      </c>
      <c r="C56" s="64" t="s">
        <v>105</v>
      </c>
      <c r="D56" s="65" t="s">
        <v>20</v>
      </c>
      <c r="E56" s="122" t="s">
        <v>349</v>
      </c>
      <c r="F56" s="122" t="s">
        <v>351</v>
      </c>
      <c r="G56" s="125" t="s">
        <v>101</v>
      </c>
      <c r="H56" s="125">
        <v>4</v>
      </c>
      <c r="I56" s="128" t="s">
        <v>23</v>
      </c>
      <c r="J56" s="128">
        <v>1</v>
      </c>
      <c r="K56" s="130">
        <f t="shared" si="23"/>
        <v>5</v>
      </c>
      <c r="L56" s="65" t="s">
        <v>313</v>
      </c>
      <c r="M56" s="133" t="s">
        <v>128</v>
      </c>
      <c r="N56" s="133" t="s">
        <v>337</v>
      </c>
      <c r="O56" s="66" t="s">
        <v>547</v>
      </c>
      <c r="P56" s="68">
        <v>13</v>
      </c>
      <c r="Q56" s="81" t="str">
        <f t="shared" si="26"/>
        <v>+1</v>
      </c>
      <c r="R56" s="64">
        <v>17</v>
      </c>
      <c r="S56" s="81" t="str">
        <f t="shared" si="27"/>
        <v>+3</v>
      </c>
      <c r="T56" s="64">
        <v>16</v>
      </c>
      <c r="U56" s="81" t="str">
        <f t="shared" si="28"/>
        <v>+3</v>
      </c>
      <c r="V56" s="64">
        <v>11</v>
      </c>
      <c r="W56" s="81" t="str">
        <f t="shared" ref="W56:W63" si="35">IF(V56&gt;9.9,CONCATENATE("+",ROUNDDOWN((V56-10) / 2,0)),ROUNDUP((V56-10) / 2,0))</f>
        <v>+0</v>
      </c>
      <c r="X56" s="64">
        <v>11</v>
      </c>
      <c r="Y56" s="81" t="str">
        <f t="shared" ref="Y56:Y63" si="36">IF(X56&gt;9.9,CONCATENATE("+",ROUNDDOWN((X56-10) / 2,0)),ROUNDUP((X56-10) / 2,0))</f>
        <v>+0</v>
      </c>
      <c r="Z56" s="66">
        <v>8</v>
      </c>
      <c r="AA56" s="82">
        <f t="shared" si="31"/>
        <v>-1</v>
      </c>
      <c r="AB56" s="69">
        <f t="shared" si="24"/>
        <v>12.666666666666666</v>
      </c>
      <c r="AC56" s="70" t="str">
        <f t="shared" si="25"/>
        <v>+3</v>
      </c>
      <c r="AD56" s="71">
        <f>ROUND($H56*VLOOKUP($G56,'NPC Generator'!$I$2:$R$43,4,FALSE)/10,0)+ROUND($J56*VLOOKUP($I56,'NPC Generator'!$I$2:$R$43,4,FALSE)/10,0)</f>
        <v>2</v>
      </c>
      <c r="AE56" s="72">
        <f t="shared" si="32"/>
        <v>5</v>
      </c>
      <c r="AF56" s="73">
        <f>ROUND($H56*VLOOKUP($G56,'NPC Generator'!$I$2:$R$43,5,FALSE)/10,0)+ROUND($J56*VLOOKUP($I56,'NPC Generator'!$I$2:$R$43,5,FALSE)/10,0)</f>
        <v>3</v>
      </c>
      <c r="AG56" s="74">
        <f t="shared" si="33"/>
        <v>6</v>
      </c>
      <c r="AH56" s="75">
        <f>ROUND($H56*VLOOKUP($G56,'NPC Generator'!$I$2:$R$43,6,FALSE)/10,0)+ROUND($J56*VLOOKUP($I56,'NPC Generator'!$I$2:$R$43,6,FALSE)/10,0)</f>
        <v>1</v>
      </c>
      <c r="AI56" s="76">
        <f t="shared" si="34"/>
        <v>1</v>
      </c>
      <c r="AJ56" s="165">
        <f>ROUND($H56*VLOOKUP($G56,'NPC Generator'!$I$2:$R$43,3,FALSE)/10,0)+ROUND($J56*VLOOKUP($I56,'NPC Generator'!$I$2:$R$43,3,FALSE)/10,0)</f>
        <v>4</v>
      </c>
      <c r="AK56" s="68">
        <f>10+AC56+ROUND($H56*VLOOKUP($G56,'NPC Generator'!$I$2:$R$43,7,FALSE)/10,0)+ROUND($J56*VLOOKUP($I56,'NPC Generator'!$I$2:$R$43,7,FALSE)/10,0)</f>
        <v>17</v>
      </c>
      <c r="AL56" s="66">
        <f t="shared" si="12"/>
        <v>20</v>
      </c>
      <c r="AM56" s="66">
        <f t="shared" si="13"/>
        <v>23</v>
      </c>
      <c r="AN56" s="77">
        <f>$H56*(3+VLOOKUP($G56,'NPC Generator'!$I$2:$R$43,10,FALSE))+($J56*VLOOKUP($I56,'NPC Generator'!$I$2:$R$43,10,FALSE))+(U56*SUM(H56,J56))</f>
        <v>69</v>
      </c>
      <c r="AO56" s="78">
        <f>$H56*(3+VLOOKUP($G56,'NPC Generator'!$I$2:$R$43,9,FALSE))+($J56*VLOOKUP($I56,'NPC Generator'!$I$2:$R$43,9,FALSE))</f>
        <v>37</v>
      </c>
      <c r="AP56" s="163" t="s">
        <v>892</v>
      </c>
      <c r="AQ56" s="163" t="s">
        <v>728</v>
      </c>
      <c r="AR56" s="163" t="s">
        <v>753</v>
      </c>
      <c r="AS56" s="165" t="s">
        <v>930</v>
      </c>
      <c r="AT56" s="68" t="s">
        <v>1172</v>
      </c>
      <c r="AU56" s="64" t="s">
        <v>1189</v>
      </c>
      <c r="AV56" s="66">
        <f>VLOOKUP($AU56,¡RefTables!$G$8:$H$22,2,FALSE)</f>
        <v>6</v>
      </c>
      <c r="AW56" s="67" t="s">
        <v>1255</v>
      </c>
    </row>
    <row r="57" spans="1:49" ht="31.2" x14ac:dyDescent="0.3">
      <c r="A57" s="242" t="s">
        <v>238</v>
      </c>
      <c r="B57" s="134" t="s">
        <v>376</v>
      </c>
      <c r="C57" s="64" t="s">
        <v>106</v>
      </c>
      <c r="D57" s="65" t="s">
        <v>20</v>
      </c>
      <c r="E57" s="132" t="s">
        <v>233</v>
      </c>
      <c r="F57" s="132" t="s">
        <v>153</v>
      </c>
      <c r="G57" s="125" t="s">
        <v>99</v>
      </c>
      <c r="H57" s="125">
        <v>4</v>
      </c>
      <c r="I57" s="128" t="s">
        <v>35</v>
      </c>
      <c r="J57" s="128">
        <v>6</v>
      </c>
      <c r="K57" s="130">
        <f t="shared" si="23"/>
        <v>10</v>
      </c>
      <c r="L57" s="65" t="s">
        <v>313</v>
      </c>
      <c r="M57" s="133" t="s">
        <v>135</v>
      </c>
      <c r="N57" s="133" t="s">
        <v>148</v>
      </c>
      <c r="O57" s="66" t="s">
        <v>963</v>
      </c>
      <c r="P57" s="68">
        <v>10</v>
      </c>
      <c r="Q57" s="81" t="str">
        <f t="shared" si="26"/>
        <v>+0</v>
      </c>
      <c r="R57" s="64">
        <v>10</v>
      </c>
      <c r="S57" s="81" t="str">
        <f t="shared" si="27"/>
        <v>+0</v>
      </c>
      <c r="T57" s="64">
        <v>10</v>
      </c>
      <c r="U57" s="81" t="str">
        <f t="shared" si="28"/>
        <v>+0</v>
      </c>
      <c r="V57" s="64">
        <v>10</v>
      </c>
      <c r="W57" s="81" t="str">
        <f t="shared" si="35"/>
        <v>+0</v>
      </c>
      <c r="X57" s="64">
        <v>10</v>
      </c>
      <c r="Y57" s="81" t="str">
        <f t="shared" si="36"/>
        <v>+0</v>
      </c>
      <c r="Z57" s="66">
        <v>16</v>
      </c>
      <c r="AA57" s="82" t="str">
        <f t="shared" si="31"/>
        <v>+3</v>
      </c>
      <c r="AB57" s="69">
        <f t="shared" si="24"/>
        <v>11</v>
      </c>
      <c r="AC57" s="70" t="str">
        <f t="shared" si="25"/>
        <v>+0</v>
      </c>
      <c r="AD57" s="71">
        <f>ROUND($H57*VLOOKUP($G57,'NPC Generator'!$I$2:$R$43,4,FALSE)/10,0)+ROUND($J57*VLOOKUP($I57,'NPC Generator'!$I$2:$R$43,4,FALSE)/10,0)</f>
        <v>4</v>
      </c>
      <c r="AE57" s="72">
        <f t="shared" si="32"/>
        <v>4</v>
      </c>
      <c r="AF57" s="73">
        <f>ROUND($H57*VLOOKUP($G57,'NPC Generator'!$I$2:$R$43,5,FALSE)/10,0)+ROUND($J57*VLOOKUP($I57,'NPC Generator'!$I$2:$R$43,5,FALSE)/10,0)</f>
        <v>4</v>
      </c>
      <c r="AG57" s="74">
        <f t="shared" si="33"/>
        <v>4</v>
      </c>
      <c r="AH57" s="75">
        <f>ROUND($H57*VLOOKUP($G57,'NPC Generator'!$I$2:$R$43,6,FALSE)/10,0)+ROUND($J57*VLOOKUP($I57,'NPC Generator'!$I$2:$R$43,6,FALSE)/10,0)</f>
        <v>5</v>
      </c>
      <c r="AI57" s="76">
        <f t="shared" si="34"/>
        <v>5</v>
      </c>
      <c r="AJ57" s="165">
        <f>ROUND($H57*VLOOKUP($G57,'NPC Generator'!$I$2:$R$43,3,FALSE)/10,0)+ROUND($J57*VLOOKUP($I57,'NPC Generator'!$I$2:$R$43,3,FALSE)/10,0)</f>
        <v>6</v>
      </c>
      <c r="AK57" s="68">
        <f>10+AC57+ROUND($H57*VLOOKUP($G57,'NPC Generator'!$I$2:$R$43,7,FALSE)/10,0)+ROUND($J57*VLOOKUP($I57,'NPC Generator'!$I$2:$R$43,7,FALSE)/10,0)</f>
        <v>14</v>
      </c>
      <c r="AL57" s="66">
        <f t="shared" si="12"/>
        <v>19</v>
      </c>
      <c r="AM57" s="66">
        <f t="shared" si="13"/>
        <v>19</v>
      </c>
      <c r="AN57" s="77">
        <f>$H57*(3+VLOOKUP($G57,'NPC Generator'!$I$2:$R$43,10,FALSE))+($J57*VLOOKUP($I57,'NPC Generator'!$I$2:$R$43,10,FALSE))+(U57*SUM(H57,J57))</f>
        <v>72</v>
      </c>
      <c r="AO57" s="78">
        <f>$H57*(3+VLOOKUP($G57,'NPC Generator'!$I$2:$R$43,9,FALSE))+($J57*VLOOKUP($I57,'NPC Generator'!$I$2:$R$43,9,FALSE))</f>
        <v>70</v>
      </c>
      <c r="AP57" s="163" t="s">
        <v>858</v>
      </c>
      <c r="AQ57" s="163" t="s">
        <v>733</v>
      </c>
      <c r="AR57" s="163" t="s">
        <v>809</v>
      </c>
      <c r="AS57" s="165" t="s">
        <v>845</v>
      </c>
      <c r="AT57" s="68" t="s">
        <v>1177</v>
      </c>
      <c r="AU57" s="64" t="s">
        <v>1187</v>
      </c>
      <c r="AV57" s="66">
        <f>VLOOKUP($AU57,¡RefTables!$G$8:$H$22,2,FALSE)</f>
        <v>5</v>
      </c>
      <c r="AW57" s="67" t="s">
        <v>1195</v>
      </c>
    </row>
    <row r="58" spans="1:49" ht="31.2" x14ac:dyDescent="0.3">
      <c r="A58" s="242" t="s">
        <v>107</v>
      </c>
      <c r="B58" s="134" t="s">
        <v>375</v>
      </c>
      <c r="C58" s="64" t="s">
        <v>106</v>
      </c>
      <c r="D58" s="65" t="s">
        <v>20</v>
      </c>
      <c r="E58" s="132" t="s">
        <v>233</v>
      </c>
      <c r="F58" s="132" t="s">
        <v>153</v>
      </c>
      <c r="G58" s="125" t="s">
        <v>100</v>
      </c>
      <c r="H58" s="125">
        <v>4</v>
      </c>
      <c r="I58" s="128" t="s">
        <v>28</v>
      </c>
      <c r="J58" s="128">
        <v>6</v>
      </c>
      <c r="K58" s="130">
        <f t="shared" si="23"/>
        <v>10</v>
      </c>
      <c r="L58" s="65" t="s">
        <v>313</v>
      </c>
      <c r="M58" s="133" t="s">
        <v>135</v>
      </c>
      <c r="N58" s="133" t="s">
        <v>148</v>
      </c>
      <c r="O58" s="66" t="s">
        <v>964</v>
      </c>
      <c r="P58" s="68">
        <v>10</v>
      </c>
      <c r="Q58" s="81" t="str">
        <f t="shared" si="26"/>
        <v>+0</v>
      </c>
      <c r="R58" s="64">
        <v>10</v>
      </c>
      <c r="S58" s="81" t="str">
        <f t="shared" si="27"/>
        <v>+0</v>
      </c>
      <c r="T58" s="64">
        <v>10</v>
      </c>
      <c r="U58" s="81" t="str">
        <f t="shared" si="28"/>
        <v>+0</v>
      </c>
      <c r="V58" s="64">
        <v>10</v>
      </c>
      <c r="W58" s="81" t="str">
        <f t="shared" si="35"/>
        <v>+0</v>
      </c>
      <c r="X58" s="64">
        <v>16</v>
      </c>
      <c r="Y58" s="81" t="str">
        <f t="shared" si="36"/>
        <v>+3</v>
      </c>
      <c r="Z58" s="66">
        <v>10</v>
      </c>
      <c r="AA58" s="82" t="str">
        <f t="shared" si="31"/>
        <v>+0</v>
      </c>
      <c r="AB58" s="69">
        <f t="shared" si="24"/>
        <v>11</v>
      </c>
      <c r="AC58" s="70" t="str">
        <f t="shared" si="25"/>
        <v>+0</v>
      </c>
      <c r="AD58" s="71">
        <f>ROUND($H58*VLOOKUP($G58,'NPC Generator'!$I$2:$R$43,4,FALSE)/10,0)+ROUND($J58*VLOOKUP($I58,'NPC Generator'!$I$2:$R$43,4,FALSE)/10,0)</f>
        <v>5</v>
      </c>
      <c r="AE58" s="72">
        <f t="shared" si="32"/>
        <v>5</v>
      </c>
      <c r="AF58" s="73">
        <f>ROUND($H58*VLOOKUP($G58,'NPC Generator'!$I$2:$R$43,5,FALSE)/10,0)+ROUND($J58*VLOOKUP($I58,'NPC Generator'!$I$2:$R$43,5,FALSE)/10,0)</f>
        <v>5</v>
      </c>
      <c r="AG58" s="74">
        <f t="shared" si="33"/>
        <v>5</v>
      </c>
      <c r="AH58" s="75">
        <f>ROUND($H58*VLOOKUP($G58,'NPC Generator'!$I$2:$R$43,6,FALSE)/10,0)+ROUND($J58*VLOOKUP($I58,'NPC Generator'!$I$2:$R$43,6,FALSE)/10,0)</f>
        <v>4</v>
      </c>
      <c r="AI58" s="76">
        <f t="shared" si="34"/>
        <v>7</v>
      </c>
      <c r="AJ58" s="165">
        <f>ROUND($H58*VLOOKUP($G58,'NPC Generator'!$I$2:$R$43,3,FALSE)/10,0)+ROUND($J58*VLOOKUP($I58,'NPC Generator'!$I$2:$R$43,3,FALSE)/10,0)</f>
        <v>7</v>
      </c>
      <c r="AK58" s="68">
        <f>10+AC58+ROUND($H58*VLOOKUP($G58,'NPC Generator'!$I$2:$R$43,7,FALSE)/10,0)+ROUND($J58*VLOOKUP($I58,'NPC Generator'!$I$2:$R$43,7,FALSE)/10,0)</f>
        <v>15</v>
      </c>
      <c r="AL58" s="66">
        <f t="shared" si="12"/>
        <v>18</v>
      </c>
      <c r="AM58" s="66">
        <f t="shared" si="13"/>
        <v>18</v>
      </c>
      <c r="AN58" s="77">
        <f>$H58*(3+VLOOKUP($G58,'NPC Generator'!$I$2:$R$43,10,FALSE))+($J58*VLOOKUP($I58,'NPC Generator'!$I$2:$R$43,10,FALSE))+(U58*SUM(H58,J58))</f>
        <v>108</v>
      </c>
      <c r="AO58" s="78">
        <f>$H58*(3+VLOOKUP($G58,'NPC Generator'!$I$2:$R$43,9,FALSE))+($J58*VLOOKUP($I58,'NPC Generator'!$I$2:$R$43,9,FALSE))</f>
        <v>50</v>
      </c>
      <c r="AP58" s="163" t="s">
        <v>867</v>
      </c>
      <c r="AQ58" s="163" t="s">
        <v>736</v>
      </c>
      <c r="AR58" s="163" t="s">
        <v>791</v>
      </c>
      <c r="AS58" s="165" t="s">
        <v>930</v>
      </c>
      <c r="AT58" s="68" t="s">
        <v>1156</v>
      </c>
      <c r="AU58" s="64" t="s">
        <v>1185</v>
      </c>
      <c r="AV58" s="66">
        <f>VLOOKUP($AU58,¡RefTables!$G$8:$H$22,2,FALSE)</f>
        <v>3</v>
      </c>
      <c r="AW58" s="67" t="s">
        <v>1213</v>
      </c>
    </row>
    <row r="59" spans="1:49" ht="46.8" x14ac:dyDescent="0.3">
      <c r="A59" s="243" t="s">
        <v>383</v>
      </c>
      <c r="B59" s="134" t="s">
        <v>378</v>
      </c>
      <c r="C59" s="64" t="s">
        <v>106</v>
      </c>
      <c r="D59" s="65" t="s">
        <v>20</v>
      </c>
      <c r="E59" s="132" t="s">
        <v>233</v>
      </c>
      <c r="F59" s="132" t="s">
        <v>153</v>
      </c>
      <c r="G59" s="125" t="s">
        <v>100</v>
      </c>
      <c r="H59" s="125">
        <v>4</v>
      </c>
      <c r="I59" s="128" t="s">
        <v>31</v>
      </c>
      <c r="J59" s="128">
        <v>4</v>
      </c>
      <c r="K59" s="130">
        <f t="shared" si="23"/>
        <v>8</v>
      </c>
      <c r="L59" s="65" t="s">
        <v>322</v>
      </c>
      <c r="M59" s="133" t="s">
        <v>120</v>
      </c>
      <c r="N59" s="133" t="s">
        <v>337</v>
      </c>
      <c r="O59" s="66" t="s">
        <v>548</v>
      </c>
      <c r="P59" s="68">
        <v>10</v>
      </c>
      <c r="Q59" s="81" t="str">
        <f t="shared" si="26"/>
        <v>+0</v>
      </c>
      <c r="R59" s="64">
        <v>10</v>
      </c>
      <c r="S59" s="81" t="str">
        <f t="shared" si="27"/>
        <v>+0</v>
      </c>
      <c r="T59" s="64">
        <v>10</v>
      </c>
      <c r="U59" s="81" t="str">
        <f t="shared" si="28"/>
        <v>+0</v>
      </c>
      <c r="V59" s="64">
        <v>15</v>
      </c>
      <c r="W59" s="81" t="str">
        <f t="shared" si="35"/>
        <v>+2</v>
      </c>
      <c r="X59" s="64">
        <v>16</v>
      </c>
      <c r="Y59" s="81" t="str">
        <f t="shared" si="36"/>
        <v>+3</v>
      </c>
      <c r="Z59" s="66">
        <v>10</v>
      </c>
      <c r="AA59" s="82" t="str">
        <f t="shared" si="31"/>
        <v>+0</v>
      </c>
      <c r="AB59" s="69">
        <f t="shared" si="24"/>
        <v>11.833333333333334</v>
      </c>
      <c r="AC59" s="70" t="str">
        <f t="shared" si="25"/>
        <v>+0</v>
      </c>
      <c r="AD59" s="71">
        <f>ROUND($H59*VLOOKUP($G59,'NPC Generator'!$I$2:$R$43,4,FALSE)/10,0)+ROUND($J59*VLOOKUP($I59,'NPC Generator'!$I$2:$R$43,4,FALSE)/10,0)</f>
        <v>5</v>
      </c>
      <c r="AE59" s="72">
        <f t="shared" si="32"/>
        <v>5</v>
      </c>
      <c r="AF59" s="73">
        <f>ROUND($H59*VLOOKUP($G59,'NPC Generator'!$I$2:$R$43,5,FALSE)/10,0)+ROUND($J59*VLOOKUP($I59,'NPC Generator'!$I$2:$R$43,5,FALSE)/10,0)</f>
        <v>2</v>
      </c>
      <c r="AG59" s="74">
        <f t="shared" si="33"/>
        <v>2</v>
      </c>
      <c r="AH59" s="75">
        <f>ROUND($H59*VLOOKUP($G59,'NPC Generator'!$I$2:$R$43,6,FALSE)/10,0)+ROUND($J59*VLOOKUP($I59,'NPC Generator'!$I$2:$R$43,6,FALSE)/10,0)</f>
        <v>4</v>
      </c>
      <c r="AI59" s="76">
        <f t="shared" si="34"/>
        <v>7</v>
      </c>
      <c r="AJ59" s="165">
        <f>ROUND($H59*VLOOKUP($G59,'NPC Generator'!$I$2:$R$43,3,FALSE)/10,0)+ROUND($J59*VLOOKUP($I59,'NPC Generator'!$I$2:$R$43,3,FALSE)/10,0)</f>
        <v>5</v>
      </c>
      <c r="AK59" s="68">
        <f>10+AC59+ROUND($H59*VLOOKUP($G59,'NPC Generator'!$I$2:$R$43,7,FALSE)/10,0)+ROUND($J59*VLOOKUP($I59,'NPC Generator'!$I$2:$R$43,7,FALSE)/10,0)</f>
        <v>14</v>
      </c>
      <c r="AL59" s="66">
        <f t="shared" si="12"/>
        <v>14</v>
      </c>
      <c r="AM59" s="66">
        <f t="shared" si="13"/>
        <v>14</v>
      </c>
      <c r="AN59" s="77">
        <f>$H59*(3+VLOOKUP($G59,'NPC Generator'!$I$2:$R$43,10,FALSE))+($J59*VLOOKUP($I59,'NPC Generator'!$I$2:$R$43,10,FALSE))+(U59*SUM(H59,J59))</f>
        <v>68</v>
      </c>
      <c r="AO59" s="78">
        <f>$H59*(3+VLOOKUP($G59,'NPC Generator'!$I$2:$R$43,9,FALSE))+($J59*VLOOKUP($I59,'NPC Generator'!$I$2:$R$43,9,FALSE))</f>
        <v>52</v>
      </c>
      <c r="AP59" s="163" t="s">
        <v>871</v>
      </c>
      <c r="AQ59" s="163" t="s">
        <v>735</v>
      </c>
      <c r="AR59" s="163" t="s">
        <v>788</v>
      </c>
      <c r="AS59" s="165" t="s">
        <v>846</v>
      </c>
      <c r="AT59" s="68" t="s">
        <v>1023</v>
      </c>
      <c r="AU59" s="64" t="s">
        <v>176</v>
      </c>
      <c r="AV59" s="66">
        <f>VLOOKUP($AU59,¡RefTables!$G$8:$H$22,2,FALSE)</f>
        <v>0</v>
      </c>
      <c r="AW59" s="67" t="s">
        <v>1256</v>
      </c>
    </row>
    <row r="60" spans="1:49" ht="62.4" x14ac:dyDescent="0.3">
      <c r="A60" s="243" t="s">
        <v>380</v>
      </c>
      <c r="B60" s="134" t="s">
        <v>377</v>
      </c>
      <c r="C60" s="64" t="s">
        <v>105</v>
      </c>
      <c r="D60" s="65" t="s">
        <v>20</v>
      </c>
      <c r="E60" s="132" t="s">
        <v>233</v>
      </c>
      <c r="F60" s="132" t="s">
        <v>153</v>
      </c>
      <c r="G60" s="125" t="s">
        <v>98</v>
      </c>
      <c r="H60" s="125">
        <v>4</v>
      </c>
      <c r="I60" s="128" t="s">
        <v>32</v>
      </c>
      <c r="J60" s="128">
        <v>4</v>
      </c>
      <c r="K60" s="130">
        <f t="shared" si="23"/>
        <v>8</v>
      </c>
      <c r="L60" s="65" t="s">
        <v>335</v>
      </c>
      <c r="M60" s="133" t="s">
        <v>123</v>
      </c>
      <c r="N60" s="133" t="s">
        <v>306</v>
      </c>
      <c r="O60" s="66" t="s">
        <v>549</v>
      </c>
      <c r="P60" s="68">
        <v>10</v>
      </c>
      <c r="Q60" s="81" t="str">
        <f t="shared" si="26"/>
        <v>+0</v>
      </c>
      <c r="R60" s="64">
        <v>10</v>
      </c>
      <c r="S60" s="81" t="str">
        <f t="shared" si="27"/>
        <v>+0</v>
      </c>
      <c r="T60" s="64">
        <v>10</v>
      </c>
      <c r="U60" s="81" t="str">
        <f t="shared" si="28"/>
        <v>+0</v>
      </c>
      <c r="V60" s="64">
        <v>16</v>
      </c>
      <c r="W60" s="81" t="str">
        <f t="shared" si="35"/>
        <v>+3</v>
      </c>
      <c r="X60" s="64">
        <v>10</v>
      </c>
      <c r="Y60" s="81" t="str">
        <f t="shared" si="36"/>
        <v>+0</v>
      </c>
      <c r="Z60" s="66">
        <v>10</v>
      </c>
      <c r="AA60" s="82" t="str">
        <f t="shared" si="31"/>
        <v>+0</v>
      </c>
      <c r="AB60" s="69">
        <f t="shared" si="24"/>
        <v>11</v>
      </c>
      <c r="AC60" s="70" t="str">
        <f t="shared" si="25"/>
        <v>+0</v>
      </c>
      <c r="AD60" s="71">
        <f>ROUND($H60*VLOOKUP($G60,'NPC Generator'!$I$2:$R$43,4,FALSE)/10,0)+ROUND($J60*VLOOKUP($I60,'NPC Generator'!$I$2:$R$43,4,FALSE)/10,0)</f>
        <v>2</v>
      </c>
      <c r="AE60" s="72">
        <f t="shared" si="32"/>
        <v>2</v>
      </c>
      <c r="AF60" s="73">
        <f>ROUND($H60*VLOOKUP($G60,'NPC Generator'!$I$2:$R$43,5,FALSE)/10,0)+ROUND($J60*VLOOKUP($I60,'NPC Generator'!$I$2:$R$43,5,FALSE)/10,0)</f>
        <v>3</v>
      </c>
      <c r="AG60" s="74">
        <f t="shared" si="33"/>
        <v>3</v>
      </c>
      <c r="AH60" s="75">
        <f>ROUND($H60*VLOOKUP($G60,'NPC Generator'!$I$2:$R$43,6,FALSE)/10,0)+ROUND($J60*VLOOKUP($I60,'NPC Generator'!$I$2:$R$43,6,FALSE)/10,0)</f>
        <v>4</v>
      </c>
      <c r="AI60" s="76">
        <f t="shared" si="34"/>
        <v>4</v>
      </c>
      <c r="AJ60" s="165">
        <f>ROUND($H60*VLOOKUP($G60,'NPC Generator'!$I$2:$R$43,3,FALSE)/10,0)+ROUND($J60*VLOOKUP($I60,'NPC Generator'!$I$2:$R$43,3,FALSE)/10,0)</f>
        <v>5</v>
      </c>
      <c r="AK60" s="68">
        <f>10+AC60+ROUND($H60*VLOOKUP($G60,'NPC Generator'!$I$2:$R$43,7,FALSE)/10,0)+ROUND($J60*VLOOKUP($I60,'NPC Generator'!$I$2:$R$43,7,FALSE)/10,0)</f>
        <v>13</v>
      </c>
      <c r="AL60" s="66">
        <f t="shared" si="12"/>
        <v>16</v>
      </c>
      <c r="AM60" s="66">
        <f t="shared" si="13"/>
        <v>16</v>
      </c>
      <c r="AN60" s="77">
        <f>$H60*(3+VLOOKUP($G60,'NPC Generator'!$I$2:$R$43,10,FALSE))+($J60*VLOOKUP($I60,'NPC Generator'!$I$2:$R$43,10,FALSE))+(U60*SUM(H60,J60))</f>
        <v>60</v>
      </c>
      <c r="AO60" s="78">
        <f>$H60*(3+VLOOKUP($G60,'NPC Generator'!$I$2:$R$43,9,FALSE))+($J60*VLOOKUP($I60,'NPC Generator'!$I$2:$R$43,9,FALSE))</f>
        <v>68</v>
      </c>
      <c r="AP60" s="163" t="s">
        <v>897</v>
      </c>
      <c r="AQ60" s="163" t="s">
        <v>730</v>
      </c>
      <c r="AR60" s="163" t="s">
        <v>768</v>
      </c>
      <c r="AS60" s="165" t="s">
        <v>941</v>
      </c>
      <c r="AT60" s="68" t="s">
        <v>1222</v>
      </c>
      <c r="AU60" s="64" t="s">
        <v>1185</v>
      </c>
      <c r="AV60" s="66">
        <f>VLOOKUP($AU60,¡RefTables!$G$8:$H$22,2,FALSE)</f>
        <v>3</v>
      </c>
      <c r="AW60" s="67" t="s">
        <v>1204</v>
      </c>
    </row>
    <row r="61" spans="1:49" ht="46.8" x14ac:dyDescent="0.3">
      <c r="A61" s="243" t="s">
        <v>381</v>
      </c>
      <c r="B61" s="134" t="s">
        <v>379</v>
      </c>
      <c r="C61" s="64" t="s">
        <v>106</v>
      </c>
      <c r="D61" s="65" t="s">
        <v>20</v>
      </c>
      <c r="E61" s="132" t="s">
        <v>233</v>
      </c>
      <c r="F61" s="132" t="s">
        <v>153</v>
      </c>
      <c r="G61" s="125" t="s">
        <v>98</v>
      </c>
      <c r="H61" s="125">
        <v>4</v>
      </c>
      <c r="I61" s="128" t="s">
        <v>38</v>
      </c>
      <c r="J61" s="128">
        <v>3</v>
      </c>
      <c r="K61" s="130">
        <f t="shared" si="23"/>
        <v>7</v>
      </c>
      <c r="L61" s="65" t="s">
        <v>313</v>
      </c>
      <c r="M61" s="133" t="s">
        <v>135</v>
      </c>
      <c r="N61" s="133" t="s">
        <v>304</v>
      </c>
      <c r="O61" s="66" t="s">
        <v>528</v>
      </c>
      <c r="P61" s="68">
        <v>10</v>
      </c>
      <c r="Q61" s="81" t="str">
        <f t="shared" si="26"/>
        <v>+0</v>
      </c>
      <c r="R61" s="64">
        <v>10</v>
      </c>
      <c r="S61" s="81" t="str">
        <f t="shared" si="27"/>
        <v>+0</v>
      </c>
      <c r="T61" s="64">
        <v>10</v>
      </c>
      <c r="U61" s="81" t="str">
        <f t="shared" si="28"/>
        <v>+0</v>
      </c>
      <c r="V61" s="64">
        <v>16</v>
      </c>
      <c r="W61" s="81" t="str">
        <f t="shared" si="35"/>
        <v>+3</v>
      </c>
      <c r="X61" s="64">
        <v>10</v>
      </c>
      <c r="Y61" s="81" t="str">
        <f t="shared" si="36"/>
        <v>+0</v>
      </c>
      <c r="Z61" s="66">
        <v>10</v>
      </c>
      <c r="AA61" s="82" t="str">
        <f t="shared" si="31"/>
        <v>+0</v>
      </c>
      <c r="AB61" s="69">
        <f t="shared" si="24"/>
        <v>11</v>
      </c>
      <c r="AC61" s="70" t="str">
        <f t="shared" si="25"/>
        <v>+0</v>
      </c>
      <c r="AD61" s="71">
        <f>ROUND($H61*VLOOKUP($G61,'NPC Generator'!$I$2:$R$43,4,FALSE)/10,0)+ROUND($J61*VLOOKUP($I61,'NPC Generator'!$I$2:$R$43,4,FALSE)/10,0)</f>
        <v>3</v>
      </c>
      <c r="AE61" s="72">
        <f t="shared" si="32"/>
        <v>3</v>
      </c>
      <c r="AF61" s="73">
        <f>ROUND($H61*VLOOKUP($G61,'NPC Generator'!$I$2:$R$43,5,FALSE)/10,0)+ROUND($J61*VLOOKUP($I61,'NPC Generator'!$I$2:$R$43,5,FALSE)/10,0)</f>
        <v>3</v>
      </c>
      <c r="AG61" s="74">
        <f t="shared" si="33"/>
        <v>3</v>
      </c>
      <c r="AH61" s="75">
        <f>ROUND($H61*VLOOKUP($G61,'NPC Generator'!$I$2:$R$43,6,FALSE)/10,0)+ROUND($J61*VLOOKUP($I61,'NPC Generator'!$I$2:$R$43,6,FALSE)/10,0)</f>
        <v>3</v>
      </c>
      <c r="AI61" s="76">
        <f t="shared" si="34"/>
        <v>3</v>
      </c>
      <c r="AJ61" s="165">
        <f>ROUND($H61*VLOOKUP($G61,'NPC Generator'!$I$2:$R$43,3,FALSE)/10,0)+ROUND($J61*VLOOKUP($I61,'NPC Generator'!$I$2:$R$43,3,FALSE)/10,0)</f>
        <v>4</v>
      </c>
      <c r="AK61" s="68">
        <f>10+AC61+ROUND($H61*VLOOKUP($G61,'NPC Generator'!$I$2:$R$43,7,FALSE)/10,0)+ROUND($J61*VLOOKUP($I61,'NPC Generator'!$I$2:$R$43,7,FALSE)/10,0)</f>
        <v>12</v>
      </c>
      <c r="AL61" s="66">
        <f t="shared" si="12"/>
        <v>16</v>
      </c>
      <c r="AM61" s="66">
        <f t="shared" si="13"/>
        <v>16</v>
      </c>
      <c r="AN61" s="77">
        <f>$H61*(3+VLOOKUP($G61,'NPC Generator'!$I$2:$R$43,10,FALSE))+($J61*VLOOKUP($I61,'NPC Generator'!$I$2:$R$43,10,FALSE))+(U61*SUM(H61,J61))</f>
        <v>54</v>
      </c>
      <c r="AO61" s="78">
        <f>$H61*(3+VLOOKUP($G61,'NPC Generator'!$I$2:$R$43,9,FALSE))+($J61*VLOOKUP($I61,'NPC Generator'!$I$2:$R$43,9,FALSE))</f>
        <v>69</v>
      </c>
      <c r="AP61" s="163" t="s">
        <v>878</v>
      </c>
      <c r="AQ61" s="163" t="s">
        <v>729</v>
      </c>
      <c r="AR61" s="163" t="s">
        <v>767</v>
      </c>
      <c r="AS61" s="165" t="s">
        <v>835</v>
      </c>
      <c r="AT61" s="68" t="s">
        <v>1023</v>
      </c>
      <c r="AU61" s="64" t="s">
        <v>1186</v>
      </c>
      <c r="AV61" s="66">
        <f>VLOOKUP($AU61,¡RefTables!$G$8:$H$22,2,FALSE)</f>
        <v>4</v>
      </c>
      <c r="AW61" s="67" t="s">
        <v>1253</v>
      </c>
    </row>
    <row r="62" spans="1:49" ht="31.2" x14ac:dyDescent="0.3">
      <c r="A62" s="243" t="s">
        <v>393</v>
      </c>
      <c r="B62" s="135" t="s">
        <v>394</v>
      </c>
      <c r="C62" s="64" t="s">
        <v>105</v>
      </c>
      <c r="D62" s="65" t="s">
        <v>19</v>
      </c>
      <c r="E62" s="84" t="s">
        <v>488</v>
      </c>
      <c r="F62" s="84" t="s">
        <v>156</v>
      </c>
      <c r="G62" s="125" t="s">
        <v>99</v>
      </c>
      <c r="H62" s="125">
        <v>4</v>
      </c>
      <c r="I62" s="128" t="s">
        <v>35</v>
      </c>
      <c r="J62" s="128">
        <v>6</v>
      </c>
      <c r="K62" s="130">
        <f t="shared" si="23"/>
        <v>10</v>
      </c>
      <c r="L62" s="65" t="s">
        <v>328</v>
      </c>
      <c r="M62" s="133" t="s">
        <v>135</v>
      </c>
      <c r="N62" s="133" t="s">
        <v>148</v>
      </c>
      <c r="O62" s="136" t="s">
        <v>481</v>
      </c>
      <c r="P62" s="68">
        <v>10</v>
      </c>
      <c r="Q62" s="81" t="str">
        <f t="shared" si="26"/>
        <v>+0</v>
      </c>
      <c r="R62" s="64">
        <v>11</v>
      </c>
      <c r="S62" s="81" t="str">
        <f t="shared" si="27"/>
        <v>+0</v>
      </c>
      <c r="T62" s="64">
        <v>9</v>
      </c>
      <c r="U62" s="81">
        <f t="shared" si="28"/>
        <v>-1</v>
      </c>
      <c r="V62" s="64">
        <v>14</v>
      </c>
      <c r="W62" s="81" t="str">
        <f t="shared" si="35"/>
        <v>+2</v>
      </c>
      <c r="X62" s="64">
        <v>13</v>
      </c>
      <c r="Y62" s="81" t="str">
        <f t="shared" si="36"/>
        <v>+1</v>
      </c>
      <c r="Z62" s="66">
        <v>20</v>
      </c>
      <c r="AA62" s="82" t="str">
        <f t="shared" si="31"/>
        <v>+5</v>
      </c>
      <c r="AB62" s="69">
        <f t="shared" si="24"/>
        <v>12.833333333333334</v>
      </c>
      <c r="AC62" s="70" t="str">
        <f t="shared" si="25"/>
        <v>+0</v>
      </c>
      <c r="AD62" s="71">
        <f>ROUND($H62*VLOOKUP($G62,'NPC Generator'!$I$2:$R$43,4,FALSE)/10,0)+ROUND($J62*VLOOKUP($I62,'NPC Generator'!$I$2:$R$43,4,FALSE)/10,0)</f>
        <v>4</v>
      </c>
      <c r="AE62" s="72">
        <f t="shared" si="32"/>
        <v>3</v>
      </c>
      <c r="AF62" s="73">
        <f>ROUND($H62*VLOOKUP($G62,'NPC Generator'!$I$2:$R$43,5,FALSE)/10,0)+ROUND($J62*VLOOKUP($I62,'NPC Generator'!$I$2:$R$43,5,FALSE)/10,0)</f>
        <v>4</v>
      </c>
      <c r="AG62" s="74">
        <f t="shared" si="33"/>
        <v>4</v>
      </c>
      <c r="AH62" s="75">
        <f>ROUND($H62*VLOOKUP($G62,'NPC Generator'!$I$2:$R$43,6,FALSE)/10,0)+ROUND($J62*VLOOKUP($I62,'NPC Generator'!$I$2:$R$43,6,FALSE)/10,0)</f>
        <v>5</v>
      </c>
      <c r="AI62" s="76">
        <f t="shared" si="34"/>
        <v>6</v>
      </c>
      <c r="AJ62" s="165">
        <f>ROUND($H62*VLOOKUP($G62,'NPC Generator'!$I$2:$R$43,3,FALSE)/10,0)+ROUND($J62*VLOOKUP($I62,'NPC Generator'!$I$2:$R$43,3,FALSE)/10,0)</f>
        <v>6</v>
      </c>
      <c r="AK62" s="68">
        <f>10+AC62+ROUND($H62*VLOOKUP($G62,'NPC Generator'!$I$2:$R$43,7,FALSE)/10,0)+ROUND($J62*VLOOKUP($I62,'NPC Generator'!$I$2:$R$43,7,FALSE)/10,0)</f>
        <v>14</v>
      </c>
      <c r="AL62" s="66">
        <f t="shared" si="12"/>
        <v>17</v>
      </c>
      <c r="AM62" s="66">
        <f t="shared" si="13"/>
        <v>17</v>
      </c>
      <c r="AN62" s="77">
        <f>$H62*(3+VLOOKUP($G62,'NPC Generator'!$I$2:$R$43,10,FALSE))+($J62*VLOOKUP($I62,'NPC Generator'!$I$2:$R$43,10,FALSE))+(U62*SUM(H62,J62))</f>
        <v>62</v>
      </c>
      <c r="AO62" s="78">
        <f>$H62*(3+VLOOKUP($G62,'NPC Generator'!$I$2:$R$43,9,FALSE))+($J62*VLOOKUP($I62,'NPC Generator'!$I$2:$R$43,9,FALSE))</f>
        <v>70</v>
      </c>
      <c r="AP62" s="163" t="s">
        <v>857</v>
      </c>
      <c r="AQ62" s="163" t="s">
        <v>733</v>
      </c>
      <c r="AR62" s="163" t="s">
        <v>804</v>
      </c>
      <c r="AS62" s="165" t="s">
        <v>826</v>
      </c>
      <c r="AT62" s="68" t="s">
        <v>1225</v>
      </c>
      <c r="AU62" s="64" t="s">
        <v>1185</v>
      </c>
      <c r="AV62" s="66">
        <f>VLOOKUP($AU62,¡RefTables!$G$8:$H$22,2,FALSE)</f>
        <v>3</v>
      </c>
      <c r="AW62" s="67" t="s">
        <v>1195</v>
      </c>
    </row>
    <row r="63" spans="1:49" ht="62.4" x14ac:dyDescent="0.3">
      <c r="A63" s="243" t="s">
        <v>457</v>
      </c>
      <c r="B63" s="134" t="s">
        <v>471</v>
      </c>
      <c r="C63" s="64" t="s">
        <v>303</v>
      </c>
      <c r="D63" s="65" t="s">
        <v>18</v>
      </c>
      <c r="E63" s="84" t="s">
        <v>488</v>
      </c>
      <c r="F63" s="84" t="s">
        <v>156</v>
      </c>
      <c r="G63" s="125" t="s">
        <v>98</v>
      </c>
      <c r="H63" s="125">
        <v>4</v>
      </c>
      <c r="I63" s="128" t="s">
        <v>45</v>
      </c>
      <c r="J63" s="128">
        <v>5</v>
      </c>
      <c r="K63" s="130">
        <f t="shared" si="23"/>
        <v>9</v>
      </c>
      <c r="L63" s="65" t="s">
        <v>314</v>
      </c>
      <c r="M63" s="133" t="s">
        <v>135</v>
      </c>
      <c r="N63" s="133" t="s">
        <v>104</v>
      </c>
      <c r="O63" s="66" t="s">
        <v>551</v>
      </c>
      <c r="P63" s="68">
        <v>10</v>
      </c>
      <c r="Q63" s="81" t="str">
        <f t="shared" si="26"/>
        <v>+0</v>
      </c>
      <c r="R63" s="64">
        <v>15</v>
      </c>
      <c r="S63" s="81" t="str">
        <f t="shared" si="27"/>
        <v>+2</v>
      </c>
      <c r="T63" s="64">
        <v>10</v>
      </c>
      <c r="U63" s="81" t="str">
        <f t="shared" si="28"/>
        <v>+0</v>
      </c>
      <c r="V63" s="64">
        <v>16</v>
      </c>
      <c r="W63" s="81" t="str">
        <f t="shared" si="35"/>
        <v>+3</v>
      </c>
      <c r="X63" s="64">
        <v>14</v>
      </c>
      <c r="Y63" s="81" t="str">
        <f t="shared" si="36"/>
        <v>+2</v>
      </c>
      <c r="Z63" s="66">
        <v>11</v>
      </c>
      <c r="AA63" s="82" t="str">
        <f t="shared" si="31"/>
        <v>+0</v>
      </c>
      <c r="AB63" s="69">
        <f t="shared" si="24"/>
        <v>12.666666666666666</v>
      </c>
      <c r="AC63" s="70" t="str">
        <f t="shared" si="25"/>
        <v>+2</v>
      </c>
      <c r="AD63" s="71">
        <f>ROUND($H63*VLOOKUP($G63,'NPC Generator'!$I$2:$R$43,4,FALSE)/10,0)+ROUND($J63*VLOOKUP($I63,'NPC Generator'!$I$2:$R$43,4,FALSE)/10,0)</f>
        <v>3</v>
      </c>
      <c r="AE63" s="72">
        <f t="shared" si="32"/>
        <v>3</v>
      </c>
      <c r="AF63" s="73">
        <f>ROUND($H63*VLOOKUP($G63,'NPC Generator'!$I$2:$R$43,5,FALSE)/10,0)+ROUND($J63*VLOOKUP($I63,'NPC Generator'!$I$2:$R$43,5,FALSE)/10,0)</f>
        <v>5</v>
      </c>
      <c r="AG63" s="74">
        <f t="shared" si="33"/>
        <v>7</v>
      </c>
      <c r="AH63" s="75">
        <f>ROUND($H63*VLOOKUP($G63,'NPC Generator'!$I$2:$R$43,6,FALSE)/10,0)+ROUND($J63*VLOOKUP($I63,'NPC Generator'!$I$2:$R$43,6,FALSE)/10,0)</f>
        <v>4</v>
      </c>
      <c r="AI63" s="76">
        <f t="shared" si="34"/>
        <v>6</v>
      </c>
      <c r="AJ63" s="165">
        <f>ROUND($H63*VLOOKUP($G63,'NPC Generator'!$I$2:$R$43,3,FALSE)/10,0)+ROUND($J63*VLOOKUP($I63,'NPC Generator'!$I$2:$R$43,3,FALSE)/10,0)</f>
        <v>7</v>
      </c>
      <c r="AK63" s="68">
        <f>10+AC63+ROUND($H63*VLOOKUP($G63,'NPC Generator'!$I$2:$R$43,7,FALSE)/10,0)+ROUND($J63*VLOOKUP($I63,'NPC Generator'!$I$2:$R$43,7,FALSE)/10,0)</f>
        <v>16</v>
      </c>
      <c r="AL63" s="66">
        <f t="shared" si="12"/>
        <v>17</v>
      </c>
      <c r="AM63" s="66">
        <f t="shared" si="13"/>
        <v>19</v>
      </c>
      <c r="AN63" s="77">
        <f>$H63*(3+VLOOKUP($G63,'NPC Generator'!$I$2:$R$43,10,FALSE))+($J63*VLOOKUP($I63,'NPC Generator'!$I$2:$R$43,10,FALSE))+(U63*SUM(H63,J63))</f>
        <v>76</v>
      </c>
      <c r="AO63" s="78">
        <f>$H63*(3+VLOOKUP($G63,'NPC Generator'!$I$2:$R$43,9,FALSE))+($J63*VLOOKUP($I63,'NPC Generator'!$I$2:$R$43,9,FALSE))</f>
        <v>73</v>
      </c>
      <c r="AP63" s="163" t="s">
        <v>902</v>
      </c>
      <c r="AQ63" s="163" t="s">
        <v>730</v>
      </c>
      <c r="AR63" s="163" t="s">
        <v>768</v>
      </c>
      <c r="AS63" s="165" t="s">
        <v>825</v>
      </c>
      <c r="AT63" s="68" t="s">
        <v>1235</v>
      </c>
      <c r="AU63" s="64" t="s">
        <v>1185</v>
      </c>
      <c r="AV63" s="66">
        <f>VLOOKUP($AU63,¡RefTables!$G$8:$H$22,2,FALSE)</f>
        <v>3</v>
      </c>
      <c r="AW63" s="67" t="s">
        <v>1218</v>
      </c>
    </row>
    <row r="64" spans="1:49" ht="31.2" x14ac:dyDescent="0.3">
      <c r="A64" s="242" t="s">
        <v>627</v>
      </c>
      <c r="B64" s="134" t="s">
        <v>446</v>
      </c>
      <c r="C64" s="64" t="s">
        <v>105</v>
      </c>
      <c r="D64" s="65" t="s">
        <v>19</v>
      </c>
      <c r="E64" s="84" t="s">
        <v>488</v>
      </c>
      <c r="F64" s="84" t="s">
        <v>156</v>
      </c>
      <c r="G64" s="125" t="s">
        <v>98</v>
      </c>
      <c r="H64" s="125">
        <v>4</v>
      </c>
      <c r="I64" s="128" t="s">
        <v>26</v>
      </c>
      <c r="J64" s="128">
        <v>4</v>
      </c>
      <c r="K64" s="130">
        <f t="shared" si="23"/>
        <v>8</v>
      </c>
      <c r="L64" s="65" t="s">
        <v>333</v>
      </c>
      <c r="M64" s="133" t="s">
        <v>135</v>
      </c>
      <c r="N64" s="133" t="s">
        <v>337</v>
      </c>
      <c r="O64" s="66" t="s">
        <v>965</v>
      </c>
      <c r="P64" s="68">
        <v>13</v>
      </c>
      <c r="Q64" s="81">
        <v>-1</v>
      </c>
      <c r="R64" s="64">
        <v>9</v>
      </c>
      <c r="S64" s="81" t="s">
        <v>86</v>
      </c>
      <c r="T64" s="64">
        <v>16</v>
      </c>
      <c r="U64" s="81" t="s">
        <v>86</v>
      </c>
      <c r="V64" s="64">
        <v>11</v>
      </c>
      <c r="W64" s="81" t="s">
        <v>84</v>
      </c>
      <c r="X64" s="64">
        <v>13</v>
      </c>
      <c r="Y64" s="81" t="s">
        <v>84</v>
      </c>
      <c r="Z64" s="66">
        <v>18</v>
      </c>
      <c r="AA64" s="82">
        <v>-1</v>
      </c>
      <c r="AB64" s="69">
        <f t="shared" si="24"/>
        <v>13.333333333333334</v>
      </c>
      <c r="AC64" s="70">
        <f t="shared" si="25"/>
        <v>-1</v>
      </c>
      <c r="AD64" s="71">
        <f>ROUND($H64*VLOOKUP($G64,'NPC Generator'!$I$2:$R$43,4,FALSE)/10,0)+ROUND($J64*VLOOKUP($I64,'NPC Generator'!$I$2:$R$43,4,FALSE)/10,0)</f>
        <v>2</v>
      </c>
      <c r="AE64" s="72">
        <v>1</v>
      </c>
      <c r="AF64" s="73">
        <f>ROUND($H64*VLOOKUP($G64,'NPC Generator'!$I$2:$R$43,5,FALSE)/10,0)+ROUND($J64*VLOOKUP($I64,'NPC Generator'!$I$2:$R$43,5,FALSE)/10,0)</f>
        <v>4</v>
      </c>
      <c r="AG64" s="74">
        <v>1</v>
      </c>
      <c r="AH64" s="75">
        <f>ROUND($H64*VLOOKUP($G64,'NPC Generator'!$I$2:$R$43,6,FALSE)/10,0)+ROUND($J64*VLOOKUP($I64,'NPC Generator'!$I$2:$R$43,6,FALSE)/10,0)</f>
        <v>3</v>
      </c>
      <c r="AI64" s="76">
        <v>4</v>
      </c>
      <c r="AJ64" s="165">
        <f>ROUND($H64*VLOOKUP($G64,'NPC Generator'!$I$2:$R$43,3,FALSE)/10,0)+ROUND($J64*VLOOKUP($I64,'NPC Generator'!$I$2:$R$43,3,FALSE)/10,0)</f>
        <v>4</v>
      </c>
      <c r="AK64" s="68">
        <f>10+AC64+ROUND($H64*VLOOKUP($G64,'NPC Generator'!$I$2:$R$43,7,FALSE)/10,0)+ROUND($J64*VLOOKUP($I64,'NPC Generator'!$I$2:$R$43,7,FALSE)/10,0)</f>
        <v>13</v>
      </c>
      <c r="AL64" s="66">
        <f t="shared" si="12"/>
        <v>17</v>
      </c>
      <c r="AM64" s="66">
        <f t="shared" si="13"/>
        <v>16</v>
      </c>
      <c r="AN64" s="77">
        <f>$H64*(3+VLOOKUP($G64,'NPC Generator'!$I$2:$R$43,10,FALSE))+($J64*VLOOKUP($I64,'NPC Generator'!$I$2:$R$43,10,FALSE))+(U64*SUM(H64,J64))</f>
        <v>76</v>
      </c>
      <c r="AO64" s="78">
        <f>$H64*(3+VLOOKUP($G64,'NPC Generator'!$I$2:$R$43,9,FALSE))+($J64*VLOOKUP($I64,'NPC Generator'!$I$2:$R$43,9,FALSE))</f>
        <v>76</v>
      </c>
      <c r="AP64" s="163" t="s">
        <v>868</v>
      </c>
      <c r="AQ64" s="163" t="s">
        <v>730</v>
      </c>
      <c r="AR64" s="163" t="s">
        <v>765</v>
      </c>
      <c r="AS64" s="165" t="s">
        <v>929</v>
      </c>
      <c r="AT64" s="68" t="s">
        <v>1087</v>
      </c>
      <c r="AU64" s="64" t="s">
        <v>1185</v>
      </c>
      <c r="AV64" s="66">
        <f>VLOOKUP($AU64,¡RefTables!$G$8:$H$22,2,FALSE)</f>
        <v>3</v>
      </c>
      <c r="AW64" s="67" t="s">
        <v>1239</v>
      </c>
    </row>
    <row r="65" spans="1:49" ht="31.2" x14ac:dyDescent="0.3">
      <c r="A65" s="243" t="s">
        <v>458</v>
      </c>
      <c r="B65" s="135" t="s">
        <v>459</v>
      </c>
      <c r="C65" s="64" t="s">
        <v>105</v>
      </c>
      <c r="D65" s="65" t="s">
        <v>20</v>
      </c>
      <c r="E65" s="102" t="s">
        <v>488</v>
      </c>
      <c r="F65" s="102" t="s">
        <v>156</v>
      </c>
      <c r="G65" s="125" t="s">
        <v>101</v>
      </c>
      <c r="H65" s="125">
        <v>4</v>
      </c>
      <c r="I65" s="128" t="s">
        <v>717</v>
      </c>
      <c r="J65" s="128">
        <v>4</v>
      </c>
      <c r="K65" s="130">
        <f t="shared" si="23"/>
        <v>8</v>
      </c>
      <c r="L65" s="65" t="s">
        <v>323</v>
      </c>
      <c r="M65" s="133" t="s">
        <v>135</v>
      </c>
      <c r="N65" s="133" t="s">
        <v>305</v>
      </c>
      <c r="O65" s="66" t="s">
        <v>966</v>
      </c>
      <c r="P65" s="68">
        <v>9</v>
      </c>
      <c r="Q65" s="81">
        <f>IF(P65&gt;9.9,CONCATENATE("+",ROUNDDOWN((P65-10) / 2,0)),ROUNDUP((P65-10) / 2,0))</f>
        <v>-1</v>
      </c>
      <c r="R65" s="64">
        <v>13</v>
      </c>
      <c r="S65" s="81" t="str">
        <f>IF(R65&gt;9.9,CONCATENATE("+",ROUNDDOWN((R65-10) / 2,0)),ROUNDUP((R65-10) / 2,0))</f>
        <v>+1</v>
      </c>
      <c r="T65" s="64">
        <v>8</v>
      </c>
      <c r="U65" s="81">
        <f>IF(T65&gt;9.9,CONCATENATE("+",ROUNDDOWN((T65-10) / 2,0)),ROUNDUP((T65-10) / 2,0))</f>
        <v>-1</v>
      </c>
      <c r="V65" s="64">
        <v>13</v>
      </c>
      <c r="W65" s="81" t="str">
        <f>IF(V65&gt;9.9,CONCATENATE("+",ROUNDDOWN((V65-10) / 2,0)),ROUNDUP((V65-10) / 2,0))</f>
        <v>+1</v>
      </c>
      <c r="X65" s="64">
        <v>16</v>
      </c>
      <c r="Y65" s="81" t="str">
        <f>IF(X65&gt;9.9,CONCATENATE("+",ROUNDDOWN((X65-10) / 2,0)),ROUNDUP((X65-10) / 2,0))</f>
        <v>+3</v>
      </c>
      <c r="Z65" s="66">
        <v>18</v>
      </c>
      <c r="AA65" s="82" t="str">
        <f>IF(Z65&gt;9.9,CONCATENATE("+",ROUNDDOWN((Z65-10) / 2,0)),ROUNDUP((Z65-10) / 2,0))</f>
        <v>+4</v>
      </c>
      <c r="AB65" s="69">
        <f t="shared" si="24"/>
        <v>12.833333333333334</v>
      </c>
      <c r="AC65" s="70" t="str">
        <f t="shared" si="25"/>
        <v>+1</v>
      </c>
      <c r="AD65" s="71">
        <f>ROUND($H65*VLOOKUP($G65,'NPC Generator'!$I$2:$R$43,4,FALSE)/10,0)+ROUND($J65*VLOOKUP($I65,'NPC Generator'!$I$2:$R$43,4,FALSE)/10,0)</f>
        <v>2</v>
      </c>
      <c r="AE65" s="72">
        <f>IF(T65&gt;9.9,(ROUNDDOWN((T65-10) / 2,0)),ROUNDUP((T65-10) / 2,0))+AD65</f>
        <v>1</v>
      </c>
      <c r="AF65" s="73">
        <f>ROUND($H65*VLOOKUP($G65,'NPC Generator'!$I$2:$R$43,5,FALSE)/10,0)+ROUND($J65*VLOOKUP($I65,'NPC Generator'!$I$2:$R$43,5,FALSE)/10,0)</f>
        <v>5</v>
      </c>
      <c r="AG65" s="74">
        <f>AF65+AC65</f>
        <v>6</v>
      </c>
      <c r="AH65" s="75">
        <f>ROUND($H65*VLOOKUP($G65,'NPC Generator'!$I$2:$R$43,6,FALSE)/10,0)+ROUND($J65*VLOOKUP($I65,'NPC Generator'!$I$2:$R$43,6,FALSE)/10,0)</f>
        <v>2</v>
      </c>
      <c r="AI65" s="76">
        <f>IF(X65&gt;9.9,(ROUNDDOWN((X65-10) / 2,0)),ROUNDUP((X65-10) / 2,0))+AH65</f>
        <v>5</v>
      </c>
      <c r="AJ65" s="165">
        <f>ROUND($H65*VLOOKUP($G65,'NPC Generator'!$I$2:$R$43,3,FALSE)/10,0)+ROUND($J65*VLOOKUP($I65,'NPC Generator'!$I$2:$R$43,3,FALSE)/10,0)</f>
        <v>6</v>
      </c>
      <c r="AK65" s="68">
        <f>10+AC65+ROUND($H65*VLOOKUP($G65,'NPC Generator'!$I$2:$R$43,7,FALSE)/10,0)+ROUND($J65*VLOOKUP($I65,'NPC Generator'!$I$2:$R$43,7,FALSE)/10,0)</f>
        <v>16</v>
      </c>
      <c r="AL65" s="66">
        <f t="shared" si="12"/>
        <v>18</v>
      </c>
      <c r="AM65" s="66">
        <f t="shared" si="13"/>
        <v>19</v>
      </c>
      <c r="AN65" s="77">
        <f>$H65*(3+VLOOKUP($G65,'NPC Generator'!$I$2:$R$43,10,FALSE))+($J65*VLOOKUP($I65,'NPC Generator'!$I$2:$R$43,10,FALSE))+(U65*SUM(H65,J65))</f>
        <v>68</v>
      </c>
      <c r="AO65" s="78">
        <f>$H65*(3+VLOOKUP($G65,'NPC Generator'!$I$2:$R$43,9,FALSE))+($J65*VLOOKUP($I65,'NPC Generator'!$I$2:$R$43,9,FALSE))</f>
        <v>52</v>
      </c>
      <c r="AP65" s="163" t="s">
        <v>891</v>
      </c>
      <c r="AQ65" s="163" t="s">
        <v>728</v>
      </c>
      <c r="AR65" s="163" t="s">
        <v>748</v>
      </c>
      <c r="AS65" s="165" t="s">
        <v>812</v>
      </c>
      <c r="AT65" s="68" t="s">
        <v>1131</v>
      </c>
      <c r="AU65" s="64" t="s">
        <v>1185</v>
      </c>
      <c r="AV65" s="66">
        <f>VLOOKUP($AU65,¡RefTables!$G$8:$H$22,2,FALSE)</f>
        <v>3</v>
      </c>
      <c r="AW65" s="67" t="s">
        <v>1245</v>
      </c>
    </row>
    <row r="66" spans="1:49" ht="46.8" x14ac:dyDescent="0.3">
      <c r="A66" s="242" t="s">
        <v>453</v>
      </c>
      <c r="B66" s="135" t="s">
        <v>454</v>
      </c>
      <c r="C66" s="64" t="s">
        <v>106</v>
      </c>
      <c r="D66" s="65" t="s">
        <v>19</v>
      </c>
      <c r="E66" s="102" t="s">
        <v>488</v>
      </c>
      <c r="F66" s="102" t="s">
        <v>156</v>
      </c>
      <c r="G66" s="125" t="s">
        <v>98</v>
      </c>
      <c r="H66" s="125">
        <v>4</v>
      </c>
      <c r="I66" s="128" t="s">
        <v>716</v>
      </c>
      <c r="J66" s="128">
        <v>3</v>
      </c>
      <c r="K66" s="130">
        <f t="shared" ref="K66:K91" si="37">J66+H66</f>
        <v>7</v>
      </c>
      <c r="L66" s="65" t="s">
        <v>310</v>
      </c>
      <c r="M66" s="133" t="s">
        <v>129</v>
      </c>
      <c r="N66" s="133" t="s">
        <v>304</v>
      </c>
      <c r="O66" s="66" t="s">
        <v>552</v>
      </c>
      <c r="P66" s="68">
        <v>10</v>
      </c>
      <c r="Q66" s="81" t="str">
        <f>IF(P66&gt;9.9,CONCATENATE("+",ROUNDDOWN((P66-10) / 2,0)),ROUNDUP((P66-10) / 2,0))</f>
        <v>+0</v>
      </c>
      <c r="R66" s="64">
        <v>16</v>
      </c>
      <c r="S66" s="81" t="str">
        <f>IF(R66&gt;9.9,CONCATENATE("+",ROUNDDOWN((R66-10) / 2,0)),ROUNDUP((R66-10) / 2,0))</f>
        <v>+3</v>
      </c>
      <c r="T66" s="64">
        <v>11</v>
      </c>
      <c r="U66" s="81" t="str">
        <f>IF(T66&gt;9.9,CONCATENATE("+",ROUNDDOWN((T66-10) / 2,0)),ROUNDUP((T66-10) / 2,0))</f>
        <v>+0</v>
      </c>
      <c r="V66" s="64">
        <v>17</v>
      </c>
      <c r="W66" s="81" t="str">
        <f>IF(V66&gt;9.9,CONCATENATE("+",ROUNDDOWN((V66-10) / 2,0)),ROUNDUP((V66-10) / 2,0))</f>
        <v>+3</v>
      </c>
      <c r="X66" s="64">
        <v>13</v>
      </c>
      <c r="Y66" s="81" t="str">
        <f>IF(X66&gt;9.9,CONCATENATE("+",ROUNDDOWN((X66-10) / 2,0)),ROUNDUP((X66-10) / 2,0))</f>
        <v>+1</v>
      </c>
      <c r="Z66" s="66">
        <v>10</v>
      </c>
      <c r="AA66" s="82" t="str">
        <f>IF(Z66&gt;9.9,CONCATENATE("+",ROUNDDOWN((Z66-10) / 2,0)),ROUNDUP((Z66-10) / 2,0))</f>
        <v>+0</v>
      </c>
      <c r="AB66" s="69">
        <f t="shared" ref="AB66:AB91" si="38">AVERAGE(P66,R66,T66,V66,X66,Z66)</f>
        <v>12.833333333333334</v>
      </c>
      <c r="AC66" s="70" t="str">
        <f t="shared" ref="AC66:AC91" si="39">IF(R66&gt;9.9,CONCATENATE("+",ROUNDDOWN((R66-10) / 2,0)),ROUNDUP((R66-10) / 2,0))</f>
        <v>+3</v>
      </c>
      <c r="AD66" s="71">
        <f>ROUND($H66*VLOOKUP($G66,'NPC Generator'!$I$2:$R$43,4,FALSE)/10,0)+ROUND($J66*VLOOKUP($I66,'NPC Generator'!$I$2:$R$43,4,FALSE)/10,0)</f>
        <v>2</v>
      </c>
      <c r="AE66" s="72">
        <f>IF(T66&gt;9.9,(ROUNDDOWN((T66-10) / 2,0)),ROUNDUP((T66-10) / 2,0))+AD66</f>
        <v>2</v>
      </c>
      <c r="AF66" s="73">
        <f>ROUND($H66*VLOOKUP($G66,'NPC Generator'!$I$2:$R$43,5,FALSE)/10,0)+ROUND($J66*VLOOKUP($I66,'NPC Generator'!$I$2:$R$43,5,FALSE)/10,0)</f>
        <v>2</v>
      </c>
      <c r="AG66" s="74">
        <f>AF66+AC66</f>
        <v>5</v>
      </c>
      <c r="AH66" s="75">
        <f>ROUND($H66*VLOOKUP($G66,'NPC Generator'!$I$2:$R$43,6,FALSE)/10,0)+ROUND($J66*VLOOKUP($I66,'NPC Generator'!$I$2:$R$43,6,FALSE)/10,0)</f>
        <v>4</v>
      </c>
      <c r="AI66" s="76">
        <f>IF(X66&gt;9.9,(ROUNDDOWN((X66-10) / 2,0)),ROUNDUP((X66-10) / 2,0))+AH66</f>
        <v>5</v>
      </c>
      <c r="AJ66" s="165">
        <f>ROUND($H66*VLOOKUP($G66,'NPC Generator'!$I$2:$R$43,3,FALSE)/10,0)+ROUND($J66*VLOOKUP($I66,'NPC Generator'!$I$2:$R$43,3,FALSE)/10,0)</f>
        <v>4</v>
      </c>
      <c r="AK66" s="68">
        <f>10+AC66+ROUND($H66*VLOOKUP($G66,'NPC Generator'!$I$2:$R$43,7,FALSE)/10,0)+ROUND($J66*VLOOKUP($I66,'NPC Generator'!$I$2:$R$43,7,FALSE)/10,0)</f>
        <v>16</v>
      </c>
      <c r="AL66" s="66">
        <f t="shared" si="12"/>
        <v>14</v>
      </c>
      <c r="AM66" s="66">
        <f t="shared" si="13"/>
        <v>17</v>
      </c>
      <c r="AN66" s="77">
        <f>$H66*(3+VLOOKUP($G66,'NPC Generator'!$I$2:$R$43,10,FALSE))+($J66*VLOOKUP($I66,'NPC Generator'!$I$2:$R$43,10,FALSE))+(U66*SUM(H66,J66))</f>
        <v>54</v>
      </c>
      <c r="AO66" s="78">
        <f>$H66*(3+VLOOKUP($G66,'NPC Generator'!$I$2:$R$43,9,FALSE))+($J66*VLOOKUP($I66,'NPC Generator'!$I$2:$R$43,9,FALSE))</f>
        <v>69</v>
      </c>
      <c r="AP66" s="163" t="s">
        <v>877</v>
      </c>
      <c r="AQ66" s="163" t="s">
        <v>730</v>
      </c>
      <c r="AR66" s="163" t="s">
        <v>767</v>
      </c>
      <c r="AS66" s="165" t="s">
        <v>782</v>
      </c>
      <c r="AT66" s="68" t="s">
        <v>1023</v>
      </c>
      <c r="AU66" s="64" t="s">
        <v>1181</v>
      </c>
      <c r="AV66" s="66">
        <f>VLOOKUP($AU66,¡RefTables!$G$8:$H$22,2,FALSE)</f>
        <v>1</v>
      </c>
      <c r="AW66" s="67" t="s">
        <v>1201</v>
      </c>
    </row>
    <row r="67" spans="1:49" ht="46.8" x14ac:dyDescent="0.3">
      <c r="A67" s="242" t="s">
        <v>235</v>
      </c>
      <c r="B67" s="135" t="s">
        <v>709</v>
      </c>
      <c r="C67" s="64" t="s">
        <v>105</v>
      </c>
      <c r="D67" s="65" t="s">
        <v>21</v>
      </c>
      <c r="E67" s="83" t="s">
        <v>489</v>
      </c>
      <c r="F67" s="83" t="s">
        <v>105</v>
      </c>
      <c r="G67" s="125" t="s">
        <v>99</v>
      </c>
      <c r="H67" s="125">
        <v>4</v>
      </c>
      <c r="I67" s="128" t="s">
        <v>35</v>
      </c>
      <c r="J67" s="128">
        <v>6</v>
      </c>
      <c r="K67" s="130">
        <f t="shared" si="37"/>
        <v>10</v>
      </c>
      <c r="L67" s="65" t="s">
        <v>316</v>
      </c>
      <c r="M67" s="133" t="s">
        <v>135</v>
      </c>
      <c r="N67" s="133" t="s">
        <v>148</v>
      </c>
      <c r="O67" s="66" t="s">
        <v>553</v>
      </c>
      <c r="P67" s="68">
        <v>10</v>
      </c>
      <c r="Q67" s="81" t="s">
        <v>85</v>
      </c>
      <c r="R67" s="64">
        <v>11</v>
      </c>
      <c r="S67" s="81">
        <v>-1</v>
      </c>
      <c r="T67" s="64">
        <v>13</v>
      </c>
      <c r="U67" s="81" t="s">
        <v>84</v>
      </c>
      <c r="V67" s="64">
        <v>15</v>
      </c>
      <c r="W67" s="81" t="s">
        <v>83</v>
      </c>
      <c r="X67" s="64">
        <v>10</v>
      </c>
      <c r="Y67" s="81" t="s">
        <v>85</v>
      </c>
      <c r="Z67" s="66">
        <v>17</v>
      </c>
      <c r="AA67" s="82" t="s">
        <v>85</v>
      </c>
      <c r="AB67" s="69">
        <f t="shared" si="38"/>
        <v>12.666666666666666</v>
      </c>
      <c r="AC67" s="70" t="str">
        <f t="shared" si="39"/>
        <v>+0</v>
      </c>
      <c r="AD67" s="71">
        <f>ROUND($H67*VLOOKUP($G67,'NPC Generator'!$I$2:$R$43,4,FALSE)/10,0)+ROUND($J67*VLOOKUP($I67,'NPC Generator'!$I$2:$R$43,4,FALSE)/10,0)</f>
        <v>4</v>
      </c>
      <c r="AE67" s="72">
        <v>4</v>
      </c>
      <c r="AF67" s="73">
        <f>ROUND($H67*VLOOKUP($G67,'NPC Generator'!$I$2:$R$43,5,FALSE)/10,0)+ROUND($J67*VLOOKUP($I67,'NPC Generator'!$I$2:$R$43,5,FALSE)/10,0)</f>
        <v>4</v>
      </c>
      <c r="AG67" s="74">
        <v>-1</v>
      </c>
      <c r="AH67" s="75">
        <f>ROUND($H67*VLOOKUP($G67,'NPC Generator'!$I$2:$R$43,6,FALSE)/10,0)+ROUND($J67*VLOOKUP($I67,'NPC Generator'!$I$2:$R$43,6,FALSE)/10,0)</f>
        <v>5</v>
      </c>
      <c r="AI67" s="76">
        <v>3</v>
      </c>
      <c r="AJ67" s="165">
        <f>ROUND($H67*VLOOKUP($G67,'NPC Generator'!$I$2:$R$43,3,FALSE)/10,0)+ROUND($J67*VLOOKUP($I67,'NPC Generator'!$I$2:$R$43,3,FALSE)/10,0)</f>
        <v>6</v>
      </c>
      <c r="AK67" s="68">
        <f>10+AC67+ROUND($H67*VLOOKUP($G67,'NPC Generator'!$I$2:$R$43,7,FALSE)/10,0)+ROUND($J67*VLOOKUP($I67,'NPC Generator'!$I$2:$R$43,7,FALSE)/10,0)</f>
        <v>14</v>
      </c>
      <c r="AL67" s="66">
        <f t="shared" ref="AL67:AL91" si="40">AM67-AC67</f>
        <v>22</v>
      </c>
      <c r="AM67" s="66">
        <f t="shared" ref="AM67:AM91" si="41">AK67+AV67</f>
        <v>22</v>
      </c>
      <c r="AN67" s="77">
        <f>$H67*(3+VLOOKUP($G67,'NPC Generator'!$I$2:$R$43,10,FALSE))+($J67*VLOOKUP($I67,'NPC Generator'!$I$2:$R$43,10,FALSE))+(U67*SUM(H67,J67))</f>
        <v>92</v>
      </c>
      <c r="AO67" s="78">
        <f>$H67*(3+VLOOKUP($G67,'NPC Generator'!$I$2:$R$43,9,FALSE))+($J67*VLOOKUP($I67,'NPC Generator'!$I$2:$R$43,9,FALSE))</f>
        <v>70</v>
      </c>
      <c r="AP67" s="163" t="s">
        <v>859</v>
      </c>
      <c r="AQ67" s="163" t="s">
        <v>733</v>
      </c>
      <c r="AR67" s="163" t="s">
        <v>808</v>
      </c>
      <c r="AS67" s="165" t="s">
        <v>845</v>
      </c>
      <c r="AT67" s="68" t="s">
        <v>946</v>
      </c>
      <c r="AU67" s="64" t="s">
        <v>1191</v>
      </c>
      <c r="AV67" s="66">
        <f>VLOOKUP($AU67,¡RefTables!$G$8:$H$22,2,FALSE)</f>
        <v>8</v>
      </c>
      <c r="AW67" s="67" t="s">
        <v>1197</v>
      </c>
    </row>
    <row r="68" spans="1:49" ht="31.2" x14ac:dyDescent="0.3">
      <c r="A68" s="242" t="s">
        <v>235</v>
      </c>
      <c r="B68" s="134" t="s">
        <v>707</v>
      </c>
      <c r="C68" s="64" t="s">
        <v>105</v>
      </c>
      <c r="D68" s="65" t="s">
        <v>21</v>
      </c>
      <c r="E68" s="83" t="s">
        <v>489</v>
      </c>
      <c r="F68" s="83" t="s">
        <v>105</v>
      </c>
      <c r="G68" s="125" t="s">
        <v>102</v>
      </c>
      <c r="H68" s="125">
        <v>4</v>
      </c>
      <c r="I68" s="128" t="s">
        <v>714</v>
      </c>
      <c r="J68" s="128">
        <v>5</v>
      </c>
      <c r="K68" s="130">
        <f t="shared" si="37"/>
        <v>9</v>
      </c>
      <c r="L68" s="65" t="s">
        <v>315</v>
      </c>
      <c r="M68" s="133" t="s">
        <v>134</v>
      </c>
      <c r="N68" s="133" t="s">
        <v>104</v>
      </c>
      <c r="O68" s="66" t="s">
        <v>705</v>
      </c>
      <c r="P68" s="68">
        <v>16</v>
      </c>
      <c r="Q68" s="81" t="str">
        <f t="shared" ref="Q68:Q74" si="42">IF(P68&gt;9.9,CONCATENATE("+",ROUNDDOWN((P68-10) / 2,0)),ROUNDUP((P68-10) / 2,0))</f>
        <v>+3</v>
      </c>
      <c r="R68" s="64">
        <v>13</v>
      </c>
      <c r="S68" s="81" t="str">
        <f t="shared" ref="S68:S74" si="43">IF(R68&gt;9.9,CONCATENATE("+",ROUNDDOWN((R68-10) / 2,0)),ROUNDUP((R68-10) / 2,0))</f>
        <v>+1</v>
      </c>
      <c r="T68" s="64">
        <v>18</v>
      </c>
      <c r="U68" s="81" t="str">
        <f t="shared" ref="U68:U74" si="44">IF(T68&gt;9.9,CONCATENATE("+",ROUNDDOWN((T68-10) / 2,0)),ROUNDUP((T68-10) / 2,0))</f>
        <v>+4</v>
      </c>
      <c r="V68" s="64">
        <v>10</v>
      </c>
      <c r="W68" s="81" t="str">
        <f t="shared" ref="W68:W74" si="45">IF(V68&gt;9.9,CONCATENATE("+",ROUNDDOWN((V68-10) / 2,0)),ROUNDUP((V68-10) / 2,0))</f>
        <v>+0</v>
      </c>
      <c r="X68" s="64">
        <v>10</v>
      </c>
      <c r="Y68" s="81" t="str">
        <f t="shared" ref="Y68:Y74" si="46">IF(X68&gt;9.9,CONCATENATE("+",ROUNDDOWN((X68-10) / 2,0)),ROUNDUP((X68-10) / 2,0))</f>
        <v>+0</v>
      </c>
      <c r="Z68" s="66">
        <v>10</v>
      </c>
      <c r="AA68" s="82" t="str">
        <f t="shared" ref="AA68:AA74" si="47">IF(Z68&gt;9.9,CONCATENATE("+",ROUNDDOWN((Z68-10) / 2,0)),ROUNDUP((Z68-10) / 2,0))</f>
        <v>+0</v>
      </c>
      <c r="AB68" s="69">
        <f t="shared" si="38"/>
        <v>12.833333333333334</v>
      </c>
      <c r="AC68" s="70" t="str">
        <f t="shared" si="39"/>
        <v>+1</v>
      </c>
      <c r="AD68" s="71">
        <f>ROUND($H68*VLOOKUP($G68,'NPC Generator'!$I$2:$R$43,4,FALSE)/10,0)+ROUND($J68*VLOOKUP($I68,'NPC Generator'!$I$2:$R$43,4,FALSE)/10,0)</f>
        <v>6</v>
      </c>
      <c r="AE68" s="72">
        <f t="shared" ref="AE68:AE74" si="48">IF(T68&gt;9.9,(ROUNDDOWN((T68-10) / 2,0)),ROUNDUP((T68-10) / 2,0))+AD68</f>
        <v>10</v>
      </c>
      <c r="AF68" s="73">
        <f>ROUND($H68*VLOOKUP($G68,'NPC Generator'!$I$2:$R$43,5,FALSE)/10,0)+ROUND($J68*VLOOKUP($I68,'NPC Generator'!$I$2:$R$43,5,FALSE)/10,0)</f>
        <v>3</v>
      </c>
      <c r="AG68" s="74">
        <f t="shared" ref="AG68:AG74" si="49">AF68+AC68</f>
        <v>4</v>
      </c>
      <c r="AH68" s="75">
        <f>ROUND($H68*VLOOKUP($G68,'NPC Generator'!$I$2:$R$43,6,FALSE)/10,0)+ROUND($J68*VLOOKUP($I68,'NPC Generator'!$I$2:$R$43,6,FALSE)/10,0)</f>
        <v>3</v>
      </c>
      <c r="AI68" s="76">
        <f t="shared" ref="AI68:AI74" si="50">IF(X68&gt;9.9,(ROUNDDOWN((X68-10) / 2,0)),ROUNDUP((X68-10) / 2,0))+AH68</f>
        <v>3</v>
      </c>
      <c r="AJ68" s="165">
        <f>ROUND($H68*VLOOKUP($G68,'NPC Generator'!$I$2:$R$43,3,FALSE)/10,0)+ROUND($J68*VLOOKUP($I68,'NPC Generator'!$I$2:$R$43,3,FALSE)/10,0)</f>
        <v>7</v>
      </c>
      <c r="AK68" s="68">
        <f>10+AC68+ROUND($H68*VLOOKUP($G68,'NPC Generator'!$I$2:$R$43,7,FALSE)/10,0)+ROUND($J68*VLOOKUP($I68,'NPC Generator'!$I$2:$R$43,7,FALSE)/10,0)</f>
        <v>16</v>
      </c>
      <c r="AL68" s="66">
        <f t="shared" si="40"/>
        <v>23</v>
      </c>
      <c r="AM68" s="66">
        <f t="shared" si="41"/>
        <v>24</v>
      </c>
      <c r="AN68" s="77">
        <f>$H68*(3+VLOOKUP($G68,'NPC Generator'!$I$2:$R$43,10,FALSE))+($J68*VLOOKUP($I68,'NPC Generator'!$I$2:$R$43,10,FALSE))+(U68*SUM(H68,J68))</f>
        <v>103</v>
      </c>
      <c r="AO68" s="78">
        <f>$H68*(3+VLOOKUP($G68,'NPC Generator'!$I$2:$R$43,9,FALSE))+($J68*VLOOKUP($I68,'NPC Generator'!$I$2:$R$43,9,FALSE))</f>
        <v>74</v>
      </c>
      <c r="AP68" s="163" t="s">
        <v>862</v>
      </c>
      <c r="AQ68" s="163" t="s">
        <v>739</v>
      </c>
      <c r="AR68" s="163" t="s">
        <v>926</v>
      </c>
      <c r="AS68" s="165" t="s">
        <v>942</v>
      </c>
      <c r="AT68" s="68" t="s">
        <v>947</v>
      </c>
      <c r="AU68" s="64" t="s">
        <v>1191</v>
      </c>
      <c r="AV68" s="66">
        <f>VLOOKUP($AU68,¡RefTables!$G$8:$H$22,2,FALSE)</f>
        <v>8</v>
      </c>
      <c r="AW68" s="67" t="s">
        <v>1243</v>
      </c>
    </row>
    <row r="69" spans="1:49" ht="31.2" x14ac:dyDescent="0.3">
      <c r="A69" s="242" t="s">
        <v>235</v>
      </c>
      <c r="B69" s="134" t="s">
        <v>711</v>
      </c>
      <c r="C69" s="64" t="s">
        <v>105</v>
      </c>
      <c r="D69" s="65" t="s">
        <v>21</v>
      </c>
      <c r="E69" s="83" t="s">
        <v>489</v>
      </c>
      <c r="F69" s="83" t="s">
        <v>105</v>
      </c>
      <c r="G69" s="125" t="s">
        <v>101</v>
      </c>
      <c r="H69" s="125">
        <v>4</v>
      </c>
      <c r="I69" s="128" t="s">
        <v>714</v>
      </c>
      <c r="J69" s="128">
        <v>4</v>
      </c>
      <c r="K69" s="130">
        <f t="shared" si="37"/>
        <v>8</v>
      </c>
      <c r="L69" s="65" t="s">
        <v>315</v>
      </c>
      <c r="M69" s="133" t="s">
        <v>134</v>
      </c>
      <c r="N69" s="133" t="s">
        <v>104</v>
      </c>
      <c r="O69" s="66" t="s">
        <v>550</v>
      </c>
      <c r="P69" s="68">
        <v>16</v>
      </c>
      <c r="Q69" s="81" t="str">
        <f t="shared" si="42"/>
        <v>+3</v>
      </c>
      <c r="R69" s="64">
        <v>18</v>
      </c>
      <c r="S69" s="81" t="str">
        <f t="shared" si="43"/>
        <v>+4</v>
      </c>
      <c r="T69" s="64">
        <v>12</v>
      </c>
      <c r="U69" s="81" t="str">
        <f t="shared" si="44"/>
        <v>+1</v>
      </c>
      <c r="V69" s="64">
        <v>9</v>
      </c>
      <c r="W69" s="81">
        <f t="shared" si="45"/>
        <v>-1</v>
      </c>
      <c r="X69" s="64">
        <v>9</v>
      </c>
      <c r="Y69" s="81">
        <f t="shared" si="46"/>
        <v>-1</v>
      </c>
      <c r="Z69" s="66">
        <v>14</v>
      </c>
      <c r="AA69" s="82" t="str">
        <f t="shared" si="47"/>
        <v>+2</v>
      </c>
      <c r="AB69" s="69">
        <f t="shared" si="38"/>
        <v>13</v>
      </c>
      <c r="AC69" s="70" t="str">
        <f t="shared" si="39"/>
        <v>+4</v>
      </c>
      <c r="AD69" s="71">
        <f>ROUND($H69*VLOOKUP($G69,'NPC Generator'!$I$2:$R$43,4,FALSE)/10,0)+ROUND($J69*VLOOKUP($I69,'NPC Generator'!$I$2:$R$43,4,FALSE)/10,0)</f>
        <v>4</v>
      </c>
      <c r="AE69" s="72">
        <f t="shared" si="48"/>
        <v>5</v>
      </c>
      <c r="AF69" s="73">
        <f>ROUND($H69*VLOOKUP($G69,'NPC Generator'!$I$2:$R$43,5,FALSE)/10,0)+ROUND($J69*VLOOKUP($I69,'NPC Generator'!$I$2:$R$43,5,FALSE)/10,0)</f>
        <v>3</v>
      </c>
      <c r="AG69" s="74">
        <f t="shared" si="49"/>
        <v>7</v>
      </c>
      <c r="AH69" s="75">
        <f>ROUND($H69*VLOOKUP($G69,'NPC Generator'!$I$2:$R$43,6,FALSE)/10,0)+ROUND($J69*VLOOKUP($I69,'NPC Generator'!$I$2:$R$43,6,FALSE)/10,0)</f>
        <v>2</v>
      </c>
      <c r="AI69" s="76">
        <f t="shared" si="50"/>
        <v>1</v>
      </c>
      <c r="AJ69" s="165">
        <f>ROUND($H69*VLOOKUP($G69,'NPC Generator'!$I$2:$R$43,3,FALSE)/10,0)+ROUND($J69*VLOOKUP($I69,'NPC Generator'!$I$2:$R$43,3,FALSE)/10,0)</f>
        <v>6</v>
      </c>
      <c r="AK69" s="68">
        <f>10+AC69+ROUND($H69*VLOOKUP($G69,'NPC Generator'!$I$2:$R$43,7,FALSE)/10,0)+ROUND($J69*VLOOKUP($I69,'NPC Generator'!$I$2:$R$43,7,FALSE)/10,0)</f>
        <v>19</v>
      </c>
      <c r="AL69" s="66">
        <f t="shared" si="40"/>
        <v>23</v>
      </c>
      <c r="AM69" s="66">
        <f t="shared" si="41"/>
        <v>27</v>
      </c>
      <c r="AN69" s="77">
        <f>$H69*(3+VLOOKUP($G69,'NPC Generator'!$I$2:$R$43,10,FALSE))+($J69*VLOOKUP($I69,'NPC Generator'!$I$2:$R$43,10,FALSE))+(U69*SUM(H69,J69))</f>
        <v>64</v>
      </c>
      <c r="AO69" s="78">
        <f>$H69*(3+VLOOKUP($G69,'NPC Generator'!$I$2:$R$43,9,FALSE))+($J69*VLOOKUP($I69,'NPC Generator'!$I$2:$R$43,9,FALSE))</f>
        <v>72</v>
      </c>
      <c r="AP69" s="163" t="s">
        <v>861</v>
      </c>
      <c r="AQ69" s="163" t="s">
        <v>727</v>
      </c>
      <c r="AR69" s="163" t="s">
        <v>754</v>
      </c>
      <c r="AS69" s="165" t="s">
        <v>942</v>
      </c>
      <c r="AT69" s="68" t="s">
        <v>950</v>
      </c>
      <c r="AU69" s="64" t="s">
        <v>1191</v>
      </c>
      <c r="AV69" s="66">
        <f>VLOOKUP($AU69,¡RefTables!$G$8:$H$22,2,FALSE)</f>
        <v>8</v>
      </c>
      <c r="AW69" s="67" t="s">
        <v>1243</v>
      </c>
    </row>
    <row r="70" spans="1:49" ht="46.8" x14ac:dyDescent="0.3">
      <c r="A70" s="242" t="s">
        <v>235</v>
      </c>
      <c r="B70" s="135" t="s">
        <v>708</v>
      </c>
      <c r="C70" s="64" t="s">
        <v>105</v>
      </c>
      <c r="D70" s="65" t="s">
        <v>21</v>
      </c>
      <c r="E70" s="83" t="s">
        <v>489</v>
      </c>
      <c r="F70" s="83" t="s">
        <v>105</v>
      </c>
      <c r="G70" s="125" t="s">
        <v>100</v>
      </c>
      <c r="H70" s="125">
        <v>4</v>
      </c>
      <c r="I70" s="128" t="s">
        <v>24</v>
      </c>
      <c r="J70" s="128">
        <v>4</v>
      </c>
      <c r="K70" s="130">
        <f t="shared" si="37"/>
        <v>8</v>
      </c>
      <c r="L70" s="65" t="s">
        <v>315</v>
      </c>
      <c r="M70" s="133" t="s">
        <v>134</v>
      </c>
      <c r="N70" s="133" t="s">
        <v>104</v>
      </c>
      <c r="O70" s="66" t="s">
        <v>967</v>
      </c>
      <c r="P70" s="68">
        <v>13</v>
      </c>
      <c r="Q70" s="81" t="str">
        <f t="shared" si="42"/>
        <v>+1</v>
      </c>
      <c r="R70" s="64">
        <v>17</v>
      </c>
      <c r="S70" s="81" t="str">
        <f t="shared" si="43"/>
        <v>+3</v>
      </c>
      <c r="T70" s="64">
        <v>16</v>
      </c>
      <c r="U70" s="81" t="str">
        <f t="shared" si="44"/>
        <v>+3</v>
      </c>
      <c r="V70" s="64">
        <v>12</v>
      </c>
      <c r="W70" s="81" t="str">
        <f t="shared" si="45"/>
        <v>+1</v>
      </c>
      <c r="X70" s="64">
        <v>16</v>
      </c>
      <c r="Y70" s="81" t="str">
        <f t="shared" si="46"/>
        <v>+3</v>
      </c>
      <c r="Z70" s="66">
        <v>8</v>
      </c>
      <c r="AA70" s="82">
        <f t="shared" si="47"/>
        <v>-1</v>
      </c>
      <c r="AB70" s="69">
        <f t="shared" si="38"/>
        <v>13.666666666666666</v>
      </c>
      <c r="AC70" s="70" t="str">
        <f t="shared" si="39"/>
        <v>+3</v>
      </c>
      <c r="AD70" s="71">
        <f>ROUND($H70*VLOOKUP($G70,'NPC Generator'!$I$2:$R$43,4,FALSE)/10,0)+ROUND($J70*VLOOKUP($I70,'NPC Generator'!$I$2:$R$43,4,FALSE)/10,0)</f>
        <v>3</v>
      </c>
      <c r="AE70" s="72">
        <f t="shared" si="48"/>
        <v>6</v>
      </c>
      <c r="AF70" s="73">
        <f>ROUND($H70*VLOOKUP($G70,'NPC Generator'!$I$2:$R$43,5,FALSE)/10,0)+ROUND($J70*VLOOKUP($I70,'NPC Generator'!$I$2:$R$43,5,FALSE)/10,0)</f>
        <v>4</v>
      </c>
      <c r="AG70" s="74">
        <f t="shared" si="49"/>
        <v>7</v>
      </c>
      <c r="AH70" s="75">
        <f>ROUND($H70*VLOOKUP($G70,'NPC Generator'!$I$2:$R$43,6,FALSE)/10,0)+ROUND($J70*VLOOKUP($I70,'NPC Generator'!$I$2:$R$43,6,FALSE)/10,0)</f>
        <v>3</v>
      </c>
      <c r="AI70" s="76">
        <f t="shared" si="50"/>
        <v>6</v>
      </c>
      <c r="AJ70" s="165">
        <f>ROUND($H70*VLOOKUP($G70,'NPC Generator'!$I$2:$R$43,3,FALSE)/10,0)+ROUND($J70*VLOOKUP($I70,'NPC Generator'!$I$2:$R$43,3,FALSE)/10,0)</f>
        <v>7</v>
      </c>
      <c r="AK70" s="68">
        <f>10+AC70+ROUND($H70*VLOOKUP($G70,'NPC Generator'!$I$2:$R$43,7,FALSE)/10,0)+ROUND($J70*VLOOKUP($I70,'NPC Generator'!$I$2:$R$43,7,FALSE)/10,0)</f>
        <v>18</v>
      </c>
      <c r="AL70" s="66">
        <f t="shared" si="40"/>
        <v>23</v>
      </c>
      <c r="AM70" s="66">
        <f t="shared" si="41"/>
        <v>26</v>
      </c>
      <c r="AN70" s="77">
        <f>$H70*(3+VLOOKUP($G70,'NPC Generator'!$I$2:$R$43,10,FALSE))+($J70*VLOOKUP($I70,'NPC Generator'!$I$2:$R$43,10,FALSE))+(U70*SUM(H70,J70))</f>
        <v>92</v>
      </c>
      <c r="AO70" s="78">
        <f>$H70*(3+VLOOKUP($G70,'NPC Generator'!$I$2:$R$43,9,FALSE))+($J70*VLOOKUP($I70,'NPC Generator'!$I$2:$R$43,9,FALSE))</f>
        <v>44</v>
      </c>
      <c r="AP70" s="163" t="s">
        <v>887</v>
      </c>
      <c r="AQ70" s="163" t="s">
        <v>736</v>
      </c>
      <c r="AR70" s="163" t="s">
        <v>784</v>
      </c>
      <c r="AS70" s="165" t="s">
        <v>943</v>
      </c>
      <c r="AT70" s="68" t="s">
        <v>948</v>
      </c>
      <c r="AU70" s="64" t="s">
        <v>1191</v>
      </c>
      <c r="AV70" s="66">
        <f>VLOOKUP($AU70,¡RefTables!$G$8:$H$22,2,FALSE)</f>
        <v>8</v>
      </c>
      <c r="AW70" s="67" t="s">
        <v>1243</v>
      </c>
    </row>
    <row r="71" spans="1:49" ht="46.8" x14ac:dyDescent="0.3">
      <c r="A71" s="242" t="s">
        <v>235</v>
      </c>
      <c r="B71" s="135" t="s">
        <v>710</v>
      </c>
      <c r="C71" s="64" t="s">
        <v>105</v>
      </c>
      <c r="D71" s="65" t="s">
        <v>21</v>
      </c>
      <c r="E71" s="83" t="s">
        <v>489</v>
      </c>
      <c r="F71" s="83" t="s">
        <v>105</v>
      </c>
      <c r="G71" s="125" t="s">
        <v>103</v>
      </c>
      <c r="H71" s="125">
        <v>4</v>
      </c>
      <c r="I71" s="128" t="s">
        <v>24</v>
      </c>
      <c r="J71" s="128">
        <v>4</v>
      </c>
      <c r="K71" s="130">
        <f t="shared" si="37"/>
        <v>8</v>
      </c>
      <c r="L71" s="65" t="s">
        <v>315</v>
      </c>
      <c r="M71" s="133" t="s">
        <v>127</v>
      </c>
      <c r="N71" s="133" t="s">
        <v>104</v>
      </c>
      <c r="O71" s="66" t="s">
        <v>706</v>
      </c>
      <c r="P71" s="68">
        <v>16</v>
      </c>
      <c r="Q71" s="81" t="str">
        <f t="shared" si="42"/>
        <v>+3</v>
      </c>
      <c r="R71" s="64">
        <v>15</v>
      </c>
      <c r="S71" s="81" t="str">
        <f t="shared" si="43"/>
        <v>+2</v>
      </c>
      <c r="T71" s="64">
        <v>14</v>
      </c>
      <c r="U71" s="81" t="str">
        <f t="shared" si="44"/>
        <v>+2</v>
      </c>
      <c r="V71" s="64">
        <v>8</v>
      </c>
      <c r="W71" s="81">
        <f t="shared" si="45"/>
        <v>-1</v>
      </c>
      <c r="X71" s="64">
        <v>11</v>
      </c>
      <c r="Y71" s="81" t="str">
        <f t="shared" si="46"/>
        <v>+0</v>
      </c>
      <c r="Z71" s="66">
        <v>10</v>
      </c>
      <c r="AA71" s="82" t="str">
        <f t="shared" si="47"/>
        <v>+0</v>
      </c>
      <c r="AB71" s="69">
        <f t="shared" si="38"/>
        <v>12.333333333333334</v>
      </c>
      <c r="AC71" s="70" t="str">
        <f t="shared" si="39"/>
        <v>+2</v>
      </c>
      <c r="AD71" s="71">
        <f>ROUND($H71*VLOOKUP($G71,'NPC Generator'!$I$2:$R$43,4,FALSE)/10,0)+ROUND($J71*VLOOKUP($I71,'NPC Generator'!$I$2:$R$43,4,FALSE)/10,0)</f>
        <v>3</v>
      </c>
      <c r="AE71" s="72">
        <f t="shared" si="48"/>
        <v>5</v>
      </c>
      <c r="AF71" s="73">
        <f>ROUND($H71*VLOOKUP($G71,'NPC Generator'!$I$2:$R$43,5,FALSE)/10,0)+ROUND($J71*VLOOKUP($I71,'NPC Generator'!$I$2:$R$43,5,FALSE)/10,0)</f>
        <v>4</v>
      </c>
      <c r="AG71" s="74">
        <f t="shared" si="49"/>
        <v>6</v>
      </c>
      <c r="AH71" s="75">
        <f>ROUND($H71*VLOOKUP($G71,'NPC Generator'!$I$2:$R$43,6,FALSE)/10,0)+ROUND($J71*VLOOKUP($I71,'NPC Generator'!$I$2:$R$43,6,FALSE)/10,0)</f>
        <v>2</v>
      </c>
      <c r="AI71" s="76">
        <f t="shared" si="50"/>
        <v>2</v>
      </c>
      <c r="AJ71" s="165">
        <f>ROUND($H71*VLOOKUP($G71,'NPC Generator'!$I$2:$R$43,3,FALSE)/10,0)+ROUND($J71*VLOOKUP($I71,'NPC Generator'!$I$2:$R$43,3,FALSE)/10,0)</f>
        <v>8</v>
      </c>
      <c r="AK71" s="68">
        <f>10+AC71+ROUND($H71*VLOOKUP($G71,'NPC Generator'!$I$2:$R$43,7,FALSE)/10,0)+ROUND($J71*VLOOKUP($I71,'NPC Generator'!$I$2:$R$43,7,FALSE)/10,0)</f>
        <v>17</v>
      </c>
      <c r="AL71" s="66">
        <f t="shared" si="40"/>
        <v>23</v>
      </c>
      <c r="AM71" s="66">
        <f t="shared" si="41"/>
        <v>25</v>
      </c>
      <c r="AN71" s="77">
        <f>$H71*(3+VLOOKUP($G71,'NPC Generator'!$I$2:$R$43,10,FALSE))+($J71*VLOOKUP($I71,'NPC Generator'!$I$2:$R$43,10,FALSE))+(U71*SUM(H71,J71))</f>
        <v>92</v>
      </c>
      <c r="AO71" s="78">
        <f>$H71*(3+VLOOKUP($G71,'NPC Generator'!$I$2:$R$43,9,FALSE))+($J71*VLOOKUP($I71,'NPC Generator'!$I$2:$R$43,9,FALSE))</f>
        <v>36</v>
      </c>
      <c r="AP71" s="163" t="s">
        <v>888</v>
      </c>
      <c r="AQ71" s="163" t="s">
        <v>724</v>
      </c>
      <c r="AR71" s="163" t="s">
        <v>740</v>
      </c>
      <c r="AS71" s="165" t="s">
        <v>823</v>
      </c>
      <c r="AT71" s="68" t="s">
        <v>949</v>
      </c>
      <c r="AU71" s="64" t="s">
        <v>1191</v>
      </c>
      <c r="AV71" s="66">
        <f>VLOOKUP($AU71,¡RefTables!$G$8:$H$22,2,FALSE)</f>
        <v>8</v>
      </c>
      <c r="AW71" s="67" t="s">
        <v>1244</v>
      </c>
    </row>
    <row r="72" spans="1:49" ht="31.2" x14ac:dyDescent="0.3">
      <c r="A72" s="243" t="s">
        <v>426</v>
      </c>
      <c r="B72" s="135" t="s">
        <v>425</v>
      </c>
      <c r="C72" s="64" t="s">
        <v>106</v>
      </c>
      <c r="D72" s="65" t="s">
        <v>19</v>
      </c>
      <c r="E72" s="83" t="s">
        <v>93</v>
      </c>
      <c r="F72" s="83" t="s">
        <v>105</v>
      </c>
      <c r="G72" s="125" t="s">
        <v>98</v>
      </c>
      <c r="H72" s="125">
        <v>4</v>
      </c>
      <c r="I72" s="128" t="s">
        <v>43</v>
      </c>
      <c r="J72" s="128">
        <v>6</v>
      </c>
      <c r="K72" s="130">
        <f t="shared" si="37"/>
        <v>10</v>
      </c>
      <c r="L72" s="65" t="s">
        <v>316</v>
      </c>
      <c r="M72" s="133" t="s">
        <v>122</v>
      </c>
      <c r="N72" s="133" t="s">
        <v>148</v>
      </c>
      <c r="O72" s="66" t="s">
        <v>554</v>
      </c>
      <c r="P72" s="68">
        <v>10</v>
      </c>
      <c r="Q72" s="81" t="str">
        <f t="shared" si="42"/>
        <v>+0</v>
      </c>
      <c r="R72" s="64">
        <v>9</v>
      </c>
      <c r="S72" s="81">
        <f t="shared" si="43"/>
        <v>-1</v>
      </c>
      <c r="T72" s="64">
        <v>7</v>
      </c>
      <c r="U72" s="81">
        <f t="shared" si="44"/>
        <v>-2</v>
      </c>
      <c r="V72" s="64">
        <v>17</v>
      </c>
      <c r="W72" s="81" t="str">
        <f t="shared" si="45"/>
        <v>+3</v>
      </c>
      <c r="X72" s="64">
        <v>15</v>
      </c>
      <c r="Y72" s="81" t="str">
        <f t="shared" si="46"/>
        <v>+2</v>
      </c>
      <c r="Z72" s="66">
        <v>15</v>
      </c>
      <c r="AA72" s="82" t="str">
        <f t="shared" si="47"/>
        <v>+2</v>
      </c>
      <c r="AB72" s="69">
        <f t="shared" si="38"/>
        <v>12.166666666666666</v>
      </c>
      <c r="AC72" s="70">
        <f t="shared" si="39"/>
        <v>-1</v>
      </c>
      <c r="AD72" s="71">
        <f>ROUND($H72*VLOOKUP($G72,'NPC Generator'!$I$2:$R$43,4,FALSE)/10,0)+ROUND($J72*VLOOKUP($I72,'NPC Generator'!$I$2:$R$43,4,FALSE)/10,0)</f>
        <v>3</v>
      </c>
      <c r="AE72" s="72">
        <f t="shared" si="48"/>
        <v>1</v>
      </c>
      <c r="AF72" s="73">
        <f>ROUND($H72*VLOOKUP($G72,'NPC Generator'!$I$2:$R$43,5,FALSE)/10,0)+ROUND($J72*VLOOKUP($I72,'NPC Generator'!$I$2:$R$43,5,FALSE)/10,0)</f>
        <v>4</v>
      </c>
      <c r="AG72" s="74">
        <f t="shared" si="49"/>
        <v>3</v>
      </c>
      <c r="AH72" s="75">
        <f>ROUND($H72*VLOOKUP($G72,'NPC Generator'!$I$2:$R$43,6,FALSE)/10,0)+ROUND($J72*VLOOKUP($I72,'NPC Generator'!$I$2:$R$43,6,FALSE)/10,0)</f>
        <v>6</v>
      </c>
      <c r="AI72" s="76">
        <f t="shared" si="50"/>
        <v>8</v>
      </c>
      <c r="AJ72" s="165">
        <f>ROUND($H72*VLOOKUP($G72,'NPC Generator'!$I$2:$R$43,3,FALSE)/10,0)+ROUND($J72*VLOOKUP($I72,'NPC Generator'!$I$2:$R$43,3,FALSE)/10,0)</f>
        <v>6</v>
      </c>
      <c r="AK72" s="68">
        <f>10+AC72+ROUND($H72*VLOOKUP($G72,'NPC Generator'!$I$2:$R$43,7,FALSE)/10,0)+ROUND($J72*VLOOKUP($I72,'NPC Generator'!$I$2:$R$43,7,FALSE)/10,0)</f>
        <v>12</v>
      </c>
      <c r="AL72" s="66">
        <f t="shared" si="40"/>
        <v>17</v>
      </c>
      <c r="AM72" s="66">
        <f t="shared" si="41"/>
        <v>16</v>
      </c>
      <c r="AN72" s="77">
        <f>$H72*(3+VLOOKUP($G72,'NPC Generator'!$I$2:$R$43,10,FALSE))+($J72*VLOOKUP($I72,'NPC Generator'!$I$2:$R$43,10,FALSE))+(U72*SUM(H72,J72))</f>
        <v>52</v>
      </c>
      <c r="AO72" s="78">
        <f>$H72*(3+VLOOKUP($G72,'NPC Generator'!$I$2:$R$43,9,FALSE))+($J72*VLOOKUP($I72,'NPC Generator'!$I$2:$R$43,9,FALSE))</f>
        <v>90</v>
      </c>
      <c r="AP72" s="163" t="s">
        <v>901</v>
      </c>
      <c r="AQ72" s="163" t="s">
        <v>730</v>
      </c>
      <c r="AR72" s="163" t="s">
        <v>779</v>
      </c>
      <c r="AS72" s="165" t="s">
        <v>821</v>
      </c>
      <c r="AT72" s="68" t="s">
        <v>1023</v>
      </c>
      <c r="AU72" s="64" t="s">
        <v>1186</v>
      </c>
      <c r="AV72" s="66">
        <f>VLOOKUP($AU72,¡RefTables!$G$8:$H$22,2,FALSE)</f>
        <v>4</v>
      </c>
      <c r="AW72" s="67" t="s">
        <v>1221</v>
      </c>
    </row>
    <row r="73" spans="1:49" ht="31.2" x14ac:dyDescent="0.3">
      <c r="A73" s="243" t="s">
        <v>428</v>
      </c>
      <c r="B73" s="135" t="s">
        <v>429</v>
      </c>
      <c r="C73" s="64" t="s">
        <v>106</v>
      </c>
      <c r="D73" s="65" t="s">
        <v>19</v>
      </c>
      <c r="E73" s="83" t="s">
        <v>93</v>
      </c>
      <c r="F73" s="83" t="s">
        <v>105</v>
      </c>
      <c r="G73" s="125" t="s">
        <v>98</v>
      </c>
      <c r="H73" s="125">
        <v>4</v>
      </c>
      <c r="I73" s="128" t="s">
        <v>26</v>
      </c>
      <c r="J73" s="128">
        <v>5</v>
      </c>
      <c r="K73" s="130">
        <f t="shared" si="37"/>
        <v>9</v>
      </c>
      <c r="L73" s="65" t="s">
        <v>330</v>
      </c>
      <c r="M73" s="133" t="s">
        <v>130</v>
      </c>
      <c r="N73" s="133" t="s">
        <v>104</v>
      </c>
      <c r="O73" s="66" t="s">
        <v>556</v>
      </c>
      <c r="P73" s="68">
        <v>10</v>
      </c>
      <c r="Q73" s="81" t="str">
        <f t="shared" si="42"/>
        <v>+0</v>
      </c>
      <c r="R73" s="64">
        <v>17</v>
      </c>
      <c r="S73" s="81" t="str">
        <f t="shared" si="43"/>
        <v>+3</v>
      </c>
      <c r="T73" s="64">
        <v>8</v>
      </c>
      <c r="U73" s="81">
        <f t="shared" si="44"/>
        <v>-1</v>
      </c>
      <c r="V73" s="64">
        <v>18</v>
      </c>
      <c r="W73" s="81" t="str">
        <f t="shared" si="45"/>
        <v>+4</v>
      </c>
      <c r="X73" s="64">
        <v>13</v>
      </c>
      <c r="Y73" s="81" t="str">
        <f t="shared" si="46"/>
        <v>+1</v>
      </c>
      <c r="Z73" s="66">
        <v>9</v>
      </c>
      <c r="AA73" s="82">
        <f t="shared" si="47"/>
        <v>-1</v>
      </c>
      <c r="AB73" s="69">
        <f t="shared" si="38"/>
        <v>12.5</v>
      </c>
      <c r="AC73" s="70" t="str">
        <f t="shared" si="39"/>
        <v>+3</v>
      </c>
      <c r="AD73" s="71">
        <f>ROUND($H73*VLOOKUP($G73,'NPC Generator'!$I$2:$R$43,4,FALSE)/10,0)+ROUND($J73*VLOOKUP($I73,'NPC Generator'!$I$2:$R$43,4,FALSE)/10,0)</f>
        <v>3</v>
      </c>
      <c r="AE73" s="72">
        <f t="shared" si="48"/>
        <v>2</v>
      </c>
      <c r="AF73" s="73">
        <f>ROUND($H73*VLOOKUP($G73,'NPC Generator'!$I$2:$R$43,5,FALSE)/10,0)+ROUND($J73*VLOOKUP($I73,'NPC Generator'!$I$2:$R$43,5,FALSE)/10,0)</f>
        <v>5</v>
      </c>
      <c r="AG73" s="74">
        <f t="shared" si="49"/>
        <v>8</v>
      </c>
      <c r="AH73" s="75">
        <f>ROUND($H73*VLOOKUP($G73,'NPC Generator'!$I$2:$R$43,6,FALSE)/10,0)+ROUND($J73*VLOOKUP($I73,'NPC Generator'!$I$2:$R$43,6,FALSE)/10,0)</f>
        <v>4</v>
      </c>
      <c r="AI73" s="76">
        <f t="shared" si="50"/>
        <v>5</v>
      </c>
      <c r="AJ73" s="165">
        <f>ROUND($H73*VLOOKUP($G73,'NPC Generator'!$I$2:$R$43,3,FALSE)/10,0)+ROUND($J73*VLOOKUP($I73,'NPC Generator'!$I$2:$R$43,3,FALSE)/10,0)</f>
        <v>5</v>
      </c>
      <c r="AK73" s="68">
        <f>10+AC73+ROUND($H73*VLOOKUP($G73,'NPC Generator'!$I$2:$R$43,7,FALSE)/10,0)+ROUND($J73*VLOOKUP($I73,'NPC Generator'!$I$2:$R$43,7,FALSE)/10,0)</f>
        <v>18</v>
      </c>
      <c r="AL73" s="66">
        <f t="shared" si="40"/>
        <v>16</v>
      </c>
      <c r="AM73" s="66">
        <f t="shared" si="41"/>
        <v>19</v>
      </c>
      <c r="AN73" s="77">
        <f>$H73*(3+VLOOKUP($G73,'NPC Generator'!$I$2:$R$43,10,FALSE))+($J73*VLOOKUP($I73,'NPC Generator'!$I$2:$R$43,10,FALSE))+(U73*SUM(H73,J73))</f>
        <v>67</v>
      </c>
      <c r="AO73" s="78">
        <f>$H73*(3+VLOOKUP($G73,'NPC Generator'!$I$2:$R$43,9,FALSE))+($J73*VLOOKUP($I73,'NPC Generator'!$I$2:$R$43,9,FALSE))</f>
        <v>83</v>
      </c>
      <c r="AP73" s="163" t="s">
        <v>901</v>
      </c>
      <c r="AQ73" s="163" t="s">
        <v>730</v>
      </c>
      <c r="AR73" s="163" t="s">
        <v>780</v>
      </c>
      <c r="AS73" s="165" t="s">
        <v>944</v>
      </c>
      <c r="AT73" s="68" t="s">
        <v>1236</v>
      </c>
      <c r="AU73" s="64" t="s">
        <v>1181</v>
      </c>
      <c r="AV73" s="66">
        <f>VLOOKUP($AU73,¡RefTables!$G$8:$H$22,2,FALSE)</f>
        <v>1</v>
      </c>
      <c r="AW73" s="67" t="s">
        <v>1197</v>
      </c>
    </row>
    <row r="74" spans="1:49" ht="31.2" x14ac:dyDescent="0.3">
      <c r="A74" s="243" t="s">
        <v>433</v>
      </c>
      <c r="B74" s="135" t="s">
        <v>595</v>
      </c>
      <c r="C74" s="64" t="s">
        <v>303</v>
      </c>
      <c r="D74" s="65" t="s">
        <v>18</v>
      </c>
      <c r="E74" s="83" t="s">
        <v>93</v>
      </c>
      <c r="F74" s="83" t="s">
        <v>105</v>
      </c>
      <c r="G74" s="125" t="s">
        <v>100</v>
      </c>
      <c r="H74" s="125">
        <v>4</v>
      </c>
      <c r="I74" s="128" t="s">
        <v>28</v>
      </c>
      <c r="J74" s="128">
        <v>4</v>
      </c>
      <c r="K74" s="130">
        <f t="shared" si="37"/>
        <v>8</v>
      </c>
      <c r="L74" s="65" t="s">
        <v>314</v>
      </c>
      <c r="M74" s="133" t="s">
        <v>123</v>
      </c>
      <c r="N74" s="133" t="s">
        <v>150</v>
      </c>
      <c r="O74" s="66" t="s">
        <v>558</v>
      </c>
      <c r="P74" s="68">
        <v>14</v>
      </c>
      <c r="Q74" s="81" t="str">
        <f t="shared" si="42"/>
        <v>+2</v>
      </c>
      <c r="R74" s="64">
        <v>13</v>
      </c>
      <c r="S74" s="81" t="str">
        <f t="shared" si="43"/>
        <v>+1</v>
      </c>
      <c r="T74" s="64">
        <v>11</v>
      </c>
      <c r="U74" s="81" t="str">
        <f t="shared" si="44"/>
        <v>+0</v>
      </c>
      <c r="V74" s="64">
        <v>10</v>
      </c>
      <c r="W74" s="81" t="str">
        <f t="shared" si="45"/>
        <v>+0</v>
      </c>
      <c r="X74" s="64">
        <v>16</v>
      </c>
      <c r="Y74" s="81" t="str">
        <f t="shared" si="46"/>
        <v>+3</v>
      </c>
      <c r="Z74" s="66">
        <v>6</v>
      </c>
      <c r="AA74" s="82">
        <f t="shared" si="47"/>
        <v>-2</v>
      </c>
      <c r="AB74" s="69">
        <f t="shared" si="38"/>
        <v>11.666666666666666</v>
      </c>
      <c r="AC74" s="70" t="str">
        <f t="shared" si="39"/>
        <v>+1</v>
      </c>
      <c r="AD74" s="71">
        <f>ROUND($H74*VLOOKUP($G74,'NPC Generator'!$I$2:$R$43,4,FALSE)/10,0)+ROUND($J74*VLOOKUP($I74,'NPC Generator'!$I$2:$R$43,4,FALSE)/10,0)</f>
        <v>4</v>
      </c>
      <c r="AE74" s="72">
        <f t="shared" si="48"/>
        <v>4</v>
      </c>
      <c r="AF74" s="73">
        <f>ROUND($H74*VLOOKUP($G74,'NPC Generator'!$I$2:$R$43,5,FALSE)/10,0)+ROUND($J74*VLOOKUP($I74,'NPC Generator'!$I$2:$R$43,5,FALSE)/10,0)</f>
        <v>4</v>
      </c>
      <c r="AG74" s="74">
        <f t="shared" si="49"/>
        <v>5</v>
      </c>
      <c r="AH74" s="75">
        <f>ROUND($H74*VLOOKUP($G74,'NPC Generator'!$I$2:$R$43,6,FALSE)/10,0)+ROUND($J74*VLOOKUP($I74,'NPC Generator'!$I$2:$R$43,6,FALSE)/10,0)</f>
        <v>3</v>
      </c>
      <c r="AI74" s="76">
        <f t="shared" si="50"/>
        <v>6</v>
      </c>
      <c r="AJ74" s="165">
        <f>ROUND($H74*VLOOKUP($G74,'NPC Generator'!$I$2:$R$43,3,FALSE)/10,0)+ROUND($J74*VLOOKUP($I74,'NPC Generator'!$I$2:$R$43,3,FALSE)/10,0)</f>
        <v>6</v>
      </c>
      <c r="AK74" s="68">
        <f>10+AC74+ROUND($H74*VLOOKUP($G74,'NPC Generator'!$I$2:$R$43,7,FALSE)/10,0)+ROUND($J74*VLOOKUP($I74,'NPC Generator'!$I$2:$R$43,7,FALSE)/10,0)</f>
        <v>15</v>
      </c>
      <c r="AL74" s="66">
        <f t="shared" si="40"/>
        <v>15</v>
      </c>
      <c r="AM74" s="66">
        <f t="shared" si="41"/>
        <v>16</v>
      </c>
      <c r="AN74" s="77">
        <f>$H74*(3+VLOOKUP($G74,'NPC Generator'!$I$2:$R$43,10,FALSE))+($J74*VLOOKUP($I74,'NPC Generator'!$I$2:$R$43,10,FALSE))+(U74*SUM(H74,J74))</f>
        <v>84</v>
      </c>
      <c r="AO74" s="78">
        <f>$H74*(3+VLOOKUP($G74,'NPC Generator'!$I$2:$R$43,9,FALSE))+($J74*VLOOKUP($I74,'NPC Generator'!$I$2:$R$43,9,FALSE))</f>
        <v>44</v>
      </c>
      <c r="AP74" s="163" t="s">
        <v>872</v>
      </c>
      <c r="AQ74" s="163" t="s">
        <v>735</v>
      </c>
      <c r="AR74" s="163" t="s">
        <v>794</v>
      </c>
      <c r="AS74" s="165" t="s">
        <v>830</v>
      </c>
      <c r="AT74" s="68" t="s">
        <v>1154</v>
      </c>
      <c r="AU74" s="64" t="s">
        <v>1181</v>
      </c>
      <c r="AV74" s="66">
        <f>VLOOKUP($AU74,¡RefTables!$G$8:$H$22,2,FALSE)</f>
        <v>1</v>
      </c>
      <c r="AW74" s="67" t="s">
        <v>1241</v>
      </c>
    </row>
    <row r="75" spans="1:49" ht="62.4" x14ac:dyDescent="0.3">
      <c r="A75" s="242" t="s">
        <v>431</v>
      </c>
      <c r="B75" s="134" t="s">
        <v>430</v>
      </c>
      <c r="C75" s="64" t="s">
        <v>106</v>
      </c>
      <c r="D75" s="65" t="s">
        <v>20</v>
      </c>
      <c r="E75" s="83" t="s">
        <v>93</v>
      </c>
      <c r="F75" s="83" t="s">
        <v>105</v>
      </c>
      <c r="G75" s="125" t="s">
        <v>98</v>
      </c>
      <c r="H75" s="125">
        <v>4</v>
      </c>
      <c r="I75" s="128" t="s">
        <v>44</v>
      </c>
      <c r="J75" s="128">
        <v>4</v>
      </c>
      <c r="K75" s="130">
        <f t="shared" si="37"/>
        <v>8</v>
      </c>
      <c r="L75" s="65" t="s">
        <v>335</v>
      </c>
      <c r="M75" s="133" t="s">
        <v>129</v>
      </c>
      <c r="N75" s="133" t="s">
        <v>304</v>
      </c>
      <c r="O75" s="66" t="s">
        <v>968</v>
      </c>
      <c r="P75" s="68">
        <v>10</v>
      </c>
      <c r="Q75" s="81" t="s">
        <v>84</v>
      </c>
      <c r="R75" s="64">
        <v>13</v>
      </c>
      <c r="S75" s="81" t="s">
        <v>83</v>
      </c>
      <c r="T75" s="64">
        <v>10</v>
      </c>
      <c r="U75" s="81" t="s">
        <v>85</v>
      </c>
      <c r="V75" s="64">
        <v>16</v>
      </c>
      <c r="W75" s="81" t="s">
        <v>86</v>
      </c>
      <c r="X75" s="64">
        <v>11</v>
      </c>
      <c r="Y75" s="81" t="s">
        <v>85</v>
      </c>
      <c r="Z75" s="66">
        <v>13</v>
      </c>
      <c r="AA75" s="82" t="s">
        <v>85</v>
      </c>
      <c r="AB75" s="69">
        <f t="shared" si="38"/>
        <v>12.166666666666666</v>
      </c>
      <c r="AC75" s="70" t="str">
        <f t="shared" si="39"/>
        <v>+1</v>
      </c>
      <c r="AD75" s="71">
        <f>ROUND($H75*VLOOKUP($G75,'NPC Generator'!$I$2:$R$43,4,FALSE)/10,0)+ROUND($J75*VLOOKUP($I75,'NPC Generator'!$I$2:$R$43,4,FALSE)/10,0)</f>
        <v>2</v>
      </c>
      <c r="AE75" s="72">
        <v>5</v>
      </c>
      <c r="AF75" s="73">
        <f>ROUND($H75*VLOOKUP($G75,'NPC Generator'!$I$2:$R$43,5,FALSE)/10,0)+ROUND($J75*VLOOKUP($I75,'NPC Generator'!$I$2:$R$43,5,FALSE)/10,0)</f>
        <v>3</v>
      </c>
      <c r="AG75" s="74">
        <v>0</v>
      </c>
      <c r="AH75" s="75">
        <f>ROUND($H75*VLOOKUP($G75,'NPC Generator'!$I$2:$R$43,6,FALSE)/10,0)+ROUND($J75*VLOOKUP($I75,'NPC Generator'!$I$2:$R$43,6,FALSE)/10,0)</f>
        <v>4</v>
      </c>
      <c r="AI75" s="76">
        <v>3</v>
      </c>
      <c r="AJ75" s="165">
        <f>ROUND($H75*VLOOKUP($G75,'NPC Generator'!$I$2:$R$43,3,FALSE)/10,0)+ROUND($J75*VLOOKUP($I75,'NPC Generator'!$I$2:$R$43,3,FALSE)/10,0)</f>
        <v>5</v>
      </c>
      <c r="AK75" s="68">
        <f>10+AC75+ROUND($H75*VLOOKUP($G75,'NPC Generator'!$I$2:$R$43,7,FALSE)/10,0)+ROUND($J75*VLOOKUP($I75,'NPC Generator'!$I$2:$R$43,7,FALSE)/10,0)</f>
        <v>14</v>
      </c>
      <c r="AL75" s="66">
        <f t="shared" si="40"/>
        <v>13</v>
      </c>
      <c r="AM75" s="66">
        <f t="shared" si="41"/>
        <v>14</v>
      </c>
      <c r="AN75" s="77">
        <f>$H75*(3+VLOOKUP($G75,'NPC Generator'!$I$2:$R$43,10,FALSE))+($J75*VLOOKUP($I75,'NPC Generator'!$I$2:$R$43,10,FALSE))+(U75*SUM(H75,J75))</f>
        <v>84</v>
      </c>
      <c r="AO75" s="78">
        <f>$H75*(3+VLOOKUP($G75,'NPC Generator'!$I$2:$R$43,9,FALSE))+($J75*VLOOKUP($I75,'NPC Generator'!$I$2:$R$43,9,FALSE))</f>
        <v>76</v>
      </c>
      <c r="AP75" s="163" t="s">
        <v>868</v>
      </c>
      <c r="AQ75" s="163" t="s">
        <v>729</v>
      </c>
      <c r="AR75" s="163" t="s">
        <v>775</v>
      </c>
      <c r="AS75" s="165" t="s">
        <v>928</v>
      </c>
      <c r="AT75" s="68" t="s">
        <v>1135</v>
      </c>
      <c r="AU75" s="64" t="s">
        <v>176</v>
      </c>
      <c r="AV75" s="66">
        <f>VLOOKUP($AU75,¡RefTables!$G$8:$H$22,2,FALSE)</f>
        <v>0</v>
      </c>
      <c r="AW75" s="67" t="s">
        <v>1253</v>
      </c>
    </row>
    <row r="76" spans="1:49" ht="46.8" x14ac:dyDescent="0.3">
      <c r="A76" s="242" t="s">
        <v>432</v>
      </c>
      <c r="B76" s="134" t="s">
        <v>427</v>
      </c>
      <c r="C76" s="64" t="s">
        <v>105</v>
      </c>
      <c r="D76" s="65" t="s">
        <v>19</v>
      </c>
      <c r="E76" s="83" t="s">
        <v>93</v>
      </c>
      <c r="F76" s="83" t="s">
        <v>105</v>
      </c>
      <c r="G76" s="125" t="s">
        <v>98</v>
      </c>
      <c r="H76" s="125">
        <v>4</v>
      </c>
      <c r="I76" s="128" t="s">
        <v>30</v>
      </c>
      <c r="J76" s="128">
        <v>3</v>
      </c>
      <c r="K76" s="130">
        <f t="shared" si="37"/>
        <v>7</v>
      </c>
      <c r="L76" s="65" t="s">
        <v>328</v>
      </c>
      <c r="M76" s="133" t="s">
        <v>129</v>
      </c>
      <c r="N76" s="133" t="s">
        <v>304</v>
      </c>
      <c r="O76" s="66" t="s">
        <v>557</v>
      </c>
      <c r="P76" s="68">
        <v>10</v>
      </c>
      <c r="Q76" s="81" t="str">
        <f>IF(P76&gt;9.9,CONCATENATE("+",ROUNDDOWN((P76-10) / 2,0)),ROUNDUP((P76-10) / 2,0))</f>
        <v>+0</v>
      </c>
      <c r="R76" s="64">
        <v>12</v>
      </c>
      <c r="S76" s="81" t="str">
        <f>IF(R76&gt;9.9,CONCATENATE("+",ROUNDDOWN((R76-10) / 2,0)),ROUNDUP((R76-10) / 2,0))</f>
        <v>+1</v>
      </c>
      <c r="T76" s="64">
        <v>10</v>
      </c>
      <c r="U76" s="81" t="str">
        <f>IF(T76&gt;9.9,CONCATENATE("+",ROUNDDOWN((T76-10) / 2,0)),ROUNDUP((T76-10) / 2,0))</f>
        <v>+0</v>
      </c>
      <c r="V76" s="64">
        <v>17</v>
      </c>
      <c r="W76" s="81" t="str">
        <f>IF(V76&gt;9.9,CONCATENATE("+",ROUNDDOWN((V76-10) / 2,0)),ROUNDUP((V76-10) / 2,0))</f>
        <v>+3</v>
      </c>
      <c r="X76" s="64">
        <v>10</v>
      </c>
      <c r="Y76" s="81" t="str">
        <f>IF(X76&gt;9.9,CONCATENATE("+",ROUNDDOWN((X76-10) / 2,0)),ROUNDUP((X76-10) / 2,0))</f>
        <v>+0</v>
      </c>
      <c r="Z76" s="66">
        <v>9</v>
      </c>
      <c r="AA76" s="82">
        <f>IF(Z76&gt;9.9,CONCATENATE("+",ROUNDDOWN((Z76-10) / 2,0)),ROUNDUP((Z76-10) / 2,0))</f>
        <v>-1</v>
      </c>
      <c r="AB76" s="69">
        <f t="shared" si="38"/>
        <v>11.333333333333334</v>
      </c>
      <c r="AC76" s="70" t="str">
        <f t="shared" si="39"/>
        <v>+1</v>
      </c>
      <c r="AD76" s="71">
        <f>ROUND($H76*VLOOKUP($G76,'NPC Generator'!$I$2:$R$43,4,FALSE)/10,0)+ROUND($J76*VLOOKUP($I76,'NPC Generator'!$I$2:$R$43,4,FALSE)/10,0)</f>
        <v>2</v>
      </c>
      <c r="AE76" s="72">
        <f>IF(T76&gt;9.9,(ROUNDDOWN((T76-10) / 2,0)),ROUNDUP((T76-10) / 2,0))+AD76</f>
        <v>2</v>
      </c>
      <c r="AF76" s="73">
        <f>ROUND($H76*VLOOKUP($G76,'NPC Generator'!$I$2:$R$43,5,FALSE)/10,0)+ROUND($J76*VLOOKUP($I76,'NPC Generator'!$I$2:$R$43,5,FALSE)/10,0)</f>
        <v>2</v>
      </c>
      <c r="AG76" s="74">
        <f>AF76+AC76</f>
        <v>3</v>
      </c>
      <c r="AH76" s="75">
        <f>ROUND($H76*VLOOKUP($G76,'NPC Generator'!$I$2:$R$43,6,FALSE)/10,0)+ROUND($J76*VLOOKUP($I76,'NPC Generator'!$I$2:$R$43,6,FALSE)/10,0)</f>
        <v>4</v>
      </c>
      <c r="AI76" s="76">
        <f>IF(X76&gt;9.9,(ROUNDDOWN((X76-10) / 2,0)),ROUNDUP((X76-10) / 2,0))+AH76</f>
        <v>4</v>
      </c>
      <c r="AJ76" s="165">
        <f>ROUND($H76*VLOOKUP($G76,'NPC Generator'!$I$2:$R$43,3,FALSE)/10,0)+ROUND($J76*VLOOKUP($I76,'NPC Generator'!$I$2:$R$43,3,FALSE)/10,0)</f>
        <v>4</v>
      </c>
      <c r="AK76" s="68">
        <f>10+AC76+ROUND($H76*VLOOKUP($G76,'NPC Generator'!$I$2:$R$43,7,FALSE)/10,0)+ROUND($J76*VLOOKUP($I76,'NPC Generator'!$I$2:$R$43,7,FALSE)/10,0)</f>
        <v>14</v>
      </c>
      <c r="AL76" s="66">
        <f t="shared" si="40"/>
        <v>13</v>
      </c>
      <c r="AM76" s="66">
        <f t="shared" si="41"/>
        <v>14</v>
      </c>
      <c r="AN76" s="77">
        <f>$H76*(3+VLOOKUP($G76,'NPC Generator'!$I$2:$R$43,10,FALSE))+($J76*VLOOKUP($I76,'NPC Generator'!$I$2:$R$43,10,FALSE))+(U76*SUM(H76,J76))</f>
        <v>54</v>
      </c>
      <c r="AO76" s="78">
        <f>$H76*(3+VLOOKUP($G76,'NPC Generator'!$I$2:$R$43,9,FALSE))+($J76*VLOOKUP($I76,'NPC Generator'!$I$2:$R$43,9,FALSE))</f>
        <v>69</v>
      </c>
      <c r="AP76" s="163" t="s">
        <v>910</v>
      </c>
      <c r="AQ76" s="163" t="s">
        <v>729</v>
      </c>
      <c r="AR76" s="163" t="s">
        <v>763</v>
      </c>
      <c r="AS76" s="165" t="s">
        <v>819</v>
      </c>
      <c r="AT76" s="68" t="s">
        <v>1127</v>
      </c>
      <c r="AU76" s="64" t="s">
        <v>176</v>
      </c>
      <c r="AV76" s="66">
        <f>VLOOKUP($AU76,¡RefTables!$G$8:$H$22,2,FALSE)</f>
        <v>0</v>
      </c>
      <c r="AW76" s="67" t="s">
        <v>1253</v>
      </c>
    </row>
    <row r="77" spans="1:49" ht="31.2" x14ac:dyDescent="0.3">
      <c r="A77" s="242" t="s">
        <v>407</v>
      </c>
      <c r="B77" s="135" t="s">
        <v>404</v>
      </c>
      <c r="C77" s="64" t="s">
        <v>106</v>
      </c>
      <c r="D77" s="65" t="s">
        <v>21</v>
      </c>
      <c r="E77" s="84" t="s">
        <v>96</v>
      </c>
      <c r="F77" s="84" t="s">
        <v>156</v>
      </c>
      <c r="G77" s="125" t="s">
        <v>101</v>
      </c>
      <c r="H77" s="125">
        <v>4</v>
      </c>
      <c r="I77" s="128" t="s">
        <v>25</v>
      </c>
      <c r="J77" s="128">
        <v>6</v>
      </c>
      <c r="K77" s="130">
        <f t="shared" si="37"/>
        <v>10</v>
      </c>
      <c r="L77" s="65" t="s">
        <v>307</v>
      </c>
      <c r="M77" s="133" t="s">
        <v>136</v>
      </c>
      <c r="N77" s="133" t="s">
        <v>148</v>
      </c>
      <c r="O77" s="66" t="s">
        <v>503</v>
      </c>
      <c r="P77" s="68">
        <v>12</v>
      </c>
      <c r="Q77" s="81" t="str">
        <f>IF(P77&gt;9.9,CONCATENATE("+",ROUNDDOWN((P77-10) / 2,0)),ROUNDUP((P77-10) / 2,0))</f>
        <v>+1</v>
      </c>
      <c r="R77" s="64">
        <v>16</v>
      </c>
      <c r="S77" s="81" t="str">
        <f>IF(R77&gt;9.9,CONCATENATE("+",ROUNDDOWN((R77-10) / 2,0)),ROUNDUP((R77-10) / 2,0))</f>
        <v>+3</v>
      </c>
      <c r="T77" s="64">
        <v>11</v>
      </c>
      <c r="U77" s="81" t="str">
        <f>IF(T77&gt;9.9,CONCATENATE("+",ROUNDDOWN((T77-10) / 2,0)),ROUNDUP((T77-10) / 2,0))</f>
        <v>+0</v>
      </c>
      <c r="V77" s="64">
        <v>13</v>
      </c>
      <c r="W77" s="81" t="str">
        <f>IF(V77&gt;9.9,CONCATENATE("+",ROUNDDOWN((V77-10) / 2,0)),ROUNDUP((V77-10) / 2,0))</f>
        <v>+1</v>
      </c>
      <c r="X77" s="64">
        <v>14</v>
      </c>
      <c r="Y77" s="81" t="str">
        <f>IF(X77&gt;9.9,CONCATENATE("+",ROUNDDOWN((X77-10) / 2,0)),ROUNDUP((X77-10) / 2,0))</f>
        <v>+2</v>
      </c>
      <c r="Z77" s="66">
        <v>15</v>
      </c>
      <c r="AA77" s="82" t="str">
        <f>IF(Z77&gt;9.9,CONCATENATE("+",ROUNDDOWN((Z77-10) / 2,0)),ROUNDUP((Z77-10) / 2,0))</f>
        <v>+2</v>
      </c>
      <c r="AB77" s="69">
        <f t="shared" si="38"/>
        <v>13.5</v>
      </c>
      <c r="AC77" s="70" t="str">
        <f t="shared" si="39"/>
        <v>+3</v>
      </c>
      <c r="AD77" s="71">
        <f>ROUND($H77*VLOOKUP($G77,'NPC Generator'!$I$2:$R$43,4,FALSE)/10,0)+ROUND($J77*VLOOKUP($I77,'NPC Generator'!$I$2:$R$43,4,FALSE)/10,0)</f>
        <v>3</v>
      </c>
      <c r="AE77" s="72">
        <f>IF(T77&gt;9.9,(ROUNDDOWN((T77-10) / 2,0)),ROUNDUP((T77-10) / 2,0))+AD77</f>
        <v>3</v>
      </c>
      <c r="AF77" s="73">
        <f>ROUND($H77*VLOOKUP($G77,'NPC Generator'!$I$2:$R$43,5,FALSE)/10,0)+ROUND($J77*VLOOKUP($I77,'NPC Generator'!$I$2:$R$43,5,FALSE)/10,0)</f>
        <v>5</v>
      </c>
      <c r="AG77" s="74">
        <f>AF77+AC77</f>
        <v>8</v>
      </c>
      <c r="AH77" s="75">
        <f>ROUND($H77*VLOOKUP($G77,'NPC Generator'!$I$2:$R$43,6,FALSE)/10,0)+ROUND($J77*VLOOKUP($I77,'NPC Generator'!$I$2:$R$43,6,FALSE)/10,0)</f>
        <v>4</v>
      </c>
      <c r="AI77" s="76">
        <f>IF(X77&gt;9.9,(ROUNDDOWN((X77-10) / 2,0)),ROUNDUP((X77-10) / 2,0))+AH77</f>
        <v>6</v>
      </c>
      <c r="AJ77" s="165">
        <f>ROUND($H77*VLOOKUP($G77,'NPC Generator'!$I$2:$R$43,3,FALSE)/10,0)+ROUND($J77*VLOOKUP($I77,'NPC Generator'!$I$2:$R$43,3,FALSE)/10,0)</f>
        <v>7</v>
      </c>
      <c r="AK77" s="68">
        <f>10+AC77+ROUND($H77*VLOOKUP($G77,'NPC Generator'!$I$2:$R$43,7,FALSE)/10,0)+ROUND($J77*VLOOKUP($I77,'NPC Generator'!$I$2:$R$43,7,FALSE)/10,0)</f>
        <v>19</v>
      </c>
      <c r="AL77" s="66">
        <f t="shared" si="40"/>
        <v>21</v>
      </c>
      <c r="AM77" s="66">
        <f t="shared" si="41"/>
        <v>24</v>
      </c>
      <c r="AN77" s="77">
        <f>$H77*(3+VLOOKUP($G77,'NPC Generator'!$I$2:$R$43,10,FALSE))+($J77*VLOOKUP($I77,'NPC Generator'!$I$2:$R$43,10,FALSE))+(U77*SUM(H77,J77))</f>
        <v>104</v>
      </c>
      <c r="AO77" s="78">
        <f>$H77*(3+VLOOKUP($G77,'NPC Generator'!$I$2:$R$43,9,FALSE))+($J77*VLOOKUP($I77,'NPC Generator'!$I$2:$R$43,9,FALSE))</f>
        <v>62</v>
      </c>
      <c r="AP77" s="163" t="s">
        <v>861</v>
      </c>
      <c r="AQ77" s="163" t="s">
        <v>727</v>
      </c>
      <c r="AR77" s="163" t="s">
        <v>924</v>
      </c>
      <c r="AS77" s="165" t="s">
        <v>811</v>
      </c>
      <c r="AT77" s="68" t="s">
        <v>1134</v>
      </c>
      <c r="AU77" s="64" t="s">
        <v>1188</v>
      </c>
      <c r="AV77" s="66">
        <f>VLOOKUP($AU77,¡RefTables!$G$8:$H$22,2,FALSE)</f>
        <v>5</v>
      </c>
      <c r="AW77" s="67" t="s">
        <v>1213</v>
      </c>
    </row>
    <row r="78" spans="1:49" ht="31.2" x14ac:dyDescent="0.3">
      <c r="A78" s="242" t="s">
        <v>402</v>
      </c>
      <c r="B78" s="134" t="s">
        <v>484</v>
      </c>
      <c r="C78" s="64" t="s">
        <v>106</v>
      </c>
      <c r="D78" s="65" t="s">
        <v>19</v>
      </c>
      <c r="E78" s="84" t="s">
        <v>96</v>
      </c>
      <c r="F78" s="84" t="s">
        <v>156</v>
      </c>
      <c r="G78" s="125" t="s">
        <v>102</v>
      </c>
      <c r="H78" s="125">
        <v>4</v>
      </c>
      <c r="I78" s="128" t="s">
        <v>39</v>
      </c>
      <c r="J78" s="128">
        <v>5</v>
      </c>
      <c r="K78" s="130">
        <f t="shared" si="37"/>
        <v>9</v>
      </c>
      <c r="L78" s="65" t="s">
        <v>312</v>
      </c>
      <c r="M78" s="133" t="s">
        <v>113</v>
      </c>
      <c r="N78" s="133" t="s">
        <v>104</v>
      </c>
      <c r="O78" s="66" t="s">
        <v>504</v>
      </c>
      <c r="P78" s="68">
        <v>13</v>
      </c>
      <c r="Q78" s="81" t="s">
        <v>86</v>
      </c>
      <c r="R78" s="64">
        <v>14</v>
      </c>
      <c r="S78" s="81" t="s">
        <v>84</v>
      </c>
      <c r="T78" s="64">
        <v>16</v>
      </c>
      <c r="U78" s="81" t="s">
        <v>83</v>
      </c>
      <c r="V78" s="64">
        <v>12</v>
      </c>
      <c r="W78" s="81" t="s">
        <v>84</v>
      </c>
      <c r="X78" s="64">
        <v>13</v>
      </c>
      <c r="Y78" s="81" t="s">
        <v>83</v>
      </c>
      <c r="Z78" s="66">
        <v>11</v>
      </c>
      <c r="AA78" s="82" t="s">
        <v>83</v>
      </c>
      <c r="AB78" s="69">
        <f t="shared" si="38"/>
        <v>13.166666666666666</v>
      </c>
      <c r="AC78" s="70" t="str">
        <f t="shared" si="39"/>
        <v>+2</v>
      </c>
      <c r="AD78" s="71">
        <f>ROUND($H78*VLOOKUP($G78,'NPC Generator'!$I$2:$R$43,4,FALSE)/10,0)+ROUND($J78*VLOOKUP($I78,'NPC Generator'!$I$2:$R$43,4,FALSE)/10,0)</f>
        <v>5</v>
      </c>
      <c r="AE78" s="72">
        <v>0</v>
      </c>
      <c r="AF78" s="73">
        <f>ROUND($H78*VLOOKUP($G78,'NPC Generator'!$I$2:$R$43,5,FALSE)/10,0)+ROUND($J78*VLOOKUP($I78,'NPC Generator'!$I$2:$R$43,5,FALSE)/10,0)</f>
        <v>4</v>
      </c>
      <c r="AG78" s="74">
        <v>4</v>
      </c>
      <c r="AH78" s="75">
        <f>ROUND($H78*VLOOKUP($G78,'NPC Generator'!$I$2:$R$43,6,FALSE)/10,0)+ROUND($J78*VLOOKUP($I78,'NPC Generator'!$I$2:$R$43,6,FALSE)/10,0)</f>
        <v>4</v>
      </c>
      <c r="AI78" s="76">
        <v>0</v>
      </c>
      <c r="AJ78" s="165">
        <f>ROUND($H78*VLOOKUP($G78,'NPC Generator'!$I$2:$R$43,3,FALSE)/10,0)+ROUND($J78*VLOOKUP($I78,'NPC Generator'!$I$2:$R$43,3,FALSE)/10,0)</f>
        <v>7</v>
      </c>
      <c r="AK78" s="68">
        <f>10+AC78+ROUND($H78*VLOOKUP($G78,'NPC Generator'!$I$2:$R$43,7,FALSE)/10,0)+ROUND($J78*VLOOKUP($I78,'NPC Generator'!$I$2:$R$43,7,FALSE)/10,0)</f>
        <v>17</v>
      </c>
      <c r="AL78" s="66">
        <f t="shared" si="40"/>
        <v>20</v>
      </c>
      <c r="AM78" s="66">
        <f t="shared" si="41"/>
        <v>22</v>
      </c>
      <c r="AN78" s="77">
        <f>$H78*(3+VLOOKUP($G78,'NPC Generator'!$I$2:$R$43,10,FALSE))+($J78*VLOOKUP($I78,'NPC Generator'!$I$2:$R$43,10,FALSE))+(U78*SUM(H78,J78))</f>
        <v>92</v>
      </c>
      <c r="AO78" s="78">
        <f>$H78*(3+VLOOKUP($G78,'NPC Generator'!$I$2:$R$43,9,FALSE))+($J78*VLOOKUP($I78,'NPC Generator'!$I$2:$R$43,9,FALSE))</f>
        <v>59</v>
      </c>
      <c r="AP78" s="163" t="s">
        <v>870</v>
      </c>
      <c r="AQ78" s="163" t="s">
        <v>737</v>
      </c>
      <c r="AR78" s="163" t="s">
        <v>762</v>
      </c>
      <c r="AS78" s="165" t="s">
        <v>945</v>
      </c>
      <c r="AT78" s="68" t="s">
        <v>1092</v>
      </c>
      <c r="AU78" s="64" t="s">
        <v>1188</v>
      </c>
      <c r="AV78" s="66">
        <f>VLOOKUP($AU78,¡RefTables!$G$8:$H$22,2,FALSE)</f>
        <v>5</v>
      </c>
      <c r="AW78" s="67" t="s">
        <v>1213</v>
      </c>
    </row>
    <row r="79" spans="1:49" ht="31.2" x14ac:dyDescent="0.3">
      <c r="A79" s="242" t="s">
        <v>406</v>
      </c>
      <c r="B79" s="135" t="s">
        <v>405</v>
      </c>
      <c r="C79" s="64" t="s">
        <v>105</v>
      </c>
      <c r="D79" s="65" t="s">
        <v>21</v>
      </c>
      <c r="E79" s="84" t="s">
        <v>96</v>
      </c>
      <c r="F79" s="84" t="s">
        <v>156</v>
      </c>
      <c r="G79" s="125" t="s">
        <v>103</v>
      </c>
      <c r="H79" s="125">
        <v>4</v>
      </c>
      <c r="I79" s="128" t="s">
        <v>28</v>
      </c>
      <c r="J79" s="128">
        <v>4</v>
      </c>
      <c r="K79" s="130">
        <f t="shared" si="37"/>
        <v>8</v>
      </c>
      <c r="L79" s="65" t="s">
        <v>334</v>
      </c>
      <c r="M79" s="133" t="s">
        <v>133</v>
      </c>
      <c r="N79" s="133" t="s">
        <v>150</v>
      </c>
      <c r="O79" s="66" t="s">
        <v>969</v>
      </c>
      <c r="P79" s="68">
        <v>16</v>
      </c>
      <c r="Q79" s="81" t="str">
        <f t="shared" ref="Q79:Q86" si="51">IF(P79&gt;9.9,CONCATENATE("+",ROUNDDOWN((P79-10) / 2,0)),ROUNDUP((P79-10) / 2,0))</f>
        <v>+3</v>
      </c>
      <c r="R79" s="64">
        <v>15</v>
      </c>
      <c r="S79" s="81" t="str">
        <f t="shared" ref="S79:S86" si="52">IF(R79&gt;9.9,CONCATENATE("+",ROUNDDOWN((R79-10) / 2,0)),ROUNDUP((R79-10) / 2,0))</f>
        <v>+2</v>
      </c>
      <c r="T79" s="64">
        <v>14</v>
      </c>
      <c r="U79" s="81" t="str">
        <f t="shared" ref="U79:U86" si="53">IF(T79&gt;9.9,CONCATENATE("+",ROUNDDOWN((T79-10) / 2,0)),ROUNDUP((T79-10) / 2,0))</f>
        <v>+2</v>
      </c>
      <c r="V79" s="64">
        <v>10</v>
      </c>
      <c r="W79" s="81" t="str">
        <f t="shared" ref="W79:W86" si="54">IF(V79&gt;9.9,CONCATENATE("+",ROUNDDOWN((V79-10) / 2,0)),ROUNDUP((V79-10) / 2,0))</f>
        <v>+0</v>
      </c>
      <c r="X79" s="64">
        <v>10</v>
      </c>
      <c r="Y79" s="81" t="str">
        <f t="shared" ref="Y79:Y86" si="55">IF(X79&gt;9.9,CONCATENATE("+",ROUNDDOWN((X79-10) / 2,0)),ROUNDUP((X79-10) / 2,0))</f>
        <v>+0</v>
      </c>
      <c r="Z79" s="66">
        <v>10</v>
      </c>
      <c r="AA79" s="82" t="str">
        <f t="shared" ref="AA79:AA87" si="56">IF(Z79&gt;9.9,CONCATENATE("+",ROUNDDOWN((Z79-10) / 2,0)),ROUNDUP((Z79-10) / 2,0))</f>
        <v>+0</v>
      </c>
      <c r="AB79" s="69">
        <f t="shared" si="38"/>
        <v>12.5</v>
      </c>
      <c r="AC79" s="70" t="str">
        <f t="shared" si="39"/>
        <v>+2</v>
      </c>
      <c r="AD79" s="71">
        <f>ROUND($H79*VLOOKUP($G79,'NPC Generator'!$I$2:$R$43,4,FALSE)/10,0)+ROUND($J79*VLOOKUP($I79,'NPC Generator'!$I$2:$R$43,4,FALSE)/10,0)</f>
        <v>4</v>
      </c>
      <c r="AE79" s="72">
        <f t="shared" ref="AE79:AE87" si="57">IF(T79&gt;9.9,(ROUNDDOWN((T79-10) / 2,0)),ROUNDUP((T79-10) / 2,0))+AD79</f>
        <v>6</v>
      </c>
      <c r="AF79" s="73">
        <f>ROUND($H79*VLOOKUP($G79,'NPC Generator'!$I$2:$R$43,5,FALSE)/10,0)+ROUND($J79*VLOOKUP($I79,'NPC Generator'!$I$2:$R$43,5,FALSE)/10,0)</f>
        <v>4</v>
      </c>
      <c r="AG79" s="74">
        <f t="shared" ref="AG79:AG87" si="58">AF79+AC79</f>
        <v>6</v>
      </c>
      <c r="AH79" s="75">
        <f>ROUND($H79*VLOOKUP($G79,'NPC Generator'!$I$2:$R$43,6,FALSE)/10,0)+ROUND($J79*VLOOKUP($I79,'NPC Generator'!$I$2:$R$43,6,FALSE)/10,0)</f>
        <v>2</v>
      </c>
      <c r="AI79" s="76">
        <f t="shared" ref="AI79:AI87" si="59">IF(X79&gt;9.9,(ROUNDDOWN((X79-10) / 2,0)),ROUNDUP((X79-10) / 2,0))+AH79</f>
        <v>2</v>
      </c>
      <c r="AJ79" s="165">
        <f>ROUND($H79*VLOOKUP($G79,'NPC Generator'!$I$2:$R$43,3,FALSE)/10,0)+ROUND($J79*VLOOKUP($I79,'NPC Generator'!$I$2:$R$43,3,FALSE)/10,0)</f>
        <v>7</v>
      </c>
      <c r="AK79" s="68">
        <f>10+AC79+ROUND($H79*VLOOKUP($G79,'NPC Generator'!$I$2:$R$43,7,FALSE)/10,0)+ROUND($J79*VLOOKUP($I79,'NPC Generator'!$I$2:$R$43,7,FALSE)/10,0)</f>
        <v>16</v>
      </c>
      <c r="AL79" s="66">
        <f t="shared" si="40"/>
        <v>20</v>
      </c>
      <c r="AM79" s="66">
        <f t="shared" si="41"/>
        <v>22</v>
      </c>
      <c r="AN79" s="77">
        <f>$H79*(3+VLOOKUP($G79,'NPC Generator'!$I$2:$R$43,10,FALSE))+($J79*VLOOKUP($I79,'NPC Generator'!$I$2:$R$43,10,FALSE))+(U79*SUM(H79,J79))</f>
        <v>108</v>
      </c>
      <c r="AO79" s="78">
        <f>$H79*(3+VLOOKUP($G79,'NPC Generator'!$I$2:$R$43,9,FALSE))+($J79*VLOOKUP($I79,'NPC Generator'!$I$2:$R$43,9,FALSE))</f>
        <v>36</v>
      </c>
      <c r="AP79" s="163" t="s">
        <v>863</v>
      </c>
      <c r="AQ79" s="163" t="s">
        <v>723</v>
      </c>
      <c r="AR79" s="163" t="s">
        <v>742</v>
      </c>
      <c r="AS79" s="165" t="s">
        <v>822</v>
      </c>
      <c r="AT79" s="68" t="s">
        <v>1134</v>
      </c>
      <c r="AU79" s="64" t="s">
        <v>1189</v>
      </c>
      <c r="AV79" s="66">
        <f>VLOOKUP($AU79,¡RefTables!$G$8:$H$22,2,FALSE)</f>
        <v>6</v>
      </c>
      <c r="AW79" s="67" t="s">
        <v>1213</v>
      </c>
    </row>
    <row r="80" spans="1:49" ht="31.2" x14ac:dyDescent="0.3">
      <c r="A80" s="242" t="s">
        <v>408</v>
      </c>
      <c r="B80" s="134" t="s">
        <v>403</v>
      </c>
      <c r="C80" s="64" t="s">
        <v>105</v>
      </c>
      <c r="D80" s="65" t="s">
        <v>20</v>
      </c>
      <c r="E80" s="84" t="s">
        <v>96</v>
      </c>
      <c r="F80" s="84" t="s">
        <v>156</v>
      </c>
      <c r="G80" s="125" t="s">
        <v>103</v>
      </c>
      <c r="H80" s="125">
        <v>4</v>
      </c>
      <c r="I80" s="128" t="s">
        <v>720</v>
      </c>
      <c r="J80" s="128">
        <v>4</v>
      </c>
      <c r="K80" s="130">
        <f t="shared" si="37"/>
        <v>8</v>
      </c>
      <c r="L80" s="65" t="s">
        <v>329</v>
      </c>
      <c r="M80" s="133" t="s">
        <v>125</v>
      </c>
      <c r="N80" s="133" t="s">
        <v>337</v>
      </c>
      <c r="O80" s="66" t="s">
        <v>505</v>
      </c>
      <c r="P80" s="68">
        <v>16</v>
      </c>
      <c r="Q80" s="81" t="str">
        <f t="shared" si="51"/>
        <v>+3</v>
      </c>
      <c r="R80" s="64">
        <v>14</v>
      </c>
      <c r="S80" s="81" t="str">
        <f t="shared" si="52"/>
        <v>+2</v>
      </c>
      <c r="T80" s="64">
        <v>13</v>
      </c>
      <c r="U80" s="81" t="str">
        <f t="shared" si="53"/>
        <v>+1</v>
      </c>
      <c r="V80" s="64">
        <v>12</v>
      </c>
      <c r="W80" s="81" t="str">
        <f t="shared" si="54"/>
        <v>+1</v>
      </c>
      <c r="X80" s="64">
        <v>11</v>
      </c>
      <c r="Y80" s="81" t="str">
        <f t="shared" si="55"/>
        <v>+0</v>
      </c>
      <c r="Z80" s="66">
        <v>9</v>
      </c>
      <c r="AA80" s="82">
        <f t="shared" si="56"/>
        <v>-1</v>
      </c>
      <c r="AB80" s="69">
        <f t="shared" si="38"/>
        <v>12.5</v>
      </c>
      <c r="AC80" s="70" t="str">
        <f t="shared" si="39"/>
        <v>+2</v>
      </c>
      <c r="AD80" s="71">
        <f>ROUND($H80*VLOOKUP($G80,'NPC Generator'!$I$2:$R$43,4,FALSE)/10,0)+ROUND($J80*VLOOKUP($I80,'NPC Generator'!$I$2:$R$43,4,FALSE)/10,0)</f>
        <v>5</v>
      </c>
      <c r="AE80" s="72">
        <f t="shared" si="57"/>
        <v>6</v>
      </c>
      <c r="AF80" s="73">
        <f>ROUND($H80*VLOOKUP($G80,'NPC Generator'!$I$2:$R$43,5,FALSE)/10,0)+ROUND($J80*VLOOKUP($I80,'NPC Generator'!$I$2:$R$43,5,FALSE)/10,0)</f>
        <v>3</v>
      </c>
      <c r="AG80" s="74">
        <f t="shared" si="58"/>
        <v>5</v>
      </c>
      <c r="AH80" s="75">
        <f>ROUND($H80*VLOOKUP($G80,'NPC Generator'!$I$2:$R$43,6,FALSE)/10,0)+ROUND($J80*VLOOKUP($I80,'NPC Generator'!$I$2:$R$43,6,FALSE)/10,0)</f>
        <v>2</v>
      </c>
      <c r="AI80" s="76">
        <f t="shared" si="59"/>
        <v>2</v>
      </c>
      <c r="AJ80" s="165">
        <f>ROUND($H80*VLOOKUP($G80,'NPC Generator'!$I$2:$R$43,3,FALSE)/10,0)+ROUND($J80*VLOOKUP($I80,'NPC Generator'!$I$2:$R$43,3,FALSE)/10,0)</f>
        <v>7</v>
      </c>
      <c r="AK80" s="68">
        <f>10+AC80+ROUND($H80*VLOOKUP($G80,'NPC Generator'!$I$2:$R$43,7,FALSE)/10,0)+ROUND($J80*VLOOKUP($I80,'NPC Generator'!$I$2:$R$43,7,FALSE)/10,0)</f>
        <v>16</v>
      </c>
      <c r="AL80" s="66">
        <f t="shared" si="40"/>
        <v>16</v>
      </c>
      <c r="AM80" s="66">
        <f t="shared" si="41"/>
        <v>18</v>
      </c>
      <c r="AN80" s="77">
        <f>$H80*(3+VLOOKUP($G80,'NPC Generator'!$I$2:$R$43,10,FALSE))+($J80*VLOOKUP($I80,'NPC Generator'!$I$2:$R$43,10,FALSE))+(U80*SUM(H80,J80))</f>
        <v>100</v>
      </c>
      <c r="AO80" s="78">
        <f>$H80*(3+VLOOKUP($G80,'NPC Generator'!$I$2:$R$43,9,FALSE))+($J80*VLOOKUP($I80,'NPC Generator'!$I$2:$R$43,9,FALSE))</f>
        <v>36</v>
      </c>
      <c r="AP80" s="163" t="s">
        <v>909</v>
      </c>
      <c r="AQ80" s="163" t="s">
        <v>725</v>
      </c>
      <c r="AR80" s="163" t="s">
        <v>743</v>
      </c>
      <c r="AS80" s="165" t="s">
        <v>849</v>
      </c>
      <c r="AT80" s="68" t="s">
        <v>1089</v>
      </c>
      <c r="AU80" s="64" t="s">
        <v>1182</v>
      </c>
      <c r="AV80" s="66">
        <f>VLOOKUP($AU80,¡RefTables!$G$8:$H$22,2,FALSE)</f>
        <v>2</v>
      </c>
      <c r="AW80" s="67" t="s">
        <v>1213</v>
      </c>
    </row>
    <row r="81" spans="1:49" ht="46.8" x14ac:dyDescent="0.3">
      <c r="A81" s="242" t="s">
        <v>409</v>
      </c>
      <c r="B81" s="134" t="s">
        <v>410</v>
      </c>
      <c r="C81" s="64" t="s">
        <v>303</v>
      </c>
      <c r="D81" s="65" t="s">
        <v>18</v>
      </c>
      <c r="E81" s="84" t="s">
        <v>96</v>
      </c>
      <c r="F81" s="84" t="s">
        <v>156</v>
      </c>
      <c r="G81" s="125" t="s">
        <v>101</v>
      </c>
      <c r="H81" s="125">
        <v>4</v>
      </c>
      <c r="I81" s="128" t="s">
        <v>42</v>
      </c>
      <c r="J81" s="128">
        <v>3</v>
      </c>
      <c r="K81" s="130">
        <f t="shared" si="37"/>
        <v>7</v>
      </c>
      <c r="L81" s="65" t="s">
        <v>307</v>
      </c>
      <c r="M81" s="133" t="s">
        <v>136</v>
      </c>
      <c r="N81" s="133" t="s">
        <v>304</v>
      </c>
      <c r="O81" s="66" t="s">
        <v>506</v>
      </c>
      <c r="P81" s="68">
        <v>11</v>
      </c>
      <c r="Q81" s="81" t="str">
        <f t="shared" si="51"/>
        <v>+0</v>
      </c>
      <c r="R81" s="64">
        <v>16</v>
      </c>
      <c r="S81" s="81" t="str">
        <f t="shared" si="52"/>
        <v>+3</v>
      </c>
      <c r="T81" s="64">
        <v>9</v>
      </c>
      <c r="U81" s="81">
        <f t="shared" si="53"/>
        <v>-1</v>
      </c>
      <c r="V81" s="64">
        <v>16</v>
      </c>
      <c r="W81" s="81" t="str">
        <f t="shared" si="54"/>
        <v>+3</v>
      </c>
      <c r="X81" s="64">
        <v>11</v>
      </c>
      <c r="Y81" s="81" t="str">
        <f t="shared" si="55"/>
        <v>+0</v>
      </c>
      <c r="Z81" s="66">
        <v>11</v>
      </c>
      <c r="AA81" s="82" t="str">
        <f t="shared" si="56"/>
        <v>+0</v>
      </c>
      <c r="AB81" s="69">
        <f t="shared" si="38"/>
        <v>12.333333333333334</v>
      </c>
      <c r="AC81" s="70" t="str">
        <f t="shared" si="39"/>
        <v>+3</v>
      </c>
      <c r="AD81" s="71">
        <f>ROUND($H81*VLOOKUP($G81,'NPC Generator'!$I$2:$R$43,4,FALSE)/10,0)+ROUND($J81*VLOOKUP($I81,'NPC Generator'!$I$2:$R$43,4,FALSE)/10,0)</f>
        <v>3</v>
      </c>
      <c r="AE81" s="72">
        <f t="shared" si="57"/>
        <v>2</v>
      </c>
      <c r="AF81" s="73">
        <f>ROUND($H81*VLOOKUP($G81,'NPC Generator'!$I$2:$R$43,5,FALSE)/10,0)+ROUND($J81*VLOOKUP($I81,'NPC Generator'!$I$2:$R$43,5,FALSE)/10,0)</f>
        <v>4</v>
      </c>
      <c r="AG81" s="74">
        <f t="shared" si="58"/>
        <v>7</v>
      </c>
      <c r="AH81" s="75">
        <f>ROUND($H81*VLOOKUP($G81,'NPC Generator'!$I$2:$R$43,6,FALSE)/10,0)+ROUND($J81*VLOOKUP($I81,'NPC Generator'!$I$2:$R$43,6,FALSE)/10,0)</f>
        <v>2</v>
      </c>
      <c r="AI81" s="76">
        <f t="shared" si="59"/>
        <v>2</v>
      </c>
      <c r="AJ81" s="165">
        <f>ROUND($H81*VLOOKUP($G81,'NPC Generator'!$I$2:$R$43,3,FALSE)/10,0)+ROUND($J81*VLOOKUP($I81,'NPC Generator'!$I$2:$R$43,3,FALSE)/10,0)</f>
        <v>5</v>
      </c>
      <c r="AK81" s="68">
        <f>10+AC81+ROUND($H81*VLOOKUP($G81,'NPC Generator'!$I$2:$R$43,7,FALSE)/10,0)+ROUND($J81*VLOOKUP($I81,'NPC Generator'!$I$2:$R$43,7,FALSE)/10,0)</f>
        <v>18</v>
      </c>
      <c r="AL81" s="66">
        <f t="shared" si="40"/>
        <v>20</v>
      </c>
      <c r="AM81" s="66">
        <f t="shared" si="41"/>
        <v>23</v>
      </c>
      <c r="AN81" s="77">
        <f>$H81*(3+VLOOKUP($G81,'NPC Generator'!$I$2:$R$43,10,FALSE))+($J81*VLOOKUP($I81,'NPC Generator'!$I$2:$R$43,10,FALSE))+(U81*SUM(H81,J81))</f>
        <v>67</v>
      </c>
      <c r="AO81" s="78">
        <f>$H81*(3+VLOOKUP($G81,'NPC Generator'!$I$2:$R$43,9,FALSE))+($J81*VLOOKUP($I81,'NPC Generator'!$I$2:$R$43,9,FALSE))</f>
        <v>47</v>
      </c>
      <c r="AP81" s="163" t="s">
        <v>884</v>
      </c>
      <c r="AQ81" s="163" t="s">
        <v>728</v>
      </c>
      <c r="AR81" s="163" t="s">
        <v>758</v>
      </c>
      <c r="AS81" s="165" t="s">
        <v>810</v>
      </c>
      <c r="AT81" s="68" t="s">
        <v>1023</v>
      </c>
      <c r="AU81" s="64" t="s">
        <v>1188</v>
      </c>
      <c r="AV81" s="66">
        <f>VLOOKUP($AU81,¡RefTables!$G$8:$H$22,2,FALSE)</f>
        <v>5</v>
      </c>
      <c r="AW81" s="67" t="s">
        <v>1257</v>
      </c>
    </row>
    <row r="82" spans="1:49" ht="46.8" x14ac:dyDescent="0.3">
      <c r="A82" s="243" t="s">
        <v>355</v>
      </c>
      <c r="B82" s="135" t="s">
        <v>392</v>
      </c>
      <c r="C82" s="64" t="s">
        <v>105</v>
      </c>
      <c r="D82" s="65" t="s">
        <v>19</v>
      </c>
      <c r="E82" s="105" t="s">
        <v>350</v>
      </c>
      <c r="F82" s="105" t="s">
        <v>351</v>
      </c>
      <c r="G82" s="125" t="s">
        <v>99</v>
      </c>
      <c r="H82" s="125">
        <v>4</v>
      </c>
      <c r="I82" s="128" t="s">
        <v>40</v>
      </c>
      <c r="J82" s="128">
        <v>6</v>
      </c>
      <c r="K82" s="130">
        <f t="shared" si="37"/>
        <v>10</v>
      </c>
      <c r="L82" s="65" t="s">
        <v>313</v>
      </c>
      <c r="M82" s="133" t="s">
        <v>125</v>
      </c>
      <c r="N82" s="133" t="s">
        <v>148</v>
      </c>
      <c r="O82" s="66" t="s">
        <v>507</v>
      </c>
      <c r="P82" s="68">
        <v>12</v>
      </c>
      <c r="Q82" s="81" t="str">
        <f t="shared" si="51"/>
        <v>+1</v>
      </c>
      <c r="R82" s="64">
        <v>13</v>
      </c>
      <c r="S82" s="81" t="str">
        <f t="shared" si="52"/>
        <v>+1</v>
      </c>
      <c r="T82" s="64">
        <v>14</v>
      </c>
      <c r="U82" s="81" t="str">
        <f t="shared" si="53"/>
        <v>+2</v>
      </c>
      <c r="V82" s="64">
        <v>12</v>
      </c>
      <c r="W82" s="81" t="str">
        <f t="shared" si="54"/>
        <v>+1</v>
      </c>
      <c r="X82" s="64">
        <v>13</v>
      </c>
      <c r="Y82" s="81" t="str">
        <f t="shared" si="55"/>
        <v>+1</v>
      </c>
      <c r="Z82" s="66">
        <v>16</v>
      </c>
      <c r="AA82" s="82" t="str">
        <f t="shared" si="56"/>
        <v>+3</v>
      </c>
      <c r="AB82" s="69">
        <f t="shared" si="38"/>
        <v>13.333333333333334</v>
      </c>
      <c r="AC82" s="70" t="str">
        <f t="shared" si="39"/>
        <v>+1</v>
      </c>
      <c r="AD82" s="71">
        <f>ROUND($H82*VLOOKUP($G82,'NPC Generator'!$I$2:$R$43,4,FALSE)/10,0)+ROUND($J82*VLOOKUP($I82,'NPC Generator'!$I$2:$R$43,4,FALSE)/10,0)</f>
        <v>4</v>
      </c>
      <c r="AE82" s="72">
        <f t="shared" si="57"/>
        <v>6</v>
      </c>
      <c r="AF82" s="73">
        <f>ROUND($H82*VLOOKUP($G82,'NPC Generator'!$I$2:$R$43,5,FALSE)/10,0)+ROUND($J82*VLOOKUP($I82,'NPC Generator'!$I$2:$R$43,5,FALSE)/10,0)</f>
        <v>4</v>
      </c>
      <c r="AG82" s="74">
        <f t="shared" si="58"/>
        <v>5</v>
      </c>
      <c r="AH82" s="75">
        <f>ROUND($H82*VLOOKUP($G82,'NPC Generator'!$I$2:$R$43,6,FALSE)/10,0)+ROUND($J82*VLOOKUP($I82,'NPC Generator'!$I$2:$R$43,6,FALSE)/10,0)</f>
        <v>5</v>
      </c>
      <c r="AI82" s="76">
        <f t="shared" si="59"/>
        <v>6</v>
      </c>
      <c r="AJ82" s="165">
        <f>ROUND($H82*VLOOKUP($G82,'NPC Generator'!$I$2:$R$43,3,FALSE)/10,0)+ROUND($J82*VLOOKUP($I82,'NPC Generator'!$I$2:$R$43,3,FALSE)/10,0)</f>
        <v>8</v>
      </c>
      <c r="AK82" s="68">
        <f>10+AC82+ROUND($H82*VLOOKUP($G82,'NPC Generator'!$I$2:$R$43,7,FALSE)/10,0)+ROUND($J82*VLOOKUP($I82,'NPC Generator'!$I$2:$R$43,7,FALSE)/10,0)</f>
        <v>15</v>
      </c>
      <c r="AL82" s="66">
        <f t="shared" si="40"/>
        <v>19</v>
      </c>
      <c r="AM82" s="66">
        <f t="shared" si="41"/>
        <v>20</v>
      </c>
      <c r="AN82" s="77">
        <f>$H82*(3+VLOOKUP($G82,'NPC Generator'!$I$2:$R$43,10,FALSE))+($J82*VLOOKUP($I82,'NPC Generator'!$I$2:$R$43,10,FALSE))+(U82*SUM(H82,J82))</f>
        <v>104</v>
      </c>
      <c r="AO82" s="78">
        <f>$H82*(3+VLOOKUP($G82,'NPC Generator'!$I$2:$R$43,9,FALSE))+($J82*VLOOKUP($I82,'NPC Generator'!$I$2:$R$43,9,FALSE))</f>
        <v>70</v>
      </c>
      <c r="AP82" s="163" t="s">
        <v>864</v>
      </c>
      <c r="AQ82" s="163" t="s">
        <v>733</v>
      </c>
      <c r="AR82" s="163" t="s">
        <v>807</v>
      </c>
      <c r="AS82" s="165" t="s">
        <v>841</v>
      </c>
      <c r="AT82" s="68" t="s">
        <v>1160</v>
      </c>
      <c r="AU82" s="64" t="s">
        <v>1188</v>
      </c>
      <c r="AV82" s="66">
        <f>VLOOKUP($AU82,¡RefTables!$G$8:$H$22,2,FALSE)</f>
        <v>5</v>
      </c>
      <c r="AW82" s="67" t="s">
        <v>1245</v>
      </c>
    </row>
    <row r="83" spans="1:49" ht="93.6" x14ac:dyDescent="0.3">
      <c r="A83" s="243" t="s">
        <v>386</v>
      </c>
      <c r="B83" s="135" t="s">
        <v>480</v>
      </c>
      <c r="C83" s="64" t="s">
        <v>303</v>
      </c>
      <c r="D83" s="65" t="s">
        <v>18</v>
      </c>
      <c r="E83" s="105" t="s">
        <v>350</v>
      </c>
      <c r="F83" s="105" t="s">
        <v>351</v>
      </c>
      <c r="G83" s="125" t="s">
        <v>102</v>
      </c>
      <c r="H83" s="125">
        <v>4</v>
      </c>
      <c r="I83" s="128" t="s">
        <v>40</v>
      </c>
      <c r="J83" s="128">
        <v>4</v>
      </c>
      <c r="K83" s="130">
        <f t="shared" si="37"/>
        <v>8</v>
      </c>
      <c r="L83" s="65" t="s">
        <v>313</v>
      </c>
      <c r="M83" s="133" t="s">
        <v>125</v>
      </c>
      <c r="N83" s="133" t="s">
        <v>150</v>
      </c>
      <c r="O83" s="66" t="s">
        <v>508</v>
      </c>
      <c r="P83" s="68">
        <v>14</v>
      </c>
      <c r="Q83" s="81" t="str">
        <f t="shared" si="51"/>
        <v>+2</v>
      </c>
      <c r="R83" s="64">
        <v>14</v>
      </c>
      <c r="S83" s="81" t="str">
        <f t="shared" si="52"/>
        <v>+2</v>
      </c>
      <c r="T83" s="64">
        <v>17</v>
      </c>
      <c r="U83" s="81" t="str">
        <f t="shared" si="53"/>
        <v>+3</v>
      </c>
      <c r="V83" s="64">
        <v>9</v>
      </c>
      <c r="W83" s="81">
        <f t="shared" si="54"/>
        <v>-1</v>
      </c>
      <c r="X83" s="64">
        <v>8</v>
      </c>
      <c r="Y83" s="81">
        <f t="shared" si="55"/>
        <v>-1</v>
      </c>
      <c r="Z83" s="66">
        <v>9</v>
      </c>
      <c r="AA83" s="82">
        <f t="shared" si="56"/>
        <v>-1</v>
      </c>
      <c r="AB83" s="69">
        <f t="shared" si="38"/>
        <v>11.833333333333334</v>
      </c>
      <c r="AC83" s="70" t="str">
        <f t="shared" si="39"/>
        <v>+2</v>
      </c>
      <c r="AD83" s="71">
        <f>ROUND($H83*VLOOKUP($G83,'NPC Generator'!$I$2:$R$43,4,FALSE)/10,0)+ROUND($J83*VLOOKUP($I83,'NPC Generator'!$I$2:$R$43,4,FALSE)/10,0)</f>
        <v>3</v>
      </c>
      <c r="AE83" s="72">
        <f t="shared" si="57"/>
        <v>6</v>
      </c>
      <c r="AF83" s="73">
        <f>ROUND($H83*VLOOKUP($G83,'NPC Generator'!$I$2:$R$43,5,FALSE)/10,0)+ROUND($J83*VLOOKUP($I83,'NPC Generator'!$I$2:$R$43,5,FALSE)/10,0)</f>
        <v>2</v>
      </c>
      <c r="AG83" s="74">
        <f t="shared" si="58"/>
        <v>4</v>
      </c>
      <c r="AH83" s="75">
        <f>ROUND($H83*VLOOKUP($G83,'NPC Generator'!$I$2:$R$43,6,FALSE)/10,0)+ROUND($J83*VLOOKUP($I83,'NPC Generator'!$I$2:$R$43,6,FALSE)/10,0)</f>
        <v>4</v>
      </c>
      <c r="AI83" s="76">
        <f t="shared" si="59"/>
        <v>3</v>
      </c>
      <c r="AJ83" s="165">
        <f>ROUND($H83*VLOOKUP($G83,'NPC Generator'!$I$2:$R$43,3,FALSE)/10,0)+ROUND($J83*VLOOKUP($I83,'NPC Generator'!$I$2:$R$43,3,FALSE)/10,0)</f>
        <v>7</v>
      </c>
      <c r="AK83" s="68">
        <f>10+AC83+ROUND($H83*VLOOKUP($G83,'NPC Generator'!$I$2:$R$43,7,FALSE)/10,0)+ROUND($J83*VLOOKUP($I83,'NPC Generator'!$I$2:$R$43,7,FALSE)/10,0)</f>
        <v>16</v>
      </c>
      <c r="AL83" s="66">
        <f t="shared" si="40"/>
        <v>20</v>
      </c>
      <c r="AM83" s="66">
        <f t="shared" si="41"/>
        <v>22</v>
      </c>
      <c r="AN83" s="77">
        <f>$H83*(3+VLOOKUP($G83,'NPC Generator'!$I$2:$R$43,10,FALSE))+($J83*VLOOKUP($I83,'NPC Generator'!$I$2:$R$43,10,FALSE))+(U83*SUM(H83,J83))</f>
        <v>108</v>
      </c>
      <c r="AO83" s="78">
        <f>$H83*(3+VLOOKUP($G83,'NPC Generator'!$I$2:$R$43,9,FALSE))+($J83*VLOOKUP($I83,'NPC Generator'!$I$2:$R$43,9,FALSE))</f>
        <v>44</v>
      </c>
      <c r="AP83" s="163" t="s">
        <v>917</v>
      </c>
      <c r="AQ83" s="163" t="s">
        <v>737</v>
      </c>
      <c r="AR83" s="163" t="s">
        <v>761</v>
      </c>
      <c r="AS83" s="165" t="s">
        <v>814</v>
      </c>
      <c r="AT83" s="68" t="s">
        <v>1167</v>
      </c>
      <c r="AU83" s="64" t="s">
        <v>1189</v>
      </c>
      <c r="AV83" s="66">
        <f>VLOOKUP($AU83,¡RefTables!$G$8:$H$22,2,FALSE)</f>
        <v>6</v>
      </c>
      <c r="AW83" s="67" t="s">
        <v>1245</v>
      </c>
    </row>
    <row r="84" spans="1:49" ht="78" x14ac:dyDescent="0.3">
      <c r="A84" s="243" t="s">
        <v>387</v>
      </c>
      <c r="B84" s="135" t="s">
        <v>466</v>
      </c>
      <c r="C84" s="64" t="s">
        <v>106</v>
      </c>
      <c r="D84" s="65" t="s">
        <v>20</v>
      </c>
      <c r="E84" s="105" t="s">
        <v>350</v>
      </c>
      <c r="F84" s="105" t="s">
        <v>351</v>
      </c>
      <c r="G84" s="125" t="s">
        <v>101</v>
      </c>
      <c r="H84" s="125">
        <v>4</v>
      </c>
      <c r="I84" s="128" t="s">
        <v>41</v>
      </c>
      <c r="J84" s="128">
        <v>4</v>
      </c>
      <c r="K84" s="130">
        <f t="shared" si="37"/>
        <v>8</v>
      </c>
      <c r="L84" s="65" t="s">
        <v>313</v>
      </c>
      <c r="M84" s="133" t="s">
        <v>125</v>
      </c>
      <c r="N84" s="133" t="s">
        <v>104</v>
      </c>
      <c r="O84" s="66" t="s">
        <v>586</v>
      </c>
      <c r="P84" s="68">
        <v>13</v>
      </c>
      <c r="Q84" s="81" t="str">
        <f t="shared" si="51"/>
        <v>+1</v>
      </c>
      <c r="R84" s="64">
        <v>19</v>
      </c>
      <c r="S84" s="81" t="str">
        <f t="shared" si="52"/>
        <v>+4</v>
      </c>
      <c r="T84" s="64">
        <v>16</v>
      </c>
      <c r="U84" s="81" t="str">
        <f t="shared" si="53"/>
        <v>+3</v>
      </c>
      <c r="V84" s="64">
        <v>7</v>
      </c>
      <c r="W84" s="81">
        <f t="shared" si="54"/>
        <v>-2</v>
      </c>
      <c r="X84" s="64">
        <v>10</v>
      </c>
      <c r="Y84" s="81" t="str">
        <f t="shared" si="55"/>
        <v>+0</v>
      </c>
      <c r="Z84" s="66">
        <v>4</v>
      </c>
      <c r="AA84" s="82">
        <f t="shared" si="56"/>
        <v>-3</v>
      </c>
      <c r="AB84" s="69">
        <f t="shared" si="38"/>
        <v>11.5</v>
      </c>
      <c r="AC84" s="70" t="str">
        <f t="shared" si="39"/>
        <v>+4</v>
      </c>
      <c r="AD84" s="71">
        <f>ROUND($H84*VLOOKUP($G84,'NPC Generator'!$I$2:$R$43,4,FALSE)/10,0)+ROUND($J84*VLOOKUP($I84,'NPC Generator'!$I$2:$R$43,4,FALSE)/10,0)</f>
        <v>3</v>
      </c>
      <c r="AE84" s="72">
        <f t="shared" si="57"/>
        <v>6</v>
      </c>
      <c r="AF84" s="73">
        <f>ROUND($H84*VLOOKUP($G84,'NPC Generator'!$I$2:$R$43,5,FALSE)/10,0)+ROUND($J84*VLOOKUP($I84,'NPC Generator'!$I$2:$R$43,5,FALSE)/10,0)</f>
        <v>3</v>
      </c>
      <c r="AG84" s="74">
        <f t="shared" si="58"/>
        <v>7</v>
      </c>
      <c r="AH84" s="75">
        <f>ROUND($H84*VLOOKUP($G84,'NPC Generator'!$I$2:$R$43,6,FALSE)/10,0)+ROUND($J84*VLOOKUP($I84,'NPC Generator'!$I$2:$R$43,6,FALSE)/10,0)</f>
        <v>3</v>
      </c>
      <c r="AI84" s="76">
        <f t="shared" si="59"/>
        <v>3</v>
      </c>
      <c r="AJ84" s="165">
        <f>ROUND($H84*VLOOKUP($G84,'NPC Generator'!$I$2:$R$43,3,FALSE)/10,0)+ROUND($J84*VLOOKUP($I84,'NPC Generator'!$I$2:$R$43,3,FALSE)/10,0)</f>
        <v>7</v>
      </c>
      <c r="AK84" s="68">
        <f>10+AC84+ROUND($H84*VLOOKUP($G84,'NPC Generator'!$I$2:$R$43,7,FALSE)/10,0)+ROUND($J84*VLOOKUP($I84,'NPC Generator'!$I$2:$R$43,7,FALSE)/10,0)</f>
        <v>19</v>
      </c>
      <c r="AL84" s="66">
        <f t="shared" si="40"/>
        <v>24</v>
      </c>
      <c r="AM84" s="66">
        <f t="shared" si="41"/>
        <v>28</v>
      </c>
      <c r="AN84" s="77">
        <f>$H84*(3+VLOOKUP($G84,'NPC Generator'!$I$2:$R$43,10,FALSE))+($J84*VLOOKUP($I84,'NPC Generator'!$I$2:$R$43,10,FALSE))+(U84*SUM(H84,J84))</f>
        <v>108</v>
      </c>
      <c r="AO84" s="78">
        <f>$H84*(3+VLOOKUP($G84,'NPC Generator'!$I$2:$R$43,9,FALSE))+($J84*VLOOKUP($I84,'NPC Generator'!$I$2:$R$43,9,FALSE))</f>
        <v>44</v>
      </c>
      <c r="AP84" s="163" t="s">
        <v>876</v>
      </c>
      <c r="AQ84" s="163" t="s">
        <v>728</v>
      </c>
      <c r="AR84" s="163" t="s">
        <v>746</v>
      </c>
      <c r="AS84" s="165" t="s">
        <v>856</v>
      </c>
      <c r="AT84" s="68" t="s">
        <v>1166</v>
      </c>
      <c r="AU84" s="64" t="s">
        <v>1192</v>
      </c>
      <c r="AV84" s="66">
        <f>VLOOKUP($AU84,¡RefTables!$G$8:$H$22,2,FALSE)</f>
        <v>9</v>
      </c>
      <c r="AW84" s="67" t="s">
        <v>1242</v>
      </c>
    </row>
    <row r="85" spans="1:49" ht="31.2" x14ac:dyDescent="0.3">
      <c r="A85" s="243" t="s">
        <v>385</v>
      </c>
      <c r="B85" s="135" t="s">
        <v>467</v>
      </c>
      <c r="C85" s="64" t="s">
        <v>105</v>
      </c>
      <c r="D85" s="65" t="s">
        <v>21</v>
      </c>
      <c r="E85" s="105" t="s">
        <v>350</v>
      </c>
      <c r="F85" s="105" t="s">
        <v>351</v>
      </c>
      <c r="G85" s="125" t="s">
        <v>100</v>
      </c>
      <c r="H85" s="125">
        <v>4</v>
      </c>
      <c r="I85" s="128" t="s">
        <v>23</v>
      </c>
      <c r="J85" s="128">
        <v>4</v>
      </c>
      <c r="K85" s="130">
        <f t="shared" si="37"/>
        <v>8</v>
      </c>
      <c r="L85" s="65" t="s">
        <v>313</v>
      </c>
      <c r="M85" s="133" t="s">
        <v>125</v>
      </c>
      <c r="N85" s="133" t="s">
        <v>337</v>
      </c>
      <c r="O85" s="66" t="s">
        <v>578</v>
      </c>
      <c r="P85" s="68">
        <v>11</v>
      </c>
      <c r="Q85" s="81" t="str">
        <f t="shared" si="51"/>
        <v>+0</v>
      </c>
      <c r="R85" s="64">
        <v>13</v>
      </c>
      <c r="S85" s="81" t="str">
        <f t="shared" si="52"/>
        <v>+1</v>
      </c>
      <c r="T85" s="64">
        <v>12</v>
      </c>
      <c r="U85" s="81" t="str">
        <f t="shared" si="53"/>
        <v>+1</v>
      </c>
      <c r="V85" s="64">
        <v>10</v>
      </c>
      <c r="W85" s="81" t="str">
        <f t="shared" si="54"/>
        <v>+0</v>
      </c>
      <c r="X85" s="64">
        <v>16</v>
      </c>
      <c r="Y85" s="81" t="str">
        <f t="shared" si="55"/>
        <v>+3</v>
      </c>
      <c r="Z85" s="66">
        <v>10</v>
      </c>
      <c r="AA85" s="82" t="str">
        <f t="shared" si="56"/>
        <v>+0</v>
      </c>
      <c r="AB85" s="69">
        <f t="shared" si="38"/>
        <v>12</v>
      </c>
      <c r="AC85" s="70" t="str">
        <f t="shared" si="39"/>
        <v>+1</v>
      </c>
      <c r="AD85" s="71">
        <f>ROUND($H85*VLOOKUP($G85,'NPC Generator'!$I$2:$R$43,4,FALSE)/10,0)+ROUND($J85*VLOOKUP($I85,'NPC Generator'!$I$2:$R$43,4,FALSE)/10,0)</f>
        <v>4</v>
      </c>
      <c r="AE85" s="72">
        <f t="shared" si="57"/>
        <v>5</v>
      </c>
      <c r="AF85" s="73">
        <f>ROUND($H85*VLOOKUP($G85,'NPC Generator'!$I$2:$R$43,5,FALSE)/10,0)+ROUND($J85*VLOOKUP($I85,'NPC Generator'!$I$2:$R$43,5,FALSE)/10,0)</f>
        <v>3</v>
      </c>
      <c r="AG85" s="74">
        <f t="shared" si="58"/>
        <v>4</v>
      </c>
      <c r="AH85" s="75">
        <f>ROUND($H85*VLOOKUP($G85,'NPC Generator'!$I$2:$R$43,6,FALSE)/10,0)+ROUND($J85*VLOOKUP($I85,'NPC Generator'!$I$2:$R$43,6,FALSE)/10,0)</f>
        <v>3</v>
      </c>
      <c r="AI85" s="76">
        <f t="shared" si="59"/>
        <v>6</v>
      </c>
      <c r="AJ85" s="165">
        <f>ROUND($H85*VLOOKUP($G85,'NPC Generator'!$I$2:$R$43,3,FALSE)/10,0)+ROUND($J85*VLOOKUP($I85,'NPC Generator'!$I$2:$R$43,3,FALSE)/10,0)</f>
        <v>6</v>
      </c>
      <c r="AK85" s="68">
        <f>10+AC85+ROUND($H85*VLOOKUP($G85,'NPC Generator'!$I$2:$R$43,7,FALSE)/10,0)+ROUND($J85*VLOOKUP($I85,'NPC Generator'!$I$2:$R$43,7,FALSE)/10,0)</f>
        <v>15</v>
      </c>
      <c r="AL85" s="66">
        <f t="shared" si="40"/>
        <v>20</v>
      </c>
      <c r="AM85" s="66">
        <f t="shared" si="41"/>
        <v>21</v>
      </c>
      <c r="AN85" s="77">
        <f>$H85*(3+VLOOKUP($G85,'NPC Generator'!$I$2:$R$43,10,FALSE))+($J85*VLOOKUP($I85,'NPC Generator'!$I$2:$R$43,10,FALSE))+(U85*SUM(H85,J85))</f>
        <v>84</v>
      </c>
      <c r="AO85" s="78">
        <f>$H85*(3+VLOOKUP($G85,'NPC Generator'!$I$2:$R$43,9,FALSE))+($J85*VLOOKUP($I85,'NPC Generator'!$I$2:$R$43,9,FALSE))</f>
        <v>52</v>
      </c>
      <c r="AP85" s="163" t="s">
        <v>862</v>
      </c>
      <c r="AQ85" s="163" t="s">
        <v>736</v>
      </c>
      <c r="AR85" s="163" t="s">
        <v>798</v>
      </c>
      <c r="AS85" s="165" t="s">
        <v>930</v>
      </c>
      <c r="AT85" s="68" t="s">
        <v>1158</v>
      </c>
      <c r="AU85" s="64" t="s">
        <v>1194</v>
      </c>
      <c r="AV85" s="66">
        <f>VLOOKUP($AU85,¡RefTables!$G$8:$H$22,2,FALSE)</f>
        <v>6</v>
      </c>
      <c r="AW85" s="67" t="s">
        <v>1214</v>
      </c>
    </row>
    <row r="86" spans="1:49" ht="62.4" x14ac:dyDescent="0.3">
      <c r="A86" s="243" t="s">
        <v>388</v>
      </c>
      <c r="B86" s="135" t="s">
        <v>389</v>
      </c>
      <c r="C86" s="64" t="s">
        <v>105</v>
      </c>
      <c r="D86" s="65" t="s">
        <v>19</v>
      </c>
      <c r="E86" s="105" t="s">
        <v>350</v>
      </c>
      <c r="F86" s="105" t="s">
        <v>351</v>
      </c>
      <c r="G86" s="125" t="s">
        <v>103</v>
      </c>
      <c r="H86" s="125">
        <v>4</v>
      </c>
      <c r="I86" s="128" t="s">
        <v>23</v>
      </c>
      <c r="J86" s="128">
        <v>3</v>
      </c>
      <c r="K86" s="130">
        <f t="shared" si="37"/>
        <v>7</v>
      </c>
      <c r="L86" s="65" t="s">
        <v>332</v>
      </c>
      <c r="M86" s="133" t="s">
        <v>124</v>
      </c>
      <c r="N86" s="133" t="s">
        <v>150</v>
      </c>
      <c r="O86" s="66" t="s">
        <v>577</v>
      </c>
      <c r="P86" s="68">
        <v>20</v>
      </c>
      <c r="Q86" s="81" t="str">
        <f t="shared" si="51"/>
        <v>+5</v>
      </c>
      <c r="R86" s="64">
        <v>16</v>
      </c>
      <c r="S86" s="81" t="str">
        <f t="shared" si="52"/>
        <v>+3</v>
      </c>
      <c r="T86" s="64">
        <v>15</v>
      </c>
      <c r="U86" s="81" t="str">
        <f t="shared" si="53"/>
        <v>+2</v>
      </c>
      <c r="V86" s="64">
        <v>10</v>
      </c>
      <c r="W86" s="81" t="str">
        <f t="shared" si="54"/>
        <v>+0</v>
      </c>
      <c r="X86" s="64">
        <v>10</v>
      </c>
      <c r="Y86" s="81" t="str">
        <f t="shared" si="55"/>
        <v>+0</v>
      </c>
      <c r="Z86" s="66">
        <v>6</v>
      </c>
      <c r="AA86" s="82">
        <f t="shared" si="56"/>
        <v>-2</v>
      </c>
      <c r="AB86" s="69">
        <f t="shared" si="38"/>
        <v>12.833333333333334</v>
      </c>
      <c r="AC86" s="70" t="str">
        <f t="shared" si="39"/>
        <v>+3</v>
      </c>
      <c r="AD86" s="71">
        <f>ROUND($H86*VLOOKUP($G86,'NPC Generator'!$I$2:$R$43,4,FALSE)/10,0)+ROUND($J86*VLOOKUP($I86,'NPC Generator'!$I$2:$R$43,4,FALSE)/10,0)</f>
        <v>4</v>
      </c>
      <c r="AE86" s="72">
        <f t="shared" si="57"/>
        <v>6</v>
      </c>
      <c r="AF86" s="73">
        <f>ROUND($H86*VLOOKUP($G86,'NPC Generator'!$I$2:$R$43,5,FALSE)/10,0)+ROUND($J86*VLOOKUP($I86,'NPC Generator'!$I$2:$R$43,5,FALSE)/10,0)</f>
        <v>3</v>
      </c>
      <c r="AG86" s="74">
        <f t="shared" si="58"/>
        <v>6</v>
      </c>
      <c r="AH86" s="75">
        <f>ROUND($H86*VLOOKUP($G86,'NPC Generator'!$I$2:$R$43,6,FALSE)/10,0)+ROUND($J86*VLOOKUP($I86,'NPC Generator'!$I$2:$R$43,6,FALSE)/10,0)</f>
        <v>2</v>
      </c>
      <c r="AI86" s="76">
        <f t="shared" si="59"/>
        <v>2</v>
      </c>
      <c r="AJ86" s="165">
        <f>ROUND($H86*VLOOKUP($G86,'NPC Generator'!$I$2:$R$43,3,FALSE)/10,0)+ROUND($J86*VLOOKUP($I86,'NPC Generator'!$I$2:$R$43,3,FALSE)/10,0)</f>
        <v>6</v>
      </c>
      <c r="AK86" s="68">
        <f>10+AC86+ROUND($H86*VLOOKUP($G86,'NPC Generator'!$I$2:$R$43,7,FALSE)/10,0)+ROUND($J86*VLOOKUP($I86,'NPC Generator'!$I$2:$R$43,7,FALSE)/10,0)</f>
        <v>17</v>
      </c>
      <c r="AL86" s="66">
        <f t="shared" si="40"/>
        <v>21</v>
      </c>
      <c r="AM86" s="66">
        <f t="shared" si="41"/>
        <v>24</v>
      </c>
      <c r="AN86" s="77">
        <f>$H86*(3+VLOOKUP($G86,'NPC Generator'!$I$2:$R$43,10,FALSE))+($J86*VLOOKUP($I86,'NPC Generator'!$I$2:$R$43,10,FALSE))+(U86*SUM(H86,J86))</f>
        <v>88</v>
      </c>
      <c r="AO86" s="78">
        <f>$H86*(3+VLOOKUP($G86,'NPC Generator'!$I$2:$R$43,9,FALSE))+($J86*VLOOKUP($I86,'NPC Generator'!$I$2:$R$43,9,FALSE))</f>
        <v>39</v>
      </c>
      <c r="AP86" s="163" t="s">
        <v>862</v>
      </c>
      <c r="AQ86" s="163" t="s">
        <v>723</v>
      </c>
      <c r="AR86" s="163" t="s">
        <v>744</v>
      </c>
      <c r="AS86" s="165" t="s">
        <v>930</v>
      </c>
      <c r="AT86" s="68" t="s">
        <v>1165</v>
      </c>
      <c r="AU86" s="64" t="s">
        <v>1190</v>
      </c>
      <c r="AV86" s="66">
        <f>VLOOKUP($AU86,¡RefTables!$G$8:$H$22,2,FALSE)</f>
        <v>7</v>
      </c>
      <c r="AW86" s="67" t="s">
        <v>1237</v>
      </c>
    </row>
    <row r="87" spans="1:49" ht="31.2" x14ac:dyDescent="0.3">
      <c r="A87" s="243" t="s">
        <v>559</v>
      </c>
      <c r="B87" s="135">
        <v>1</v>
      </c>
      <c r="C87" s="64" t="s">
        <v>303</v>
      </c>
      <c r="D87" s="65" t="s">
        <v>97</v>
      </c>
      <c r="E87" s="103" t="s">
        <v>97</v>
      </c>
      <c r="F87" s="103" t="s">
        <v>154</v>
      </c>
      <c r="G87" s="125" t="s">
        <v>99</v>
      </c>
      <c r="H87" s="125">
        <v>4</v>
      </c>
      <c r="I87" s="128" t="s">
        <v>35</v>
      </c>
      <c r="J87" s="128">
        <v>7</v>
      </c>
      <c r="K87" s="130">
        <f t="shared" si="37"/>
        <v>11</v>
      </c>
      <c r="L87" s="65" t="s">
        <v>339</v>
      </c>
      <c r="M87" s="133" t="s">
        <v>132</v>
      </c>
      <c r="N87" s="133" t="s">
        <v>148</v>
      </c>
      <c r="O87" s="66" t="s">
        <v>560</v>
      </c>
      <c r="P87" s="68">
        <v>12</v>
      </c>
      <c r="Q87" s="81" t="str">
        <f>IF(P87&gt;9.9,CONCATENATE("+",ROUNDDOWN((P87-12) / 2,0)),ROUNDUP((P87-12) / 2,0))</f>
        <v>+0</v>
      </c>
      <c r="R87" s="64">
        <v>12</v>
      </c>
      <c r="S87" s="81" t="str">
        <f>IF(R87&gt;9.9,CONCATENATE("+",ROUNDDOWN((R87-12) / 2,0)),ROUNDUP((R87-12) / 2,0))</f>
        <v>+0</v>
      </c>
      <c r="T87" s="64">
        <v>12</v>
      </c>
      <c r="U87" s="81" t="str">
        <f>IF(T87&gt;9.9,CONCATENATE("+",ROUNDDOWN((T87-12) / 2,0)),ROUNDUP((T87-12) / 2,0))</f>
        <v>+0</v>
      </c>
      <c r="V87" s="64">
        <v>12</v>
      </c>
      <c r="W87" s="81" t="str">
        <f>IF(V87&gt;9.9,CONCATENATE("+",ROUNDDOWN((V87-12) / 2,0)),ROUNDUP((V87-12) / 2,0))</f>
        <v>+0</v>
      </c>
      <c r="X87" s="64">
        <v>12</v>
      </c>
      <c r="Y87" s="81" t="str">
        <f>IF(X87&gt;9.9,CONCATENATE("+",ROUNDDOWN((X87-12) / 2,0)),ROUNDUP((X87-12) / 2,0))</f>
        <v>+0</v>
      </c>
      <c r="Z87" s="66">
        <v>24</v>
      </c>
      <c r="AA87" s="82" t="str">
        <f t="shared" si="56"/>
        <v>+7</v>
      </c>
      <c r="AB87" s="69">
        <f t="shared" si="38"/>
        <v>14</v>
      </c>
      <c r="AC87" s="70" t="str">
        <f t="shared" si="39"/>
        <v>+1</v>
      </c>
      <c r="AD87" s="71">
        <f>ROUND($H87*VLOOKUP($G87,'NPC Generator'!$I$2:$R$43,4,FALSE)/10,0)+ROUND($J87*VLOOKUP($I87,'NPC Generator'!$I$2:$R$43,4,FALSE)/10,0)</f>
        <v>4</v>
      </c>
      <c r="AE87" s="72">
        <f t="shared" si="57"/>
        <v>5</v>
      </c>
      <c r="AF87" s="73">
        <f>ROUND($H87*VLOOKUP($G87,'NPC Generator'!$I$2:$R$43,5,FALSE)/10,0)+ROUND($J87*VLOOKUP($I87,'NPC Generator'!$I$2:$R$43,5,FALSE)/10,0)</f>
        <v>4</v>
      </c>
      <c r="AG87" s="74">
        <f t="shared" si="58"/>
        <v>5</v>
      </c>
      <c r="AH87" s="75">
        <f>ROUND($H87*VLOOKUP($G87,'NPC Generator'!$I$2:$R$43,6,FALSE)/10,0)+ROUND($J87*VLOOKUP($I87,'NPC Generator'!$I$2:$R$43,6,FALSE)/10,0)</f>
        <v>6</v>
      </c>
      <c r="AI87" s="76">
        <f t="shared" si="59"/>
        <v>7</v>
      </c>
      <c r="AJ87" s="165">
        <f>ROUND($H87*VLOOKUP($G87,'NPC Generator'!$I$2:$R$43,3,FALSE)/10,0)+ROUND($J87*VLOOKUP($I87,'NPC Generator'!$I$2:$R$43,3,FALSE)/10,0)</f>
        <v>7</v>
      </c>
      <c r="AK87" s="68">
        <f>10+AC87+ROUND($H87*VLOOKUP($G87,'NPC Generator'!$I$2:$R$43,7,FALSE)/10,0)+ROUND($J87*VLOOKUP($I87,'NPC Generator'!$I$2:$R$43,7,FALSE)/10,0)</f>
        <v>16</v>
      </c>
      <c r="AL87" s="66">
        <f t="shared" si="40"/>
        <v>15</v>
      </c>
      <c r="AM87" s="66">
        <f t="shared" si="41"/>
        <v>16</v>
      </c>
      <c r="AN87" s="77">
        <f>$H87*(3+VLOOKUP($G87,'NPC Generator'!$I$2:$R$43,10,FALSE))+($J87*VLOOKUP($I87,'NPC Generator'!$I$2:$R$43,10,FALSE))+(U87*SUM(H87,J87))</f>
        <v>78</v>
      </c>
      <c r="AO87" s="78">
        <f>$H87*(3+VLOOKUP($G87,'NPC Generator'!$I$2:$R$43,9,FALSE))+($J87*VLOOKUP($I87,'NPC Generator'!$I$2:$R$43,9,FALSE))</f>
        <v>75</v>
      </c>
      <c r="AP87" s="163" t="s">
        <v>857</v>
      </c>
      <c r="AQ87" s="163" t="s">
        <v>733</v>
      </c>
      <c r="AR87" s="163" t="s">
        <v>804</v>
      </c>
      <c r="AS87" s="165" t="s">
        <v>852</v>
      </c>
      <c r="AT87" s="68" t="s">
        <v>176</v>
      </c>
      <c r="AU87" s="64" t="s">
        <v>176</v>
      </c>
      <c r="AV87" s="66">
        <f>VLOOKUP($AU87,¡RefTables!$G$8:$H$22,2,FALSE)</f>
        <v>0</v>
      </c>
      <c r="AW87" s="67" t="s">
        <v>492</v>
      </c>
    </row>
    <row r="88" spans="1:49" ht="31.2" x14ac:dyDescent="0.3">
      <c r="A88" s="242" t="s">
        <v>559</v>
      </c>
      <c r="B88" s="134">
        <v>2</v>
      </c>
      <c r="C88" s="64" t="s">
        <v>303</v>
      </c>
      <c r="D88" s="65" t="s">
        <v>97</v>
      </c>
      <c r="E88" s="103" t="s">
        <v>97</v>
      </c>
      <c r="F88" s="103" t="s">
        <v>154</v>
      </c>
      <c r="G88" s="125" t="s">
        <v>100</v>
      </c>
      <c r="H88" s="125">
        <v>4</v>
      </c>
      <c r="I88" s="128" t="s">
        <v>29</v>
      </c>
      <c r="J88" s="128">
        <v>6</v>
      </c>
      <c r="K88" s="130">
        <f t="shared" si="37"/>
        <v>10</v>
      </c>
      <c r="L88" s="65" t="s">
        <v>339</v>
      </c>
      <c r="M88" s="133" t="s">
        <v>132</v>
      </c>
      <c r="N88" s="133" t="s">
        <v>104</v>
      </c>
      <c r="O88" s="66" t="s">
        <v>561</v>
      </c>
      <c r="P88" s="68">
        <v>12</v>
      </c>
      <c r="Q88" s="81" t="s">
        <v>85</v>
      </c>
      <c r="R88" s="64">
        <v>12</v>
      </c>
      <c r="S88" s="81" t="s">
        <v>83</v>
      </c>
      <c r="T88" s="64">
        <v>12</v>
      </c>
      <c r="U88" s="81" t="s">
        <v>84</v>
      </c>
      <c r="V88" s="64">
        <v>12</v>
      </c>
      <c r="W88" s="81" t="s">
        <v>86</v>
      </c>
      <c r="X88" s="64">
        <v>22</v>
      </c>
      <c r="Y88" s="81" t="s">
        <v>86</v>
      </c>
      <c r="Z88" s="66">
        <v>12</v>
      </c>
      <c r="AA88" s="82" t="s">
        <v>87</v>
      </c>
      <c r="AB88" s="69">
        <f t="shared" si="38"/>
        <v>13.666666666666666</v>
      </c>
      <c r="AC88" s="70" t="str">
        <f t="shared" si="39"/>
        <v>+1</v>
      </c>
      <c r="AD88" s="71">
        <f>ROUND($H88*VLOOKUP($G88,'NPC Generator'!$I$2:$R$43,4,FALSE)/10,0)+ROUND($J88*VLOOKUP($I88,'NPC Generator'!$I$2:$R$43,4,FALSE)/10,0)</f>
        <v>5</v>
      </c>
      <c r="AE88" s="72">
        <v>2</v>
      </c>
      <c r="AF88" s="73">
        <f>ROUND($H88*VLOOKUP($G88,'NPC Generator'!$I$2:$R$43,5,FALSE)/10,0)+ROUND($J88*VLOOKUP($I88,'NPC Generator'!$I$2:$R$43,5,FALSE)/10,0)</f>
        <v>4</v>
      </c>
      <c r="AG88" s="74">
        <v>0</v>
      </c>
      <c r="AH88" s="75">
        <f>ROUND($H88*VLOOKUP($G88,'NPC Generator'!$I$2:$R$43,6,FALSE)/10,0)+ROUND($J88*VLOOKUP($I88,'NPC Generator'!$I$2:$R$43,6,FALSE)/10,0)</f>
        <v>4</v>
      </c>
      <c r="AI88" s="76">
        <v>3</v>
      </c>
      <c r="AJ88" s="165">
        <f>ROUND($H88*VLOOKUP($G88,'NPC Generator'!$I$2:$R$43,3,FALSE)/10,0)+ROUND($J88*VLOOKUP($I88,'NPC Generator'!$I$2:$R$43,3,FALSE)/10,0)</f>
        <v>6</v>
      </c>
      <c r="AK88" s="68">
        <f>10+AC88+ROUND($H88*VLOOKUP($G88,'NPC Generator'!$I$2:$R$43,7,FALSE)/10,0)+ROUND($J88*VLOOKUP($I88,'NPC Generator'!$I$2:$R$43,7,FALSE)/10,0)</f>
        <v>15</v>
      </c>
      <c r="AL88" s="66">
        <f t="shared" si="40"/>
        <v>14</v>
      </c>
      <c r="AM88" s="66">
        <f t="shared" si="41"/>
        <v>15</v>
      </c>
      <c r="AN88" s="77">
        <f>$H88*(3+VLOOKUP($G88,'NPC Generator'!$I$2:$R$43,10,FALSE))+($J88*VLOOKUP($I88,'NPC Generator'!$I$2:$R$43,10,FALSE))+(U88*SUM(H88,J88))</f>
        <v>104</v>
      </c>
      <c r="AO88" s="78">
        <f>$H88*(3+VLOOKUP($G88,'NPC Generator'!$I$2:$R$43,9,FALSE))+($J88*VLOOKUP($I88,'NPC Generator'!$I$2:$R$43,9,FALSE))</f>
        <v>74</v>
      </c>
      <c r="AP88" s="163" t="s">
        <v>879</v>
      </c>
      <c r="AQ88" s="163" t="s">
        <v>734</v>
      </c>
      <c r="AR88" s="163" t="s">
        <v>795</v>
      </c>
      <c r="AS88" s="165" t="s">
        <v>927</v>
      </c>
      <c r="AT88" s="68" t="s">
        <v>176</v>
      </c>
      <c r="AU88" s="64" t="s">
        <v>176</v>
      </c>
      <c r="AV88" s="66">
        <f>VLOOKUP($AU88,¡RefTables!$G$8:$H$22,2,FALSE)</f>
        <v>0</v>
      </c>
      <c r="AW88" s="67" t="s">
        <v>492</v>
      </c>
    </row>
    <row r="89" spans="1:49" ht="46.8" x14ac:dyDescent="0.3">
      <c r="A89" s="243" t="s">
        <v>559</v>
      </c>
      <c r="B89" s="135">
        <v>4</v>
      </c>
      <c r="C89" s="64" t="s">
        <v>303</v>
      </c>
      <c r="D89" s="65" t="s">
        <v>97</v>
      </c>
      <c r="E89" s="103" t="s">
        <v>97</v>
      </c>
      <c r="F89" s="103" t="s">
        <v>154</v>
      </c>
      <c r="G89" s="125" t="s">
        <v>98</v>
      </c>
      <c r="H89" s="125">
        <v>4</v>
      </c>
      <c r="I89" s="128" t="s">
        <v>44</v>
      </c>
      <c r="J89" s="128">
        <v>5</v>
      </c>
      <c r="K89" s="130">
        <f t="shared" si="37"/>
        <v>9</v>
      </c>
      <c r="L89" s="65" t="s">
        <v>339</v>
      </c>
      <c r="M89" s="133" t="s">
        <v>132</v>
      </c>
      <c r="N89" s="133" t="s">
        <v>304</v>
      </c>
      <c r="O89" s="66" t="s">
        <v>562</v>
      </c>
      <c r="P89" s="68">
        <v>12</v>
      </c>
      <c r="Q89" s="81" t="str">
        <f>IF(P89&gt;9.9,CONCATENATE("+",ROUNDDOWN((P89-12) / 2,0)),ROUNDUP((P89-12) / 2,0))</f>
        <v>+0</v>
      </c>
      <c r="R89" s="64">
        <v>12</v>
      </c>
      <c r="S89" s="81" t="str">
        <f>IF(R89&gt;9.9,CONCATENATE("+",ROUNDDOWN((R89-12) / 2,0)),ROUNDUP((R89-12) / 2,0))</f>
        <v>+0</v>
      </c>
      <c r="T89" s="64">
        <v>12</v>
      </c>
      <c r="U89" s="81" t="str">
        <f>IF(T89&gt;9.9,CONCATENATE("+",ROUNDDOWN((T89-12) / 2,0)),ROUNDUP((T89-12) / 2,0))</f>
        <v>+0</v>
      </c>
      <c r="V89" s="64">
        <v>20</v>
      </c>
      <c r="W89" s="81" t="str">
        <f>IF(V89&gt;9.9,CONCATENATE("+",ROUNDDOWN((V89-12) / 2,0)),ROUNDUP((V89-12) / 2,0))</f>
        <v>+4</v>
      </c>
      <c r="X89" s="64">
        <v>12</v>
      </c>
      <c r="Y89" s="81" t="str">
        <f>IF(X89&gt;9.9,CONCATENATE("+",ROUNDDOWN((X89-12) / 2,0)),ROUNDUP((X89-12) / 2,0))</f>
        <v>+0</v>
      </c>
      <c r="Z89" s="66">
        <v>12</v>
      </c>
      <c r="AA89" s="82" t="str">
        <f>IF(Z89&gt;9.9,CONCATENATE("+",ROUNDDOWN((Z89-10) / 2,0)),ROUNDUP((Z89-10) / 2,0))</f>
        <v>+1</v>
      </c>
      <c r="AB89" s="69">
        <f t="shared" si="38"/>
        <v>13.333333333333334</v>
      </c>
      <c r="AC89" s="70" t="str">
        <f t="shared" si="39"/>
        <v>+1</v>
      </c>
      <c r="AD89" s="71">
        <f>ROUND($H89*VLOOKUP($G89,'NPC Generator'!$I$2:$R$43,4,FALSE)/10,0)+ROUND($J89*VLOOKUP($I89,'NPC Generator'!$I$2:$R$43,4,FALSE)/10,0)</f>
        <v>3</v>
      </c>
      <c r="AE89" s="72">
        <f>IF(T89&gt;9.9,(ROUNDDOWN((T89-10) / 2,0)),ROUNDUP((T89-10) / 2,0))+AD89</f>
        <v>4</v>
      </c>
      <c r="AF89" s="73">
        <f>ROUND($H89*VLOOKUP($G89,'NPC Generator'!$I$2:$R$43,5,FALSE)/10,0)+ROUND($J89*VLOOKUP($I89,'NPC Generator'!$I$2:$R$43,5,FALSE)/10,0)</f>
        <v>4</v>
      </c>
      <c r="AG89" s="74">
        <f>AF89+AC89</f>
        <v>5</v>
      </c>
      <c r="AH89" s="75">
        <f>ROUND($H89*VLOOKUP($G89,'NPC Generator'!$I$2:$R$43,6,FALSE)/10,0)+ROUND($J89*VLOOKUP($I89,'NPC Generator'!$I$2:$R$43,6,FALSE)/10,0)</f>
        <v>5</v>
      </c>
      <c r="AI89" s="76">
        <f>IF(X89&gt;9.9,(ROUNDDOWN((X89-10) / 2,0)),ROUNDUP((X89-10) / 2,0))+AH89</f>
        <v>6</v>
      </c>
      <c r="AJ89" s="165">
        <f>ROUND($H89*VLOOKUP($G89,'NPC Generator'!$I$2:$R$43,3,FALSE)/10,0)+ROUND($J89*VLOOKUP($I89,'NPC Generator'!$I$2:$R$43,3,FALSE)/10,0)</f>
        <v>6</v>
      </c>
      <c r="AK89" s="68">
        <f>10+AC89+ROUND($H89*VLOOKUP($G89,'NPC Generator'!$I$2:$R$43,7,FALSE)/10,0)+ROUND($J89*VLOOKUP($I89,'NPC Generator'!$I$2:$R$43,7,FALSE)/10,0)</f>
        <v>15</v>
      </c>
      <c r="AL89" s="66">
        <f t="shared" si="40"/>
        <v>14</v>
      </c>
      <c r="AM89" s="66">
        <f t="shared" si="41"/>
        <v>15</v>
      </c>
      <c r="AN89" s="77">
        <f>$H89*(3+VLOOKUP($G89,'NPC Generator'!$I$2:$R$43,10,FALSE))+($J89*VLOOKUP($I89,'NPC Generator'!$I$2:$R$43,10,FALSE))+(U89*SUM(H89,J89))</f>
        <v>66</v>
      </c>
      <c r="AO89" s="78">
        <f>$H89*(3+VLOOKUP($G89,'NPC Generator'!$I$2:$R$43,9,FALSE))+($J89*VLOOKUP($I89,'NPC Generator'!$I$2:$R$43,9,FALSE))</f>
        <v>83</v>
      </c>
      <c r="AP89" s="163" t="s">
        <v>877</v>
      </c>
      <c r="AQ89" s="163" t="s">
        <v>729</v>
      </c>
      <c r="AR89" s="163" t="s">
        <v>763</v>
      </c>
      <c r="AS89" s="165" t="s">
        <v>850</v>
      </c>
      <c r="AT89" s="68" t="s">
        <v>176</v>
      </c>
      <c r="AU89" s="64" t="s">
        <v>176</v>
      </c>
      <c r="AV89" s="66">
        <f>VLOOKUP($AU89,¡RefTables!$G$8:$H$22,2,FALSE)</f>
        <v>0</v>
      </c>
      <c r="AW89" s="67" t="s">
        <v>1246</v>
      </c>
    </row>
    <row r="90" spans="1:49" ht="31.2" x14ac:dyDescent="0.3">
      <c r="A90" s="243" t="s">
        <v>559</v>
      </c>
      <c r="B90" s="135">
        <v>5</v>
      </c>
      <c r="C90" s="64" t="s">
        <v>303</v>
      </c>
      <c r="D90" s="65" t="s">
        <v>97</v>
      </c>
      <c r="E90" s="103" t="s">
        <v>97</v>
      </c>
      <c r="F90" s="103" t="s">
        <v>154</v>
      </c>
      <c r="G90" s="125" t="s">
        <v>98</v>
      </c>
      <c r="H90" s="125">
        <v>4</v>
      </c>
      <c r="I90" s="128" t="s">
        <v>46</v>
      </c>
      <c r="J90" s="128">
        <v>4</v>
      </c>
      <c r="K90" s="130">
        <f t="shared" si="37"/>
        <v>8</v>
      </c>
      <c r="L90" s="65" t="s">
        <v>339</v>
      </c>
      <c r="M90" s="133" t="s">
        <v>132</v>
      </c>
      <c r="N90" s="133" t="s">
        <v>305</v>
      </c>
      <c r="O90" s="66" t="s">
        <v>564</v>
      </c>
      <c r="P90" s="68">
        <v>12</v>
      </c>
      <c r="Q90" s="81" t="str">
        <f>IF(P90&gt;9.9,CONCATENATE("+",ROUNDDOWN((P90-12) / 2,0)),ROUNDUP((P90-12) / 2,0))</f>
        <v>+0</v>
      </c>
      <c r="R90" s="64">
        <v>12</v>
      </c>
      <c r="S90" s="81" t="str">
        <f>IF(R90&gt;9.9,CONCATENATE("+",ROUNDDOWN((R90-12) / 2,0)),ROUNDUP((R90-12) / 2,0))</f>
        <v>+0</v>
      </c>
      <c r="T90" s="64">
        <v>12</v>
      </c>
      <c r="U90" s="81" t="str">
        <f>IF(T90&gt;9.9,CONCATENATE("+",ROUNDDOWN((T90-12) / 2,0)),ROUNDUP((T90-12) / 2,0))</f>
        <v>+0</v>
      </c>
      <c r="V90" s="64">
        <v>18</v>
      </c>
      <c r="W90" s="81" t="str">
        <f>IF(V90&gt;9.9,CONCATENATE("+",ROUNDDOWN((V90-12) / 2,0)),ROUNDUP((V90-12) / 2,0))</f>
        <v>+3</v>
      </c>
      <c r="X90" s="64">
        <v>12</v>
      </c>
      <c r="Y90" s="81" t="str">
        <f>IF(X90&gt;9.9,CONCATENATE("+",ROUNDDOWN((X90-12) / 2,0)),ROUNDUP((X90-12) / 2,0))</f>
        <v>+0</v>
      </c>
      <c r="Z90" s="66">
        <v>12</v>
      </c>
      <c r="AA90" s="82" t="str">
        <f>IF(Z90&gt;9.9,CONCATENATE("+",ROUNDDOWN((Z90-10) / 2,0)),ROUNDUP((Z90-10) / 2,0))</f>
        <v>+1</v>
      </c>
      <c r="AB90" s="69">
        <f t="shared" si="38"/>
        <v>13</v>
      </c>
      <c r="AC90" s="70" t="str">
        <f t="shared" si="39"/>
        <v>+1</v>
      </c>
      <c r="AD90" s="71">
        <f>ROUND($H90*VLOOKUP($G90,'NPC Generator'!$I$2:$R$43,4,FALSE)/10,0)+ROUND($J90*VLOOKUP($I90,'NPC Generator'!$I$2:$R$43,4,FALSE)/10,0)</f>
        <v>3</v>
      </c>
      <c r="AE90" s="72">
        <f>IF(T90&gt;9.9,(ROUNDDOWN((T90-10) / 2,0)),ROUNDUP((T90-10) / 2,0))+AD90</f>
        <v>4</v>
      </c>
      <c r="AF90" s="73">
        <f>ROUND($H90*VLOOKUP($G90,'NPC Generator'!$I$2:$R$43,5,FALSE)/10,0)+ROUND($J90*VLOOKUP($I90,'NPC Generator'!$I$2:$R$43,5,FALSE)/10,0)</f>
        <v>2</v>
      </c>
      <c r="AG90" s="74">
        <f>AF90+AC90</f>
        <v>3</v>
      </c>
      <c r="AH90" s="75">
        <f>ROUND($H90*VLOOKUP($G90,'NPC Generator'!$I$2:$R$43,6,FALSE)/10,0)+ROUND($J90*VLOOKUP($I90,'NPC Generator'!$I$2:$R$43,6,FALSE)/10,0)</f>
        <v>5</v>
      </c>
      <c r="AI90" s="76">
        <f>IF(X90&gt;9.9,(ROUNDDOWN((X90-10) / 2,0)),ROUNDUP((X90-10) / 2,0))+AH90</f>
        <v>6</v>
      </c>
      <c r="AJ90" s="165">
        <f>ROUND($H90*VLOOKUP($G90,'NPC Generator'!$I$2:$R$43,3,FALSE)/10,0)+ROUND($J90*VLOOKUP($I90,'NPC Generator'!$I$2:$R$43,3,FALSE)/10,0)</f>
        <v>5</v>
      </c>
      <c r="AK90" s="68">
        <f>10+AC90+ROUND($H90*VLOOKUP($G90,'NPC Generator'!$I$2:$R$43,7,FALSE)/10,0)+ROUND($J90*VLOOKUP($I90,'NPC Generator'!$I$2:$R$43,7,FALSE)/10,0)</f>
        <v>13</v>
      </c>
      <c r="AL90" s="66">
        <f t="shared" si="40"/>
        <v>12</v>
      </c>
      <c r="AM90" s="66">
        <f t="shared" si="41"/>
        <v>13</v>
      </c>
      <c r="AN90" s="77">
        <f>$H90*(3+VLOOKUP($G90,'NPC Generator'!$I$2:$R$43,10,FALSE))+($J90*VLOOKUP($I90,'NPC Generator'!$I$2:$R$43,10,FALSE))+(U90*SUM(H90,J90))</f>
        <v>68</v>
      </c>
      <c r="AO90" s="78">
        <f>$H90*(3+VLOOKUP($G90,'NPC Generator'!$I$2:$R$43,9,FALSE))+($J90*VLOOKUP($I90,'NPC Generator'!$I$2:$R$43,9,FALSE))</f>
        <v>76</v>
      </c>
      <c r="AP90" s="163" t="s">
        <v>900</v>
      </c>
      <c r="AQ90" s="163" t="s">
        <v>730</v>
      </c>
      <c r="AR90" s="163" t="s">
        <v>766</v>
      </c>
      <c r="AS90" s="165" t="s">
        <v>855</v>
      </c>
      <c r="AT90" s="68" t="s">
        <v>176</v>
      </c>
      <c r="AU90" s="64" t="s">
        <v>176</v>
      </c>
      <c r="AV90" s="66">
        <f>VLOOKUP($AU90,¡RefTables!$G$8:$H$22,2,FALSE)</f>
        <v>0</v>
      </c>
      <c r="AW90" s="67" t="s">
        <v>492</v>
      </c>
    </row>
    <row r="91" spans="1:49" ht="63" thickBot="1" x14ac:dyDescent="0.35">
      <c r="A91" s="244" t="s">
        <v>559</v>
      </c>
      <c r="B91" s="219">
        <v>3</v>
      </c>
      <c r="C91" s="220" t="s">
        <v>303</v>
      </c>
      <c r="D91" s="204" t="s">
        <v>97</v>
      </c>
      <c r="E91" s="221" t="s">
        <v>97</v>
      </c>
      <c r="F91" s="221" t="s">
        <v>154</v>
      </c>
      <c r="G91" s="222" t="s">
        <v>98</v>
      </c>
      <c r="H91" s="222">
        <v>4</v>
      </c>
      <c r="I91" s="223" t="s">
        <v>716</v>
      </c>
      <c r="J91" s="223">
        <v>3</v>
      </c>
      <c r="K91" s="224">
        <f t="shared" si="37"/>
        <v>7</v>
      </c>
      <c r="L91" s="204" t="s">
        <v>339</v>
      </c>
      <c r="M91" s="202" t="s">
        <v>132</v>
      </c>
      <c r="N91" s="202" t="s">
        <v>304</v>
      </c>
      <c r="O91" s="225" t="s">
        <v>563</v>
      </c>
      <c r="P91" s="226">
        <v>12</v>
      </c>
      <c r="Q91" s="227" t="str">
        <f>IF(P91&gt;9.9,CONCATENATE("+",ROUNDDOWN((P91-12) / 2,0)),ROUNDUP((P91-12) / 2,0))</f>
        <v>+0</v>
      </c>
      <c r="R91" s="220">
        <v>12</v>
      </c>
      <c r="S91" s="227" t="str">
        <f>IF(R91&gt;9.9,CONCATENATE("+",ROUNDDOWN((R91-12) / 2,0)),ROUNDUP((R91-12) / 2,0))</f>
        <v>+0</v>
      </c>
      <c r="T91" s="220">
        <v>12</v>
      </c>
      <c r="U91" s="227" t="str">
        <f>IF(T91&gt;9.9,CONCATENATE("+",ROUNDDOWN((T91-12) / 2,0)),ROUNDUP((T91-12) / 2,0))</f>
        <v>+0</v>
      </c>
      <c r="V91" s="220">
        <v>16</v>
      </c>
      <c r="W91" s="227" t="str">
        <f>IF(V91&gt;9.9,CONCATENATE("+",ROUNDDOWN((V91-12) / 2,0)),ROUNDUP((V91-12) / 2,0))</f>
        <v>+2</v>
      </c>
      <c r="X91" s="220">
        <v>12</v>
      </c>
      <c r="Y91" s="227" t="str">
        <f>IF(X91&gt;9.9,CONCATENATE("+",ROUNDDOWN((X91-12) / 2,0)),ROUNDUP((X91-12) / 2,0))</f>
        <v>+0</v>
      </c>
      <c r="Z91" s="225">
        <v>12</v>
      </c>
      <c r="AA91" s="228" t="str">
        <f>IF(Z91&gt;9.9,CONCATENATE("+",ROUNDDOWN((Z91-10) / 2,0)),ROUNDUP((Z91-10) / 2,0))</f>
        <v>+1</v>
      </c>
      <c r="AB91" s="229">
        <f t="shared" si="38"/>
        <v>12.666666666666666</v>
      </c>
      <c r="AC91" s="230" t="str">
        <f t="shared" si="39"/>
        <v>+1</v>
      </c>
      <c r="AD91" s="231">
        <f>ROUND($H91*VLOOKUP($G91,'NPC Generator'!$I$2:$R$43,4,FALSE)/10,0)+ROUND($J91*VLOOKUP($I91,'NPC Generator'!$I$2:$R$43,4,FALSE)/10,0)</f>
        <v>2</v>
      </c>
      <c r="AE91" s="232">
        <f>IF(T91&gt;9.9,(ROUNDDOWN((T91-10) / 2,0)),ROUNDUP((T91-10) / 2,0))+AD91</f>
        <v>3</v>
      </c>
      <c r="AF91" s="233">
        <f>ROUND($H91*VLOOKUP($G91,'NPC Generator'!$I$2:$R$43,5,FALSE)/10,0)+ROUND($J91*VLOOKUP($I91,'NPC Generator'!$I$2:$R$43,5,FALSE)/10,0)</f>
        <v>2</v>
      </c>
      <c r="AG91" s="234">
        <f>AF91+AC91</f>
        <v>3</v>
      </c>
      <c r="AH91" s="235">
        <f>ROUND($H91*VLOOKUP($G91,'NPC Generator'!$I$2:$R$43,6,FALSE)/10,0)+ROUND($J91*VLOOKUP($I91,'NPC Generator'!$I$2:$R$43,6,FALSE)/10,0)</f>
        <v>4</v>
      </c>
      <c r="AI91" s="236">
        <f>IF(X91&gt;9.9,(ROUNDDOWN((X91-10) / 2,0)),ROUNDUP((X91-10) / 2,0))+AH91</f>
        <v>5</v>
      </c>
      <c r="AJ91" s="237">
        <f>ROUND($H91*VLOOKUP($G91,'NPC Generator'!$I$2:$R$43,3,FALSE)/10,0)+ROUND($J91*VLOOKUP($I91,'NPC Generator'!$I$2:$R$43,3,FALSE)/10,0)</f>
        <v>4</v>
      </c>
      <c r="AK91" s="226">
        <f>10+AC91+ROUND($H91*VLOOKUP($G91,'NPC Generator'!$I$2:$R$43,7,FALSE)/10,0)+ROUND($J91*VLOOKUP($I91,'NPC Generator'!$I$2:$R$43,7,FALSE)/10,0)</f>
        <v>14</v>
      </c>
      <c r="AL91" s="225">
        <f t="shared" si="40"/>
        <v>13</v>
      </c>
      <c r="AM91" s="225">
        <f t="shared" si="41"/>
        <v>14</v>
      </c>
      <c r="AN91" s="238">
        <f>$H91*(3+VLOOKUP($G91,'NPC Generator'!$I$2:$R$43,10,FALSE))+($J91*VLOOKUP($I91,'NPC Generator'!$I$2:$R$43,10,FALSE))+(U91*SUM(H91,J91))</f>
        <v>54</v>
      </c>
      <c r="AO91" s="237">
        <f>$H91*(3+VLOOKUP($G91,'NPC Generator'!$I$2:$R$43,9,FALSE))+($J91*VLOOKUP($I91,'NPC Generator'!$I$2:$R$43,9,FALSE))</f>
        <v>69</v>
      </c>
      <c r="AP91" s="239" t="s">
        <v>883</v>
      </c>
      <c r="AQ91" s="239" t="s">
        <v>730</v>
      </c>
      <c r="AR91" s="239" t="s">
        <v>769</v>
      </c>
      <c r="AS91" s="237" t="s">
        <v>851</v>
      </c>
      <c r="AT91" s="226" t="s">
        <v>176</v>
      </c>
      <c r="AU91" s="220" t="s">
        <v>176</v>
      </c>
      <c r="AV91" s="225">
        <f>VLOOKUP($AU91,¡RefTables!$G$8:$H$22,2,FALSE)</f>
        <v>0</v>
      </c>
      <c r="AW91" s="240" t="s">
        <v>1246</v>
      </c>
    </row>
    <row r="92" spans="1:49" ht="16.8" thickTop="1" x14ac:dyDescent="0.3"/>
  </sheetData>
  <sortState xmlns:xlrd2="http://schemas.microsoft.com/office/spreadsheetml/2017/richdata2" ref="A2:AW91">
    <sortCondition ref="E2:E91"/>
    <sortCondition descending="1" ref="K2:K91"/>
  </sortState>
  <conditionalFormatting sqref="N1:N91">
    <cfRule type="cellIs" dxfId="42" priority="2" operator="equal">
      <formula>"Logistics"</formula>
    </cfRule>
    <cfRule type="cellIs" dxfId="41" priority="3" operator="equal">
      <formula>"Security"</formula>
    </cfRule>
    <cfRule type="cellIs" dxfId="40" priority="4" operator="equal">
      <formula>"Technical"</formula>
    </cfRule>
    <cfRule type="cellIs" dxfId="39" priority="5" operator="equal">
      <formula>"Diplomat"</formula>
    </cfRule>
    <cfRule type="cellIs" dxfId="38" priority="6" operator="equal">
      <formula>"Espionage"</formula>
    </cfRule>
    <cfRule type="cellIs" dxfId="37" priority="7" operator="equal">
      <formula>"Champion"</formula>
    </cfRule>
    <cfRule type="cellIs" dxfId="36" priority="8" operator="equal">
      <formula>"Leader"</formula>
    </cfRule>
  </conditionalFormatting>
  <conditionalFormatting sqref="N2:N91">
    <cfRule type="cellIs" dxfId="35" priority="1" operator="equal">
      <formula>"Driver"</formula>
    </cfRule>
  </conditionalFormatting>
  <pageMargins left="0.15" right="0.75" top="0.32" bottom="0.33" header="0.25" footer="0.25"/>
  <pageSetup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D74F0-684A-45DB-86C5-86AB44547F20}">
  <sheetPr>
    <tabColor rgb="FF00CC00"/>
  </sheetPr>
  <dimension ref="A1:AB96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7.59765625" style="109" bestFit="1" customWidth="1"/>
    <col min="2" max="2" width="22.8984375" style="109" bestFit="1" customWidth="1"/>
    <col min="3" max="3" width="10.796875" style="109" bestFit="1" customWidth="1"/>
    <col min="4" max="4" width="8" style="109" bestFit="1" customWidth="1"/>
    <col min="5" max="5" width="28.59765625" style="109" bestFit="1" customWidth="1"/>
    <col min="6" max="6" width="3.3984375" style="109" bestFit="1" customWidth="1"/>
    <col min="7" max="7" width="4.796875" style="109" hidden="1" customWidth="1"/>
    <col min="8" max="8" width="3.69921875" style="109" hidden="1" customWidth="1"/>
    <col min="9" max="9" width="3.8984375" style="109" hidden="1" customWidth="1"/>
    <col min="10" max="10" width="4.5" style="109" hidden="1" customWidth="1"/>
    <col min="11" max="11" width="18.19921875" style="110" bestFit="1" customWidth="1"/>
    <col min="12" max="12" width="22.796875" style="110" bestFit="1" customWidth="1"/>
    <col min="13" max="13" width="15.296875" style="110" bestFit="1" customWidth="1"/>
    <col min="14" max="14" width="9.19921875" style="110" customWidth="1"/>
    <col min="15" max="15" width="40.19921875" style="111" bestFit="1" customWidth="1"/>
    <col min="16" max="16384" width="8.796875" style="109"/>
  </cols>
  <sheetData>
    <row r="1" spans="1:28" s="108" customFormat="1" ht="16.2" thickBot="1" x14ac:dyDescent="0.35">
      <c r="A1" s="47" t="s">
        <v>604</v>
      </c>
      <c r="B1" s="47" t="s">
        <v>641</v>
      </c>
      <c r="C1" s="47" t="s">
        <v>159</v>
      </c>
      <c r="D1" s="47" t="s">
        <v>160</v>
      </c>
      <c r="E1" s="47" t="s">
        <v>155</v>
      </c>
      <c r="F1" s="47" t="s">
        <v>158</v>
      </c>
      <c r="G1" s="47" t="s">
        <v>171</v>
      </c>
      <c r="H1" s="47" t="s">
        <v>172</v>
      </c>
      <c r="I1" s="47" t="s">
        <v>173</v>
      </c>
      <c r="J1" s="47" t="s">
        <v>174</v>
      </c>
      <c r="K1" s="107" t="s">
        <v>1297</v>
      </c>
      <c r="L1" s="107" t="s">
        <v>1298</v>
      </c>
      <c r="M1" s="107" t="s">
        <v>208</v>
      </c>
      <c r="N1" s="107" t="s">
        <v>209</v>
      </c>
      <c r="O1" s="252" t="s">
        <v>180</v>
      </c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x14ac:dyDescent="0.3">
      <c r="A2" s="109" t="s">
        <v>683</v>
      </c>
      <c r="B2" s="109" t="s">
        <v>211</v>
      </c>
      <c r="C2" s="109" t="s">
        <v>170</v>
      </c>
      <c r="D2" s="109" t="s">
        <v>163</v>
      </c>
      <c r="E2" s="106" t="s">
        <v>94</v>
      </c>
      <c r="F2" s="158">
        <v>6</v>
      </c>
      <c r="G2" s="104" t="s">
        <v>178</v>
      </c>
      <c r="H2" s="104" t="s">
        <v>178</v>
      </c>
      <c r="I2" s="104" t="s">
        <v>178</v>
      </c>
      <c r="J2" s="104" t="s">
        <v>178</v>
      </c>
      <c r="K2" s="110" t="s">
        <v>696</v>
      </c>
      <c r="L2" s="110" t="s">
        <v>205</v>
      </c>
      <c r="M2" s="110" t="s">
        <v>176</v>
      </c>
      <c r="O2" s="111" t="s">
        <v>1280</v>
      </c>
    </row>
    <row r="3" spans="1:28" x14ac:dyDescent="0.3">
      <c r="A3" s="113" t="s">
        <v>674</v>
      </c>
      <c r="B3" s="113" t="s">
        <v>217</v>
      </c>
      <c r="C3" s="113" t="s">
        <v>170</v>
      </c>
      <c r="D3" s="113" t="s">
        <v>164</v>
      </c>
      <c r="E3" s="106" t="s">
        <v>94</v>
      </c>
      <c r="F3" s="158">
        <v>5</v>
      </c>
      <c r="G3" s="104" t="s">
        <v>178</v>
      </c>
      <c r="H3" s="104" t="s">
        <v>178</v>
      </c>
      <c r="I3" s="104" t="s">
        <v>178</v>
      </c>
      <c r="J3" s="104" t="s">
        <v>178</v>
      </c>
      <c r="K3" s="110" t="s">
        <v>176</v>
      </c>
      <c r="L3" s="110" t="s">
        <v>597</v>
      </c>
      <c r="M3" s="110" t="s">
        <v>176</v>
      </c>
    </row>
    <row r="4" spans="1:28" x14ac:dyDescent="0.3">
      <c r="A4" s="109" t="s">
        <v>618</v>
      </c>
      <c r="B4" s="109" t="s">
        <v>219</v>
      </c>
      <c r="C4" s="109" t="s">
        <v>170</v>
      </c>
      <c r="D4" s="109" t="s">
        <v>185</v>
      </c>
      <c r="E4" s="106" t="s">
        <v>94</v>
      </c>
      <c r="F4" s="158">
        <v>5</v>
      </c>
      <c r="G4" s="104" t="s">
        <v>178</v>
      </c>
      <c r="H4" s="104" t="s">
        <v>178</v>
      </c>
      <c r="I4" s="104" t="s">
        <v>178</v>
      </c>
      <c r="J4" s="104" t="s">
        <v>178</v>
      </c>
      <c r="K4" s="110" t="s">
        <v>696</v>
      </c>
      <c r="L4" s="110" t="s">
        <v>176</v>
      </c>
      <c r="M4" s="110" t="s">
        <v>176</v>
      </c>
      <c r="O4" s="111" t="s">
        <v>204</v>
      </c>
    </row>
    <row r="5" spans="1:28" x14ac:dyDescent="0.3">
      <c r="A5" s="109" t="s">
        <v>624</v>
      </c>
      <c r="B5" s="109" t="s">
        <v>216</v>
      </c>
      <c r="C5" s="109" t="s">
        <v>170</v>
      </c>
      <c r="D5" s="109" t="s">
        <v>179</v>
      </c>
      <c r="E5" s="106" t="s">
        <v>94</v>
      </c>
      <c r="F5" s="158">
        <v>5</v>
      </c>
      <c r="G5" s="104" t="s">
        <v>178</v>
      </c>
      <c r="H5" s="104" t="s">
        <v>178</v>
      </c>
      <c r="I5" s="104" t="s">
        <v>178</v>
      </c>
      <c r="J5" s="104" t="s">
        <v>178</v>
      </c>
      <c r="K5" s="110" t="s">
        <v>176</v>
      </c>
      <c r="L5" s="110" t="s">
        <v>176</v>
      </c>
      <c r="M5" s="110" t="s">
        <v>176</v>
      </c>
      <c r="O5" s="111" t="s">
        <v>204</v>
      </c>
    </row>
    <row r="6" spans="1:28" x14ac:dyDescent="0.3">
      <c r="A6" s="109" t="s">
        <v>619</v>
      </c>
      <c r="B6" s="109" t="s">
        <v>220</v>
      </c>
      <c r="C6" s="109" t="s">
        <v>170</v>
      </c>
      <c r="D6" s="109" t="s">
        <v>163</v>
      </c>
      <c r="E6" s="106" t="s">
        <v>94</v>
      </c>
      <c r="F6" s="158">
        <v>5</v>
      </c>
      <c r="G6" s="104" t="s">
        <v>178</v>
      </c>
      <c r="H6" s="104" t="s">
        <v>178</v>
      </c>
      <c r="I6" s="104" t="s">
        <v>178</v>
      </c>
      <c r="J6" s="104" t="s">
        <v>178</v>
      </c>
      <c r="K6" s="110" t="s">
        <v>696</v>
      </c>
      <c r="L6" s="110" t="s">
        <v>597</v>
      </c>
      <c r="M6" s="110" t="s">
        <v>176</v>
      </c>
      <c r="O6" s="111" t="s">
        <v>204</v>
      </c>
    </row>
    <row r="7" spans="1:28" x14ac:dyDescent="0.3">
      <c r="A7" s="109" t="s">
        <v>620</v>
      </c>
      <c r="B7" s="109" t="s">
        <v>221</v>
      </c>
      <c r="C7" s="109" t="s">
        <v>170</v>
      </c>
      <c r="D7" s="109" t="s">
        <v>166</v>
      </c>
      <c r="E7" s="106" t="s">
        <v>94</v>
      </c>
      <c r="F7" s="158">
        <v>5</v>
      </c>
      <c r="G7" s="104" t="s">
        <v>178</v>
      </c>
      <c r="H7" s="104" t="s">
        <v>178</v>
      </c>
      <c r="I7" s="104" t="s">
        <v>178</v>
      </c>
      <c r="J7" s="104" t="s">
        <v>178</v>
      </c>
      <c r="K7" s="110" t="s">
        <v>176</v>
      </c>
      <c r="L7" s="110" t="s">
        <v>703</v>
      </c>
      <c r="M7" s="110" t="s">
        <v>176</v>
      </c>
      <c r="O7" s="111" t="s">
        <v>204</v>
      </c>
    </row>
    <row r="8" spans="1:28" ht="31.2" x14ac:dyDescent="0.3">
      <c r="A8" s="109" t="s">
        <v>621</v>
      </c>
      <c r="B8" s="109" t="s">
        <v>218</v>
      </c>
      <c r="C8" s="109" t="s">
        <v>170</v>
      </c>
      <c r="D8" s="109" t="s">
        <v>166</v>
      </c>
      <c r="E8" s="106" t="s">
        <v>94</v>
      </c>
      <c r="F8" s="158">
        <v>5</v>
      </c>
      <c r="G8" s="104" t="s">
        <v>178</v>
      </c>
      <c r="H8" s="104" t="s">
        <v>178</v>
      </c>
      <c r="I8" s="104" t="s">
        <v>178</v>
      </c>
      <c r="J8" s="104" t="s">
        <v>178</v>
      </c>
      <c r="K8" s="110" t="s">
        <v>176</v>
      </c>
      <c r="L8" s="110" t="s">
        <v>597</v>
      </c>
      <c r="M8" s="110" t="s">
        <v>1318</v>
      </c>
      <c r="O8" s="111" t="s">
        <v>204</v>
      </c>
    </row>
    <row r="9" spans="1:28" ht="78" x14ac:dyDescent="0.3">
      <c r="A9" s="109" t="s">
        <v>622</v>
      </c>
      <c r="B9" s="109" t="s">
        <v>212</v>
      </c>
      <c r="C9" s="109" t="s">
        <v>162</v>
      </c>
      <c r="D9" s="109" t="s">
        <v>164</v>
      </c>
      <c r="E9" s="106" t="s">
        <v>1290</v>
      </c>
      <c r="F9" s="158">
        <v>6</v>
      </c>
      <c r="G9" s="104" t="s">
        <v>177</v>
      </c>
      <c r="H9" s="104" t="s">
        <v>178</v>
      </c>
      <c r="I9" s="104" t="s">
        <v>178</v>
      </c>
      <c r="J9" s="104" t="s">
        <v>178</v>
      </c>
      <c r="K9" s="110" t="s">
        <v>698</v>
      </c>
      <c r="L9" s="110" t="s">
        <v>596</v>
      </c>
      <c r="M9" s="110" t="s">
        <v>1326</v>
      </c>
      <c r="N9" s="110" t="s">
        <v>176</v>
      </c>
    </row>
    <row r="10" spans="1:28" ht="31.2" x14ac:dyDescent="0.3">
      <c r="A10" s="109" t="s">
        <v>623</v>
      </c>
      <c r="B10" s="109" t="s">
        <v>192</v>
      </c>
      <c r="C10" s="109" t="s">
        <v>162</v>
      </c>
      <c r="D10" s="109" t="s">
        <v>193</v>
      </c>
      <c r="E10" s="106" t="s">
        <v>1290</v>
      </c>
      <c r="F10" s="158">
        <v>6</v>
      </c>
      <c r="G10" s="104" t="s">
        <v>177</v>
      </c>
      <c r="H10" s="104" t="s">
        <v>178</v>
      </c>
      <c r="I10" s="104" t="s">
        <v>178</v>
      </c>
      <c r="J10" s="104" t="s">
        <v>178</v>
      </c>
      <c r="K10" s="110" t="s">
        <v>698</v>
      </c>
      <c r="L10" s="110" t="s">
        <v>596</v>
      </c>
      <c r="M10" s="110" t="s">
        <v>1291</v>
      </c>
      <c r="N10" s="110" t="s">
        <v>176</v>
      </c>
    </row>
    <row r="11" spans="1:28" ht="46.8" x14ac:dyDescent="0.3">
      <c r="A11" s="109" t="s">
        <v>679</v>
      </c>
      <c r="B11" s="109" t="s">
        <v>213</v>
      </c>
      <c r="C11" s="109" t="s">
        <v>162</v>
      </c>
      <c r="D11" s="109" t="s">
        <v>165</v>
      </c>
      <c r="E11" s="106" t="s">
        <v>1290</v>
      </c>
      <c r="F11" s="158">
        <v>6</v>
      </c>
      <c r="G11" s="104" t="s">
        <v>177</v>
      </c>
      <c r="H11" s="104" t="s">
        <v>177</v>
      </c>
      <c r="I11" s="104" t="s">
        <v>177</v>
      </c>
      <c r="J11" s="104" t="s">
        <v>177</v>
      </c>
      <c r="K11" s="110" t="s">
        <v>1289</v>
      </c>
      <c r="L11" s="110" t="s">
        <v>596</v>
      </c>
      <c r="M11" s="110" t="s">
        <v>1292</v>
      </c>
      <c r="N11" s="110" t="s">
        <v>176</v>
      </c>
    </row>
    <row r="12" spans="1:28" x14ac:dyDescent="0.3">
      <c r="A12" s="109" t="s">
        <v>625</v>
      </c>
      <c r="B12" s="109" t="s">
        <v>214</v>
      </c>
      <c r="C12" s="109" t="s">
        <v>162</v>
      </c>
      <c r="D12" s="109" t="s">
        <v>163</v>
      </c>
      <c r="E12" s="106" t="s">
        <v>1290</v>
      </c>
      <c r="F12" s="158">
        <v>6</v>
      </c>
      <c r="G12" s="104" t="s">
        <v>177</v>
      </c>
      <c r="H12" s="104" t="s">
        <v>177</v>
      </c>
      <c r="I12" s="104" t="s">
        <v>178</v>
      </c>
      <c r="J12" s="104" t="s">
        <v>178</v>
      </c>
      <c r="K12" s="110" t="s">
        <v>696</v>
      </c>
      <c r="L12" s="110" t="s">
        <v>176</v>
      </c>
      <c r="M12" s="110" t="s">
        <v>1292</v>
      </c>
      <c r="N12" s="110" t="s">
        <v>176</v>
      </c>
      <c r="O12" s="111" t="s">
        <v>1288</v>
      </c>
    </row>
    <row r="13" spans="1:28" ht="78" x14ac:dyDescent="0.3">
      <c r="A13" s="109" t="s">
        <v>638</v>
      </c>
      <c r="B13" s="109" t="s">
        <v>190</v>
      </c>
      <c r="C13" s="109" t="s">
        <v>170</v>
      </c>
      <c r="D13" s="109" t="s">
        <v>191</v>
      </c>
      <c r="E13" s="106" t="s">
        <v>1290</v>
      </c>
      <c r="F13" s="158">
        <v>6</v>
      </c>
      <c r="G13" s="104" t="s">
        <v>177</v>
      </c>
      <c r="H13" s="104" t="s">
        <v>178</v>
      </c>
      <c r="I13" s="104" t="s">
        <v>178</v>
      </c>
      <c r="J13" s="104" t="s">
        <v>178</v>
      </c>
      <c r="K13" s="110" t="s">
        <v>699</v>
      </c>
      <c r="L13" s="110" t="s">
        <v>596</v>
      </c>
      <c r="M13" s="110" t="s">
        <v>1327</v>
      </c>
      <c r="N13" s="110" t="s">
        <v>176</v>
      </c>
    </row>
    <row r="14" spans="1:28" ht="46.8" x14ac:dyDescent="0.3">
      <c r="A14" s="109" t="s">
        <v>631</v>
      </c>
      <c r="B14" s="109" t="s">
        <v>594</v>
      </c>
      <c r="C14" s="109" t="s">
        <v>197</v>
      </c>
      <c r="D14" s="109" t="s">
        <v>185</v>
      </c>
      <c r="E14" s="83" t="s">
        <v>90</v>
      </c>
      <c r="F14" s="158">
        <v>7</v>
      </c>
      <c r="G14" s="104" t="s">
        <v>177</v>
      </c>
      <c r="H14" s="104" t="s">
        <v>177</v>
      </c>
      <c r="I14" s="104" t="s">
        <v>178</v>
      </c>
      <c r="J14" s="104" t="s">
        <v>178</v>
      </c>
      <c r="K14" s="110" t="s">
        <v>696</v>
      </c>
      <c r="L14" s="110" t="s">
        <v>176</v>
      </c>
      <c r="M14" s="110" t="s">
        <v>1319</v>
      </c>
      <c r="N14" s="110" t="s">
        <v>176</v>
      </c>
    </row>
    <row r="15" spans="1:28" ht="31.2" x14ac:dyDescent="0.3">
      <c r="A15" s="109" t="s">
        <v>626</v>
      </c>
      <c r="B15" s="109" t="s">
        <v>584</v>
      </c>
      <c r="C15" s="109" t="s">
        <v>170</v>
      </c>
      <c r="D15" s="109" t="s">
        <v>163</v>
      </c>
      <c r="E15" s="83" t="s">
        <v>90</v>
      </c>
      <c r="F15" s="158">
        <v>7</v>
      </c>
      <c r="G15" s="104" t="s">
        <v>177</v>
      </c>
      <c r="H15" s="104" t="s">
        <v>178</v>
      </c>
      <c r="I15" s="104" t="s">
        <v>178</v>
      </c>
      <c r="J15" s="104" t="s">
        <v>178</v>
      </c>
      <c r="K15" s="110" t="s">
        <v>699</v>
      </c>
      <c r="L15" s="110" t="s">
        <v>176</v>
      </c>
      <c r="M15" s="110" t="s">
        <v>1292</v>
      </c>
      <c r="N15" s="110" t="s">
        <v>176</v>
      </c>
    </row>
    <row r="16" spans="1:28" ht="18.600000000000001" x14ac:dyDescent="0.3">
      <c r="A16" s="109" t="s">
        <v>677</v>
      </c>
      <c r="B16" s="109" t="s">
        <v>585</v>
      </c>
      <c r="C16" s="109" t="s">
        <v>170</v>
      </c>
      <c r="D16" s="109" t="s">
        <v>163</v>
      </c>
      <c r="E16" s="83" t="s">
        <v>90</v>
      </c>
      <c r="F16" s="158">
        <v>7</v>
      </c>
      <c r="G16" s="104" t="s">
        <v>177</v>
      </c>
      <c r="H16" s="104" t="s">
        <v>178</v>
      </c>
      <c r="I16" s="104" t="s">
        <v>177</v>
      </c>
      <c r="J16" s="104" t="s">
        <v>178</v>
      </c>
      <c r="K16" s="110" t="s">
        <v>698</v>
      </c>
      <c r="L16" s="110" t="s">
        <v>176</v>
      </c>
      <c r="M16" s="110" t="s">
        <v>1292</v>
      </c>
      <c r="N16" s="110" t="s">
        <v>176</v>
      </c>
    </row>
    <row r="17" spans="1:14" x14ac:dyDescent="0.3">
      <c r="A17" s="109" t="s">
        <v>628</v>
      </c>
      <c r="B17" s="109" t="s">
        <v>213</v>
      </c>
      <c r="C17" s="109" t="s">
        <v>162</v>
      </c>
      <c r="D17" s="109" t="s">
        <v>165</v>
      </c>
      <c r="E17" s="83" t="s">
        <v>90</v>
      </c>
      <c r="F17" s="158">
        <v>6</v>
      </c>
      <c r="G17" s="104" t="s">
        <v>177</v>
      </c>
      <c r="H17" s="104" t="s">
        <v>177</v>
      </c>
      <c r="I17" s="104" t="s">
        <v>178</v>
      </c>
      <c r="J17" s="104" t="s">
        <v>177</v>
      </c>
      <c r="K17" s="110" t="s">
        <v>698</v>
      </c>
      <c r="L17" s="110" t="s">
        <v>176</v>
      </c>
      <c r="M17" s="110" t="s">
        <v>1313</v>
      </c>
      <c r="N17" s="110" t="s">
        <v>176</v>
      </c>
    </row>
    <row r="18" spans="1:14" ht="31.2" x14ac:dyDescent="0.3">
      <c r="A18" s="109" t="s">
        <v>629</v>
      </c>
      <c r="B18" s="109" t="s">
        <v>214</v>
      </c>
      <c r="C18" s="109" t="s">
        <v>162</v>
      </c>
      <c r="D18" s="109" t="s">
        <v>163</v>
      </c>
      <c r="E18" s="83" t="s">
        <v>90</v>
      </c>
      <c r="F18" s="158">
        <v>6</v>
      </c>
      <c r="G18" s="104" t="s">
        <v>177</v>
      </c>
      <c r="H18" s="104" t="s">
        <v>178</v>
      </c>
      <c r="I18" s="104" t="s">
        <v>178</v>
      </c>
      <c r="J18" s="104" t="s">
        <v>178</v>
      </c>
      <c r="K18" s="110" t="s">
        <v>699</v>
      </c>
      <c r="L18" s="110" t="s">
        <v>176</v>
      </c>
      <c r="M18" s="110" t="s">
        <v>176</v>
      </c>
      <c r="N18" s="110" t="s">
        <v>176</v>
      </c>
    </row>
    <row r="19" spans="1:14" x14ac:dyDescent="0.3">
      <c r="A19" s="109" t="s">
        <v>630</v>
      </c>
      <c r="B19" s="109" t="s">
        <v>215</v>
      </c>
      <c r="C19" s="109" t="s">
        <v>162</v>
      </c>
      <c r="D19" s="109" t="s">
        <v>166</v>
      </c>
      <c r="E19" s="83" t="s">
        <v>90</v>
      </c>
      <c r="F19" s="158">
        <v>6</v>
      </c>
      <c r="G19" s="104" t="s">
        <v>177</v>
      </c>
      <c r="H19" s="104" t="s">
        <v>177</v>
      </c>
      <c r="I19" s="104" t="s">
        <v>178</v>
      </c>
      <c r="J19" s="104" t="s">
        <v>178</v>
      </c>
      <c r="K19" s="110" t="s">
        <v>698</v>
      </c>
      <c r="L19" s="110" t="s">
        <v>176</v>
      </c>
      <c r="N19" s="110" t="s">
        <v>176</v>
      </c>
    </row>
    <row r="20" spans="1:14" x14ac:dyDescent="0.3">
      <c r="A20" s="112" t="s">
        <v>635</v>
      </c>
      <c r="B20" s="112" t="s">
        <v>161</v>
      </c>
      <c r="C20" s="112" t="s">
        <v>162</v>
      </c>
      <c r="D20" s="112" t="s">
        <v>648</v>
      </c>
      <c r="E20" s="83" t="s">
        <v>90</v>
      </c>
      <c r="F20" s="158">
        <v>6</v>
      </c>
      <c r="G20" s="104" t="s">
        <v>177</v>
      </c>
      <c r="H20" s="104" t="s">
        <v>178</v>
      </c>
      <c r="I20" s="104" t="s">
        <v>177</v>
      </c>
      <c r="J20" s="104" t="s">
        <v>177</v>
      </c>
      <c r="K20" s="110" t="s">
        <v>701</v>
      </c>
      <c r="L20" s="110" t="s">
        <v>176</v>
      </c>
      <c r="N20" s="110" t="s">
        <v>176</v>
      </c>
    </row>
    <row r="21" spans="1:14" ht="31.2" x14ac:dyDescent="0.3">
      <c r="A21" s="109" t="s">
        <v>632</v>
      </c>
      <c r="B21" s="109" t="s">
        <v>633</v>
      </c>
      <c r="C21" s="109" t="s">
        <v>170</v>
      </c>
      <c r="D21" s="109" t="s">
        <v>185</v>
      </c>
      <c r="E21" s="83" t="s">
        <v>90</v>
      </c>
      <c r="F21" s="158">
        <v>6</v>
      </c>
      <c r="G21" s="104" t="s">
        <v>177</v>
      </c>
      <c r="H21" s="104" t="s">
        <v>177</v>
      </c>
      <c r="I21" s="104" t="s">
        <v>178</v>
      </c>
      <c r="J21" s="104" t="s">
        <v>178</v>
      </c>
      <c r="K21" s="110" t="s">
        <v>699</v>
      </c>
      <c r="L21" s="110" t="s">
        <v>176</v>
      </c>
      <c r="M21" s="110" t="s">
        <v>1312</v>
      </c>
      <c r="N21" s="110" t="s">
        <v>176</v>
      </c>
    </row>
    <row r="22" spans="1:14" x14ac:dyDescent="0.3">
      <c r="A22" s="109" t="s">
        <v>636</v>
      </c>
      <c r="B22" s="109" t="s">
        <v>184</v>
      </c>
      <c r="C22" s="109" t="s">
        <v>170</v>
      </c>
      <c r="D22" s="109" t="s">
        <v>166</v>
      </c>
      <c r="E22" s="83" t="s">
        <v>90</v>
      </c>
      <c r="F22" s="158">
        <v>6</v>
      </c>
      <c r="G22" s="104" t="s">
        <v>177</v>
      </c>
      <c r="H22" s="104" t="s">
        <v>178</v>
      </c>
      <c r="I22" s="104" t="s">
        <v>178</v>
      </c>
      <c r="J22" s="104" t="s">
        <v>178</v>
      </c>
      <c r="K22" s="110" t="s">
        <v>176</v>
      </c>
      <c r="L22" s="110" t="s">
        <v>176</v>
      </c>
      <c r="M22" s="110" t="s">
        <v>176</v>
      </c>
      <c r="N22" s="110" t="s">
        <v>176</v>
      </c>
    </row>
    <row r="23" spans="1:14" x14ac:dyDescent="0.3">
      <c r="A23" s="109" t="s">
        <v>637</v>
      </c>
      <c r="B23" s="109" t="s">
        <v>190</v>
      </c>
      <c r="C23" s="109" t="s">
        <v>170</v>
      </c>
      <c r="D23" s="109" t="s">
        <v>191</v>
      </c>
      <c r="E23" s="83" t="s">
        <v>90</v>
      </c>
      <c r="F23" s="158">
        <v>6</v>
      </c>
      <c r="G23" s="104" t="s">
        <v>177</v>
      </c>
      <c r="H23" s="104" t="s">
        <v>177</v>
      </c>
      <c r="I23" s="104" t="s">
        <v>178</v>
      </c>
      <c r="J23" s="104" t="s">
        <v>178</v>
      </c>
      <c r="K23" s="110" t="s">
        <v>697</v>
      </c>
      <c r="L23" s="110" t="s">
        <v>176</v>
      </c>
      <c r="M23" s="110" t="s">
        <v>176</v>
      </c>
      <c r="N23" s="110" t="s">
        <v>176</v>
      </c>
    </row>
    <row r="24" spans="1:14" x14ac:dyDescent="0.3">
      <c r="A24" s="109" t="s">
        <v>598</v>
      </c>
      <c r="B24" s="109" t="s">
        <v>230</v>
      </c>
      <c r="C24" s="109" t="s">
        <v>162</v>
      </c>
      <c r="D24" s="109" t="s">
        <v>164</v>
      </c>
      <c r="E24" s="84" t="s">
        <v>234</v>
      </c>
      <c r="F24" s="158">
        <v>6</v>
      </c>
      <c r="G24" s="104" t="s">
        <v>178</v>
      </c>
      <c r="H24" s="104" t="s">
        <v>178</v>
      </c>
      <c r="I24" s="104" t="s">
        <v>178</v>
      </c>
      <c r="J24" s="104" t="s">
        <v>178</v>
      </c>
      <c r="K24" s="110" t="s">
        <v>176</v>
      </c>
      <c r="L24" s="110" t="s">
        <v>176</v>
      </c>
    </row>
    <row r="25" spans="1:14" ht="31.2" x14ac:dyDescent="0.3">
      <c r="A25" s="109" t="s">
        <v>599</v>
      </c>
      <c r="B25" s="109" t="s">
        <v>228</v>
      </c>
      <c r="C25" s="109" t="s">
        <v>162</v>
      </c>
      <c r="D25" s="109" t="s">
        <v>164</v>
      </c>
      <c r="E25" s="84" t="s">
        <v>234</v>
      </c>
      <c r="F25" s="158">
        <v>6</v>
      </c>
      <c r="G25" s="104" t="s">
        <v>178</v>
      </c>
      <c r="H25" s="104" t="s">
        <v>178</v>
      </c>
      <c r="I25" s="104" t="s">
        <v>178</v>
      </c>
      <c r="J25" s="104" t="s">
        <v>178</v>
      </c>
      <c r="K25" s="110" t="s">
        <v>697</v>
      </c>
      <c r="L25" s="110" t="s">
        <v>176</v>
      </c>
      <c r="M25" s="110" t="s">
        <v>1318</v>
      </c>
    </row>
    <row r="26" spans="1:14" x14ac:dyDescent="0.3">
      <c r="A26" s="109" t="s">
        <v>601</v>
      </c>
      <c r="B26" s="109" t="s">
        <v>231</v>
      </c>
      <c r="C26" s="109" t="s">
        <v>162</v>
      </c>
      <c r="D26" s="109" t="s">
        <v>164</v>
      </c>
      <c r="E26" s="84" t="s">
        <v>234</v>
      </c>
      <c r="F26" s="158">
        <v>6</v>
      </c>
      <c r="G26" s="104" t="s">
        <v>178</v>
      </c>
      <c r="H26" s="104" t="s">
        <v>178</v>
      </c>
      <c r="I26" s="104" t="s">
        <v>178</v>
      </c>
      <c r="J26" s="104" t="s">
        <v>178</v>
      </c>
      <c r="K26" s="110" t="s">
        <v>176</v>
      </c>
      <c r="L26" s="110" t="s">
        <v>597</v>
      </c>
    </row>
    <row r="27" spans="1:14" ht="46.8" x14ac:dyDescent="0.3">
      <c r="A27" s="109" t="s">
        <v>600</v>
      </c>
      <c r="B27" s="109" t="s">
        <v>229</v>
      </c>
      <c r="C27" s="109" t="s">
        <v>162</v>
      </c>
      <c r="D27" s="109" t="s">
        <v>164</v>
      </c>
      <c r="E27" s="84" t="s">
        <v>234</v>
      </c>
      <c r="F27" s="158">
        <v>6</v>
      </c>
      <c r="G27" s="104" t="s">
        <v>178</v>
      </c>
      <c r="H27" s="104" t="s">
        <v>178</v>
      </c>
      <c r="I27" s="104" t="s">
        <v>177</v>
      </c>
      <c r="J27" s="104" t="s">
        <v>178</v>
      </c>
      <c r="K27" s="110" t="s">
        <v>176</v>
      </c>
      <c r="L27" s="110" t="s">
        <v>176</v>
      </c>
      <c r="M27" s="110" t="s">
        <v>1320</v>
      </c>
    </row>
    <row r="28" spans="1:14" ht="18.600000000000001" x14ac:dyDescent="0.3">
      <c r="A28" s="109" t="s">
        <v>640</v>
      </c>
      <c r="B28" s="109" t="s">
        <v>676</v>
      </c>
      <c r="C28" s="109" t="s">
        <v>162</v>
      </c>
      <c r="D28" s="109" t="s">
        <v>193</v>
      </c>
      <c r="E28" s="83" t="s">
        <v>91</v>
      </c>
      <c r="F28" s="158">
        <v>7</v>
      </c>
      <c r="G28" s="104" t="s">
        <v>178</v>
      </c>
      <c r="H28" s="104" t="s">
        <v>178</v>
      </c>
      <c r="I28" s="104" t="s">
        <v>178</v>
      </c>
      <c r="J28" s="104" t="s">
        <v>177</v>
      </c>
      <c r="K28" s="110" t="s">
        <v>176</v>
      </c>
      <c r="L28" s="110" t="s">
        <v>176</v>
      </c>
      <c r="M28" s="110" t="s">
        <v>207</v>
      </c>
      <c r="N28" s="110" t="s">
        <v>176</v>
      </c>
    </row>
    <row r="29" spans="1:14" ht="18.600000000000001" x14ac:dyDescent="0.3">
      <c r="A29" s="109" t="s">
        <v>1287</v>
      </c>
      <c r="B29" s="109" t="s">
        <v>188</v>
      </c>
      <c r="C29" s="109" t="s">
        <v>170</v>
      </c>
      <c r="D29" s="109" t="s">
        <v>163</v>
      </c>
      <c r="E29" s="83" t="s">
        <v>91</v>
      </c>
      <c r="F29" s="158">
        <v>7</v>
      </c>
      <c r="G29" s="104" t="s">
        <v>177</v>
      </c>
      <c r="H29" s="104" t="s">
        <v>178</v>
      </c>
      <c r="I29" s="104" t="s">
        <v>178</v>
      </c>
      <c r="J29" s="104" t="s">
        <v>177</v>
      </c>
      <c r="K29" s="110" t="s">
        <v>697</v>
      </c>
      <c r="L29" s="110" t="s">
        <v>176</v>
      </c>
      <c r="M29" s="110" t="s">
        <v>1292</v>
      </c>
      <c r="N29" s="110" t="s">
        <v>176</v>
      </c>
    </row>
    <row r="30" spans="1:14" ht="31.2" x14ac:dyDescent="0.3">
      <c r="A30" s="109" t="s">
        <v>684</v>
      </c>
      <c r="B30" s="109" t="s">
        <v>190</v>
      </c>
      <c r="C30" s="109" t="s">
        <v>170</v>
      </c>
      <c r="D30" s="109" t="s">
        <v>191</v>
      </c>
      <c r="E30" s="83" t="s">
        <v>91</v>
      </c>
      <c r="F30" s="158">
        <v>7</v>
      </c>
      <c r="G30" s="104" t="s">
        <v>177</v>
      </c>
      <c r="H30" s="104" t="s">
        <v>178</v>
      </c>
      <c r="I30" s="104" t="s">
        <v>178</v>
      </c>
      <c r="J30" s="104" t="s">
        <v>177</v>
      </c>
      <c r="K30" s="110" t="s">
        <v>699</v>
      </c>
      <c r="L30" s="110" t="s">
        <v>703</v>
      </c>
      <c r="M30" s="110" t="s">
        <v>1292</v>
      </c>
      <c r="N30" s="110" t="s">
        <v>176</v>
      </c>
    </row>
    <row r="31" spans="1:14" ht="31.2" x14ac:dyDescent="0.3">
      <c r="A31" s="109" t="s">
        <v>642</v>
      </c>
      <c r="B31" s="109" t="s">
        <v>500</v>
      </c>
      <c r="C31" s="109" t="s">
        <v>162</v>
      </c>
      <c r="D31" s="109" t="s">
        <v>163</v>
      </c>
      <c r="E31" s="83" t="s">
        <v>91</v>
      </c>
      <c r="F31" s="158">
        <v>6</v>
      </c>
      <c r="G31" s="104" t="s">
        <v>177</v>
      </c>
      <c r="H31" s="104" t="s">
        <v>177</v>
      </c>
      <c r="I31" s="104" t="s">
        <v>178</v>
      </c>
      <c r="J31" s="104" t="s">
        <v>177</v>
      </c>
      <c r="K31" s="110" t="s">
        <v>699</v>
      </c>
      <c r="L31" s="110" t="s">
        <v>1294</v>
      </c>
      <c r="M31" s="110" t="s">
        <v>176</v>
      </c>
      <c r="N31" s="110" t="s">
        <v>176</v>
      </c>
    </row>
    <row r="32" spans="1:14" x14ac:dyDescent="0.3">
      <c r="A32" s="109" t="s">
        <v>647</v>
      </c>
      <c r="B32" s="109" t="s">
        <v>212</v>
      </c>
      <c r="C32" s="109" t="s">
        <v>162</v>
      </c>
      <c r="D32" s="109" t="s">
        <v>164</v>
      </c>
      <c r="E32" s="83" t="s">
        <v>91</v>
      </c>
      <c r="F32" s="158">
        <v>6</v>
      </c>
      <c r="G32" s="104" t="s">
        <v>178</v>
      </c>
      <c r="H32" s="104" t="s">
        <v>178</v>
      </c>
      <c r="I32" s="104" t="s">
        <v>178</v>
      </c>
      <c r="J32" s="104" t="s">
        <v>177</v>
      </c>
      <c r="K32" s="110" t="s">
        <v>176</v>
      </c>
      <c r="L32" s="110" t="s">
        <v>176</v>
      </c>
      <c r="M32" s="110" t="s">
        <v>176</v>
      </c>
      <c r="N32" s="110" t="s">
        <v>176</v>
      </c>
    </row>
    <row r="33" spans="1:15" ht="31.2" x14ac:dyDescent="0.3">
      <c r="A33" s="109" t="s">
        <v>643</v>
      </c>
      <c r="B33" s="109" t="s">
        <v>213</v>
      </c>
      <c r="C33" s="109" t="s">
        <v>162</v>
      </c>
      <c r="D33" s="109" t="s">
        <v>165</v>
      </c>
      <c r="E33" s="83" t="s">
        <v>91</v>
      </c>
      <c r="F33" s="158">
        <v>6</v>
      </c>
      <c r="G33" s="104" t="s">
        <v>177</v>
      </c>
      <c r="H33" s="104" t="s">
        <v>177</v>
      </c>
      <c r="I33" s="104" t="s">
        <v>177</v>
      </c>
      <c r="J33" s="104" t="s">
        <v>177</v>
      </c>
      <c r="K33" s="110" t="s">
        <v>699</v>
      </c>
      <c r="L33" s="110" t="s">
        <v>176</v>
      </c>
      <c r="M33" s="110" t="s">
        <v>1312</v>
      </c>
      <c r="N33" s="110" t="s">
        <v>176</v>
      </c>
    </row>
    <row r="34" spans="1:15" ht="31.2" x14ac:dyDescent="0.3">
      <c r="A34" s="109" t="s">
        <v>644</v>
      </c>
      <c r="B34" s="109" t="s">
        <v>214</v>
      </c>
      <c r="C34" s="109" t="s">
        <v>162</v>
      </c>
      <c r="D34" s="109" t="s">
        <v>163</v>
      </c>
      <c r="E34" s="83" t="s">
        <v>91</v>
      </c>
      <c r="F34" s="158">
        <v>6</v>
      </c>
      <c r="G34" s="104" t="s">
        <v>177</v>
      </c>
      <c r="H34" s="104" t="s">
        <v>178</v>
      </c>
      <c r="I34" s="104" t="s">
        <v>178</v>
      </c>
      <c r="J34" s="104" t="s">
        <v>177</v>
      </c>
      <c r="K34" s="110" t="s">
        <v>175</v>
      </c>
      <c r="L34" s="110" t="s">
        <v>176</v>
      </c>
      <c r="M34" s="110" t="s">
        <v>1311</v>
      </c>
      <c r="N34" s="110" t="s">
        <v>176</v>
      </c>
    </row>
    <row r="35" spans="1:15" x14ac:dyDescent="0.3">
      <c r="A35" s="109" t="s">
        <v>645</v>
      </c>
      <c r="B35" s="109" t="s">
        <v>215</v>
      </c>
      <c r="C35" s="109" t="s">
        <v>162</v>
      </c>
      <c r="D35" s="109" t="s">
        <v>166</v>
      </c>
      <c r="E35" s="83" t="s">
        <v>91</v>
      </c>
      <c r="F35" s="158">
        <v>6</v>
      </c>
      <c r="G35" s="104" t="s">
        <v>178</v>
      </c>
      <c r="H35" s="104" t="s">
        <v>177</v>
      </c>
      <c r="I35" s="104" t="s">
        <v>178</v>
      </c>
      <c r="J35" s="104" t="s">
        <v>177</v>
      </c>
      <c r="K35" s="110" t="s">
        <v>176</v>
      </c>
      <c r="L35" s="110" t="s">
        <v>176</v>
      </c>
      <c r="M35" s="110" t="s">
        <v>176</v>
      </c>
      <c r="N35" s="110" t="s">
        <v>176</v>
      </c>
    </row>
    <row r="36" spans="1:15" ht="31.2" x14ac:dyDescent="0.3">
      <c r="A36" s="112" t="s">
        <v>649</v>
      </c>
      <c r="B36" s="112" t="s">
        <v>161</v>
      </c>
      <c r="C36" s="112" t="s">
        <v>162</v>
      </c>
      <c r="D36" s="112" t="s">
        <v>648</v>
      </c>
      <c r="E36" s="83" t="s">
        <v>91</v>
      </c>
      <c r="F36" s="158">
        <v>6</v>
      </c>
      <c r="G36" s="104" t="s">
        <v>177</v>
      </c>
      <c r="H36" s="104" t="s">
        <v>178</v>
      </c>
      <c r="I36" s="104" t="s">
        <v>177</v>
      </c>
      <c r="J36" s="104" t="s">
        <v>177</v>
      </c>
      <c r="K36" s="110" t="s">
        <v>699</v>
      </c>
      <c r="L36" s="110" t="s">
        <v>176</v>
      </c>
      <c r="M36" s="110" t="s">
        <v>1292</v>
      </c>
      <c r="N36" s="110" t="s">
        <v>176</v>
      </c>
    </row>
    <row r="37" spans="1:15" x14ac:dyDescent="0.3">
      <c r="A37" s="109" t="s">
        <v>646</v>
      </c>
      <c r="B37" s="109" t="s">
        <v>211</v>
      </c>
      <c r="C37" s="109" t="s">
        <v>170</v>
      </c>
      <c r="D37" s="109" t="s">
        <v>163</v>
      </c>
      <c r="E37" s="83" t="s">
        <v>91</v>
      </c>
      <c r="F37" s="158">
        <v>6</v>
      </c>
      <c r="G37" s="104" t="s">
        <v>177</v>
      </c>
      <c r="H37" s="104" t="s">
        <v>177</v>
      </c>
      <c r="I37" s="104" t="s">
        <v>178</v>
      </c>
      <c r="J37" s="104" t="s">
        <v>177</v>
      </c>
      <c r="K37" s="110" t="s">
        <v>176</v>
      </c>
      <c r="L37" s="110" t="s">
        <v>176</v>
      </c>
      <c r="M37" s="110" t="s">
        <v>1312</v>
      </c>
      <c r="N37" s="110" t="s">
        <v>176</v>
      </c>
    </row>
    <row r="38" spans="1:15" x14ac:dyDescent="0.3">
      <c r="A38" s="109" t="s">
        <v>185</v>
      </c>
      <c r="B38" s="109" t="s">
        <v>189</v>
      </c>
      <c r="C38" s="109" t="s">
        <v>170</v>
      </c>
      <c r="D38" s="109" t="s">
        <v>185</v>
      </c>
      <c r="E38" s="83" t="s">
        <v>91</v>
      </c>
      <c r="F38" s="158">
        <v>6</v>
      </c>
      <c r="G38" s="104" t="s">
        <v>177</v>
      </c>
      <c r="H38" s="104" t="s">
        <v>177</v>
      </c>
      <c r="I38" s="104" t="s">
        <v>178</v>
      </c>
      <c r="J38" s="104" t="s">
        <v>177</v>
      </c>
      <c r="K38" s="110" t="s">
        <v>175</v>
      </c>
      <c r="L38" s="110" t="s">
        <v>176</v>
      </c>
      <c r="M38" s="110" t="s">
        <v>176</v>
      </c>
      <c r="N38" s="110" t="s">
        <v>176</v>
      </c>
    </row>
    <row r="39" spans="1:15" x14ac:dyDescent="0.3">
      <c r="A39" s="109" t="s">
        <v>39</v>
      </c>
      <c r="B39" s="109" t="s">
        <v>183</v>
      </c>
      <c r="C39" s="109" t="s">
        <v>170</v>
      </c>
      <c r="D39" s="109" t="s">
        <v>195</v>
      </c>
      <c r="E39" s="83" t="s">
        <v>91</v>
      </c>
      <c r="F39" s="158">
        <v>6</v>
      </c>
      <c r="G39" s="104" t="s">
        <v>177</v>
      </c>
      <c r="H39" s="104" t="s">
        <v>177</v>
      </c>
      <c r="I39" s="104" t="s">
        <v>177</v>
      </c>
      <c r="J39" s="104" t="s">
        <v>177</v>
      </c>
      <c r="K39" s="110" t="s">
        <v>175</v>
      </c>
      <c r="L39" s="110" t="s">
        <v>176</v>
      </c>
      <c r="M39" s="110" t="s">
        <v>1312</v>
      </c>
      <c r="N39" s="110" t="s">
        <v>176</v>
      </c>
    </row>
    <row r="40" spans="1:15" x14ac:dyDescent="0.3">
      <c r="A40" s="109" t="s">
        <v>650</v>
      </c>
      <c r="B40" s="109" t="s">
        <v>184</v>
      </c>
      <c r="C40" s="109" t="s">
        <v>170</v>
      </c>
      <c r="D40" s="109" t="s">
        <v>166</v>
      </c>
      <c r="E40" s="83" t="s">
        <v>91</v>
      </c>
      <c r="F40" s="158">
        <v>6</v>
      </c>
      <c r="G40" s="104" t="s">
        <v>178</v>
      </c>
      <c r="H40" s="104" t="s">
        <v>177</v>
      </c>
      <c r="I40" s="104" t="s">
        <v>177</v>
      </c>
      <c r="J40" s="104" t="s">
        <v>177</v>
      </c>
      <c r="K40" s="110" t="s">
        <v>176</v>
      </c>
      <c r="L40" s="110" t="s">
        <v>176</v>
      </c>
      <c r="M40" s="110" t="s">
        <v>176</v>
      </c>
      <c r="N40" s="110" t="s">
        <v>176</v>
      </c>
    </row>
    <row r="41" spans="1:15" x14ac:dyDescent="0.3">
      <c r="A41" s="109" t="s">
        <v>651</v>
      </c>
      <c r="B41" s="109" t="s">
        <v>167</v>
      </c>
      <c r="C41" s="109" t="s">
        <v>170</v>
      </c>
      <c r="D41" s="109" t="s">
        <v>181</v>
      </c>
      <c r="E41" s="83" t="s">
        <v>91</v>
      </c>
      <c r="F41" s="158">
        <v>6</v>
      </c>
      <c r="G41" s="104" t="s">
        <v>178</v>
      </c>
      <c r="H41" s="104" t="s">
        <v>178</v>
      </c>
      <c r="I41" s="104" t="s">
        <v>178</v>
      </c>
      <c r="J41" s="104" t="s">
        <v>177</v>
      </c>
      <c r="K41" s="110" t="s">
        <v>176</v>
      </c>
      <c r="L41" s="110" t="s">
        <v>176</v>
      </c>
      <c r="M41" s="110" t="s">
        <v>176</v>
      </c>
      <c r="N41" s="110" t="s">
        <v>176</v>
      </c>
    </row>
    <row r="42" spans="1:15" ht="31.2" x14ac:dyDescent="0.3">
      <c r="A42" s="109" t="s">
        <v>652</v>
      </c>
      <c r="B42" s="109" t="s">
        <v>168</v>
      </c>
      <c r="C42" s="109" t="s">
        <v>170</v>
      </c>
      <c r="D42" s="109" t="s">
        <v>179</v>
      </c>
      <c r="E42" s="83" t="s">
        <v>91</v>
      </c>
      <c r="F42" s="158">
        <v>6</v>
      </c>
      <c r="G42" s="104" t="s">
        <v>177</v>
      </c>
      <c r="H42" s="104" t="s">
        <v>177</v>
      </c>
      <c r="I42" s="104" t="s">
        <v>178</v>
      </c>
      <c r="J42" s="104" t="s">
        <v>177</v>
      </c>
      <c r="K42" s="110" t="s">
        <v>699</v>
      </c>
      <c r="L42" s="110" t="s">
        <v>176</v>
      </c>
      <c r="M42" s="110" t="s">
        <v>176</v>
      </c>
      <c r="N42" s="110" t="s">
        <v>176</v>
      </c>
    </row>
    <row r="43" spans="1:15" x14ac:dyDescent="0.3">
      <c r="A43" s="109" t="s">
        <v>163</v>
      </c>
      <c r="B43" s="109" t="s">
        <v>169</v>
      </c>
      <c r="C43" s="109" t="s">
        <v>170</v>
      </c>
      <c r="D43" s="109" t="s">
        <v>163</v>
      </c>
      <c r="E43" s="83" t="s">
        <v>91</v>
      </c>
      <c r="F43" s="158">
        <v>6</v>
      </c>
      <c r="G43" s="104" t="s">
        <v>177</v>
      </c>
      <c r="H43" s="104" t="s">
        <v>178</v>
      </c>
      <c r="I43" s="104" t="s">
        <v>178</v>
      </c>
      <c r="J43" s="104" t="s">
        <v>177</v>
      </c>
      <c r="K43" s="110" t="s">
        <v>175</v>
      </c>
      <c r="L43" s="110" t="s">
        <v>176</v>
      </c>
      <c r="M43" s="110" t="s">
        <v>176</v>
      </c>
      <c r="N43" s="110" t="s">
        <v>176</v>
      </c>
    </row>
    <row r="44" spans="1:15" ht="31.2" x14ac:dyDescent="0.3">
      <c r="A44" s="109" t="s">
        <v>686</v>
      </c>
      <c r="B44" s="109" t="s">
        <v>211</v>
      </c>
      <c r="C44" s="109" t="s">
        <v>170</v>
      </c>
      <c r="D44" s="109" t="s">
        <v>163</v>
      </c>
      <c r="E44" s="83" t="s">
        <v>92</v>
      </c>
      <c r="F44" s="158">
        <v>6</v>
      </c>
      <c r="G44" s="104" t="s">
        <v>177</v>
      </c>
      <c r="H44" s="104" t="s">
        <v>177</v>
      </c>
      <c r="I44" s="104" t="s">
        <v>178</v>
      </c>
      <c r="J44" s="104" t="s">
        <v>177</v>
      </c>
      <c r="K44" s="110" t="s">
        <v>699</v>
      </c>
      <c r="L44" s="110" t="s">
        <v>176</v>
      </c>
      <c r="M44" s="110" t="s">
        <v>1292</v>
      </c>
      <c r="N44" s="110" t="s">
        <v>176</v>
      </c>
    </row>
    <row r="45" spans="1:15" x14ac:dyDescent="0.3">
      <c r="A45" s="109" t="s">
        <v>654</v>
      </c>
      <c r="B45" s="109" t="s">
        <v>184</v>
      </c>
      <c r="C45" s="109" t="s">
        <v>170</v>
      </c>
      <c r="D45" s="109" t="s">
        <v>166</v>
      </c>
      <c r="E45" s="83" t="s">
        <v>92</v>
      </c>
      <c r="F45" s="158">
        <v>6</v>
      </c>
      <c r="G45" s="104" t="s">
        <v>177</v>
      </c>
      <c r="H45" s="104" t="s">
        <v>177</v>
      </c>
      <c r="I45" s="104" t="s">
        <v>178</v>
      </c>
      <c r="J45" s="104" t="s">
        <v>177</v>
      </c>
      <c r="K45" s="110" t="s">
        <v>698</v>
      </c>
      <c r="L45" s="110" t="s">
        <v>176</v>
      </c>
      <c r="M45" s="110" t="s">
        <v>176</v>
      </c>
      <c r="N45" s="110" t="s">
        <v>176</v>
      </c>
    </row>
    <row r="46" spans="1:15" ht="62.4" x14ac:dyDescent="0.3">
      <c r="A46" s="109" t="s">
        <v>685</v>
      </c>
      <c r="B46" s="109" t="s">
        <v>582</v>
      </c>
      <c r="C46" s="109" t="s">
        <v>170</v>
      </c>
      <c r="D46" s="109" t="s">
        <v>191</v>
      </c>
      <c r="E46" s="83" t="s">
        <v>92</v>
      </c>
      <c r="F46" s="158">
        <v>5</v>
      </c>
      <c r="G46" s="104" t="s">
        <v>177</v>
      </c>
      <c r="H46" s="104" t="s">
        <v>177</v>
      </c>
      <c r="I46" s="104" t="s">
        <v>177</v>
      </c>
      <c r="J46" s="104" t="s">
        <v>177</v>
      </c>
      <c r="K46" s="110" t="s">
        <v>1283</v>
      </c>
      <c r="L46" s="110" t="s">
        <v>1295</v>
      </c>
      <c r="M46" s="110" t="s">
        <v>1317</v>
      </c>
      <c r="N46" s="110" t="s">
        <v>176</v>
      </c>
      <c r="O46" s="111" t="s">
        <v>581</v>
      </c>
    </row>
    <row r="47" spans="1:15" ht="31.2" x14ac:dyDescent="0.3">
      <c r="A47" s="109" t="s">
        <v>607</v>
      </c>
      <c r="B47" s="109" t="s">
        <v>594</v>
      </c>
      <c r="C47" s="109" t="s">
        <v>197</v>
      </c>
      <c r="D47" s="109" t="s">
        <v>185</v>
      </c>
      <c r="E47" s="84" t="s">
        <v>593</v>
      </c>
      <c r="F47" s="158">
        <v>7</v>
      </c>
      <c r="G47" s="104" t="s">
        <v>178</v>
      </c>
      <c r="H47" s="104" t="s">
        <v>177</v>
      </c>
      <c r="I47" s="104" t="s">
        <v>177</v>
      </c>
      <c r="J47" s="104" t="s">
        <v>178</v>
      </c>
      <c r="K47" s="110" t="s">
        <v>176</v>
      </c>
      <c r="L47" s="110" t="s">
        <v>176</v>
      </c>
      <c r="M47" s="110" t="s">
        <v>1318</v>
      </c>
      <c r="N47" s="110" t="s">
        <v>176</v>
      </c>
    </row>
    <row r="48" spans="1:15" ht="31.2" x14ac:dyDescent="0.3">
      <c r="A48" s="109" t="s">
        <v>681</v>
      </c>
      <c r="B48" s="109" t="s">
        <v>582</v>
      </c>
      <c r="C48" s="109" t="s">
        <v>170</v>
      </c>
      <c r="D48" s="109" t="s">
        <v>191</v>
      </c>
      <c r="E48" s="84" t="s">
        <v>593</v>
      </c>
      <c r="F48" s="158">
        <v>5</v>
      </c>
      <c r="G48" s="104" t="s">
        <v>177</v>
      </c>
      <c r="H48" s="104" t="s">
        <v>177</v>
      </c>
      <c r="I48" s="104" t="s">
        <v>178</v>
      </c>
      <c r="J48" s="104" t="s">
        <v>177</v>
      </c>
      <c r="K48" s="110" t="s">
        <v>699</v>
      </c>
      <c r="L48" s="110" t="s">
        <v>597</v>
      </c>
      <c r="M48" s="110" t="s">
        <v>1292</v>
      </c>
      <c r="N48" s="110" t="s">
        <v>176</v>
      </c>
    </row>
    <row r="49" spans="1:15" ht="62.4" x14ac:dyDescent="0.3">
      <c r="A49" s="109" t="s">
        <v>653</v>
      </c>
      <c r="B49" s="109" t="s">
        <v>582</v>
      </c>
      <c r="C49" s="109" t="s">
        <v>170</v>
      </c>
      <c r="D49" s="109" t="s">
        <v>191</v>
      </c>
      <c r="E49" s="84" t="s">
        <v>490</v>
      </c>
      <c r="F49" s="158">
        <v>5</v>
      </c>
      <c r="G49" s="104" t="s">
        <v>177</v>
      </c>
      <c r="H49" s="104" t="s">
        <v>177</v>
      </c>
      <c r="I49" s="104" t="s">
        <v>177</v>
      </c>
      <c r="J49" s="104" t="s">
        <v>177</v>
      </c>
      <c r="K49" s="110" t="s">
        <v>1284</v>
      </c>
      <c r="L49" s="110" t="s">
        <v>1296</v>
      </c>
      <c r="M49" s="110" t="s">
        <v>1314</v>
      </c>
      <c r="N49" s="110" t="s">
        <v>176</v>
      </c>
      <c r="O49" s="111" t="s">
        <v>581</v>
      </c>
    </row>
    <row r="50" spans="1:15" ht="62.4" x14ac:dyDescent="0.3">
      <c r="A50" s="109" t="s">
        <v>655</v>
      </c>
      <c r="B50" s="109" t="s">
        <v>579</v>
      </c>
      <c r="C50" s="109" t="s">
        <v>170</v>
      </c>
      <c r="D50" s="109" t="s">
        <v>191</v>
      </c>
      <c r="E50" s="84" t="s">
        <v>490</v>
      </c>
      <c r="F50" s="158">
        <v>5</v>
      </c>
      <c r="G50" s="104" t="s">
        <v>177</v>
      </c>
      <c r="H50" s="104" t="s">
        <v>178</v>
      </c>
      <c r="I50" s="104" t="s">
        <v>178</v>
      </c>
      <c r="J50" s="104" t="s">
        <v>177</v>
      </c>
      <c r="K50" s="110" t="s">
        <v>1284</v>
      </c>
      <c r="L50" s="110" t="s">
        <v>1296</v>
      </c>
      <c r="M50" s="110" t="s">
        <v>1318</v>
      </c>
      <c r="N50" s="110" t="s">
        <v>176</v>
      </c>
      <c r="O50" s="111" t="s">
        <v>583</v>
      </c>
    </row>
    <row r="51" spans="1:15" ht="46.8" x14ac:dyDescent="0.3">
      <c r="A51" s="109" t="s">
        <v>658</v>
      </c>
      <c r="B51" s="109" t="s">
        <v>214</v>
      </c>
      <c r="C51" s="109" t="s">
        <v>162</v>
      </c>
      <c r="D51" s="109" t="s">
        <v>163</v>
      </c>
      <c r="E51" s="84" t="s">
        <v>95</v>
      </c>
      <c r="F51" s="158">
        <v>6</v>
      </c>
      <c r="G51" s="104" t="s">
        <v>177</v>
      </c>
      <c r="H51" s="104" t="s">
        <v>177</v>
      </c>
      <c r="I51" s="104" t="s">
        <v>178</v>
      </c>
      <c r="J51" s="104" t="s">
        <v>178</v>
      </c>
      <c r="K51" s="110" t="s">
        <v>1310</v>
      </c>
      <c r="L51" s="110" t="s">
        <v>703</v>
      </c>
      <c r="M51" s="110" t="s">
        <v>206</v>
      </c>
      <c r="N51" s="110" t="s">
        <v>176</v>
      </c>
      <c r="O51" s="111" t="s">
        <v>210</v>
      </c>
    </row>
    <row r="52" spans="1:15" x14ac:dyDescent="0.3">
      <c r="A52" s="109" t="s">
        <v>657</v>
      </c>
      <c r="B52" s="109" t="s">
        <v>184</v>
      </c>
      <c r="C52" s="109" t="s">
        <v>170</v>
      </c>
      <c r="D52" s="109" t="s">
        <v>166</v>
      </c>
      <c r="E52" s="84" t="s">
        <v>95</v>
      </c>
      <c r="F52" s="158">
        <v>6</v>
      </c>
      <c r="G52" s="104" t="s">
        <v>178</v>
      </c>
      <c r="H52" s="104" t="s">
        <v>178</v>
      </c>
      <c r="I52" s="104" t="s">
        <v>178</v>
      </c>
      <c r="J52" s="104" t="s">
        <v>177</v>
      </c>
      <c r="K52" s="110" t="s">
        <v>698</v>
      </c>
      <c r="L52" s="110" t="s">
        <v>596</v>
      </c>
      <c r="M52" s="110" t="s">
        <v>206</v>
      </c>
      <c r="N52" s="110" t="s">
        <v>176</v>
      </c>
      <c r="O52" s="111" t="s">
        <v>210</v>
      </c>
    </row>
    <row r="53" spans="1:15" ht="46.8" x14ac:dyDescent="0.3">
      <c r="A53" s="109" t="s">
        <v>656</v>
      </c>
      <c r="B53" s="109" t="s">
        <v>167</v>
      </c>
      <c r="C53" s="109" t="s">
        <v>170</v>
      </c>
      <c r="D53" s="109" t="s">
        <v>181</v>
      </c>
      <c r="E53" s="84" t="s">
        <v>95</v>
      </c>
      <c r="F53" s="158">
        <v>6</v>
      </c>
      <c r="G53" s="104" t="s">
        <v>177</v>
      </c>
      <c r="H53" s="104" t="s">
        <v>178</v>
      </c>
      <c r="I53" s="104" t="s">
        <v>178</v>
      </c>
      <c r="J53" s="104" t="s">
        <v>178</v>
      </c>
      <c r="K53" s="110" t="s">
        <v>1310</v>
      </c>
      <c r="L53" s="110" t="s">
        <v>703</v>
      </c>
      <c r="M53" s="110" t="s">
        <v>206</v>
      </c>
      <c r="N53" s="110" t="s">
        <v>176</v>
      </c>
      <c r="O53" s="111" t="s">
        <v>210</v>
      </c>
    </row>
    <row r="54" spans="1:15" ht="31.2" x14ac:dyDescent="0.3">
      <c r="A54" s="109" t="s">
        <v>687</v>
      </c>
      <c r="B54" s="109" t="s">
        <v>227</v>
      </c>
      <c r="C54" s="109" t="s">
        <v>197</v>
      </c>
      <c r="D54" s="109" t="s">
        <v>198</v>
      </c>
      <c r="E54" s="106" t="s">
        <v>232</v>
      </c>
      <c r="F54" s="158">
        <v>6</v>
      </c>
      <c r="G54" s="104" t="s">
        <v>178</v>
      </c>
      <c r="H54" s="104" t="s">
        <v>178</v>
      </c>
      <c r="I54" s="104" t="s">
        <v>178</v>
      </c>
      <c r="J54" s="104" t="s">
        <v>178</v>
      </c>
      <c r="K54" s="110" t="s">
        <v>175</v>
      </c>
      <c r="L54" s="110" t="s">
        <v>1322</v>
      </c>
      <c r="M54" s="155" t="s">
        <v>1324</v>
      </c>
      <c r="N54" s="110" t="s">
        <v>176</v>
      </c>
    </row>
    <row r="55" spans="1:15" x14ac:dyDescent="0.3">
      <c r="A55" s="109" t="s">
        <v>661</v>
      </c>
      <c r="B55" s="109" t="s">
        <v>223</v>
      </c>
      <c r="C55" s="109" t="s">
        <v>170</v>
      </c>
      <c r="D55" s="109" t="s">
        <v>179</v>
      </c>
      <c r="E55" s="106" t="s">
        <v>232</v>
      </c>
      <c r="F55" s="158">
        <v>6</v>
      </c>
      <c r="G55" s="104" t="s">
        <v>178</v>
      </c>
      <c r="H55" s="104" t="s">
        <v>178</v>
      </c>
      <c r="I55" s="104" t="s">
        <v>178</v>
      </c>
      <c r="J55" s="104" t="s">
        <v>178</v>
      </c>
      <c r="K55" s="110" t="s">
        <v>176</v>
      </c>
      <c r="L55" s="110" t="s">
        <v>176</v>
      </c>
      <c r="M55" s="155" t="s">
        <v>502</v>
      </c>
      <c r="N55" s="110" t="s">
        <v>176</v>
      </c>
    </row>
    <row r="56" spans="1:15" ht="31.2" x14ac:dyDescent="0.3">
      <c r="A56" s="109" t="s">
        <v>659</v>
      </c>
      <c r="B56" s="109" t="s">
        <v>224</v>
      </c>
      <c r="C56" s="109" t="s">
        <v>170</v>
      </c>
      <c r="D56" s="109" t="s">
        <v>163</v>
      </c>
      <c r="E56" s="106" t="s">
        <v>232</v>
      </c>
      <c r="F56" s="158">
        <v>6</v>
      </c>
      <c r="G56" s="104" t="s">
        <v>178</v>
      </c>
      <c r="H56" s="104" t="s">
        <v>178</v>
      </c>
      <c r="I56" s="104" t="s">
        <v>177</v>
      </c>
      <c r="J56" s="104" t="s">
        <v>178</v>
      </c>
      <c r="K56" s="155" t="s">
        <v>696</v>
      </c>
      <c r="L56" s="110" t="s">
        <v>1321</v>
      </c>
      <c r="M56" s="110" t="s">
        <v>1318</v>
      </c>
      <c r="N56" s="110" t="s">
        <v>176</v>
      </c>
    </row>
    <row r="57" spans="1:15" x14ac:dyDescent="0.3">
      <c r="A57" s="109" t="s">
        <v>166</v>
      </c>
      <c r="B57" s="109" t="s">
        <v>226</v>
      </c>
      <c r="C57" s="109" t="s">
        <v>170</v>
      </c>
      <c r="D57" s="109" t="s">
        <v>166</v>
      </c>
      <c r="E57" s="106" t="s">
        <v>232</v>
      </c>
      <c r="F57" s="158">
        <v>6</v>
      </c>
      <c r="G57" s="104" t="s">
        <v>178</v>
      </c>
      <c r="H57" s="104" t="s">
        <v>178</v>
      </c>
      <c r="I57" s="104" t="s">
        <v>178</v>
      </c>
      <c r="J57" s="104" t="s">
        <v>178</v>
      </c>
      <c r="K57" s="110" t="s">
        <v>698</v>
      </c>
      <c r="L57" s="110" t="s">
        <v>596</v>
      </c>
      <c r="M57" s="155"/>
      <c r="N57" s="110" t="s">
        <v>176</v>
      </c>
    </row>
    <row r="58" spans="1:15" x14ac:dyDescent="0.3">
      <c r="A58" s="109" t="s">
        <v>660</v>
      </c>
      <c r="B58" s="109" t="s">
        <v>501</v>
      </c>
      <c r="C58" s="109" t="s">
        <v>170</v>
      </c>
      <c r="D58" s="109" t="s">
        <v>163</v>
      </c>
      <c r="E58" s="106" t="s">
        <v>232</v>
      </c>
      <c r="F58" s="158">
        <v>6</v>
      </c>
      <c r="G58" s="104" t="s">
        <v>178</v>
      </c>
      <c r="H58" s="104" t="s">
        <v>178</v>
      </c>
      <c r="I58" s="104" t="s">
        <v>178</v>
      </c>
      <c r="J58" s="104" t="s">
        <v>178</v>
      </c>
      <c r="K58" s="110" t="s">
        <v>176</v>
      </c>
      <c r="L58" s="110" t="s">
        <v>703</v>
      </c>
      <c r="M58" s="155"/>
      <c r="N58" s="110" t="s">
        <v>176</v>
      </c>
    </row>
    <row r="59" spans="1:15" x14ac:dyDescent="0.3">
      <c r="A59" s="109" t="s">
        <v>682</v>
      </c>
      <c r="B59" s="109" t="s">
        <v>225</v>
      </c>
      <c r="C59" s="109" t="s">
        <v>170</v>
      </c>
      <c r="D59" s="109" t="s">
        <v>185</v>
      </c>
      <c r="E59" s="156" t="s">
        <v>232</v>
      </c>
      <c r="F59" s="158">
        <v>6</v>
      </c>
      <c r="G59" s="104" t="s">
        <v>178</v>
      </c>
      <c r="H59" s="104" t="s">
        <v>178</v>
      </c>
      <c r="I59" s="104" t="s">
        <v>178</v>
      </c>
      <c r="J59" s="104" t="s">
        <v>178</v>
      </c>
      <c r="K59" s="110" t="s">
        <v>697</v>
      </c>
      <c r="L59" s="110" t="s">
        <v>596</v>
      </c>
      <c r="M59" s="155"/>
      <c r="N59" s="110" t="s">
        <v>176</v>
      </c>
    </row>
    <row r="60" spans="1:15" ht="31.2" x14ac:dyDescent="0.3">
      <c r="A60" s="109" t="s">
        <v>614</v>
      </c>
      <c r="B60" s="109" t="s">
        <v>594</v>
      </c>
      <c r="C60" s="109" t="s">
        <v>197</v>
      </c>
      <c r="D60" s="109" t="s">
        <v>185</v>
      </c>
      <c r="E60" s="122" t="s">
        <v>349</v>
      </c>
      <c r="F60" s="158">
        <v>7</v>
      </c>
      <c r="G60" s="104" t="s">
        <v>177</v>
      </c>
      <c r="H60" s="104" t="s">
        <v>177</v>
      </c>
      <c r="I60" s="104" t="s">
        <v>177</v>
      </c>
      <c r="J60" s="104" t="s">
        <v>177</v>
      </c>
      <c r="K60" s="110" t="s">
        <v>699</v>
      </c>
      <c r="L60" s="110" t="s">
        <v>1299</v>
      </c>
      <c r="M60" s="110" t="s">
        <v>1292</v>
      </c>
      <c r="N60" s="110" t="s">
        <v>176</v>
      </c>
    </row>
    <row r="61" spans="1:15" ht="31.2" x14ac:dyDescent="0.3">
      <c r="A61" s="109" t="s">
        <v>608</v>
      </c>
      <c r="B61" s="109" t="s">
        <v>203</v>
      </c>
      <c r="C61" s="109" t="s">
        <v>170</v>
      </c>
      <c r="D61" s="109" t="s">
        <v>166</v>
      </c>
      <c r="E61" s="157" t="s">
        <v>349</v>
      </c>
      <c r="F61" s="158">
        <v>7</v>
      </c>
      <c r="G61" s="104" t="s">
        <v>178</v>
      </c>
      <c r="H61" s="104" t="s">
        <v>177</v>
      </c>
      <c r="I61" s="104" t="s">
        <v>178</v>
      </c>
      <c r="J61" s="104" t="s">
        <v>177</v>
      </c>
      <c r="K61" s="110" t="s">
        <v>699</v>
      </c>
      <c r="L61" s="110" t="s">
        <v>1299</v>
      </c>
      <c r="M61" s="110" t="s">
        <v>1292</v>
      </c>
      <c r="N61" s="110" t="s">
        <v>176</v>
      </c>
    </row>
    <row r="62" spans="1:15" ht="31.2" x14ac:dyDescent="0.3">
      <c r="A62" s="109" t="s">
        <v>611</v>
      </c>
      <c r="B62" s="109" t="s">
        <v>196</v>
      </c>
      <c r="C62" s="109" t="s">
        <v>197</v>
      </c>
      <c r="D62" s="109" t="s">
        <v>198</v>
      </c>
      <c r="E62" s="157" t="s">
        <v>349</v>
      </c>
      <c r="F62" s="158">
        <v>6</v>
      </c>
      <c r="G62" s="104" t="s">
        <v>177</v>
      </c>
      <c r="H62" s="104" t="s">
        <v>177</v>
      </c>
      <c r="I62" s="104" t="s">
        <v>178</v>
      </c>
      <c r="J62" s="104" t="s">
        <v>177</v>
      </c>
      <c r="K62" s="110" t="s">
        <v>699</v>
      </c>
      <c r="L62" s="110" t="s">
        <v>1301</v>
      </c>
      <c r="M62" s="110" t="s">
        <v>1292</v>
      </c>
      <c r="N62" s="110" t="s">
        <v>176</v>
      </c>
    </row>
    <row r="63" spans="1:15" ht="46.8" x14ac:dyDescent="0.3">
      <c r="A63" s="109" t="s">
        <v>613</v>
      </c>
      <c r="B63" s="109" t="s">
        <v>199</v>
      </c>
      <c r="C63" s="109" t="s">
        <v>197</v>
      </c>
      <c r="D63" s="109" t="s">
        <v>198</v>
      </c>
      <c r="E63" s="157" t="s">
        <v>349</v>
      </c>
      <c r="F63" s="158">
        <v>6</v>
      </c>
      <c r="G63" s="104" t="s">
        <v>177</v>
      </c>
      <c r="H63" s="104" t="s">
        <v>177</v>
      </c>
      <c r="I63" s="104" t="s">
        <v>177</v>
      </c>
      <c r="J63" s="104" t="s">
        <v>177</v>
      </c>
      <c r="K63" s="110" t="s">
        <v>699</v>
      </c>
      <c r="L63" s="110" t="s">
        <v>1302</v>
      </c>
      <c r="M63" s="110" t="s">
        <v>1292</v>
      </c>
      <c r="N63" s="110" t="s">
        <v>176</v>
      </c>
    </row>
    <row r="64" spans="1:15" ht="31.2" x14ac:dyDescent="0.3">
      <c r="A64" s="109" t="s">
        <v>1303</v>
      </c>
      <c r="B64" s="109" t="s">
        <v>500</v>
      </c>
      <c r="C64" s="109" t="s">
        <v>162</v>
      </c>
      <c r="D64" s="109" t="s">
        <v>163</v>
      </c>
      <c r="E64" s="157" t="s">
        <v>349</v>
      </c>
      <c r="F64" s="158">
        <v>6</v>
      </c>
      <c r="G64" s="104" t="s">
        <v>177</v>
      </c>
      <c r="H64" s="104" t="s">
        <v>177</v>
      </c>
      <c r="I64" s="104" t="s">
        <v>177</v>
      </c>
      <c r="J64" s="104" t="s">
        <v>177</v>
      </c>
      <c r="K64" s="110" t="s">
        <v>699</v>
      </c>
      <c r="L64" s="110" t="s">
        <v>1304</v>
      </c>
      <c r="M64" s="110" t="s">
        <v>1292</v>
      </c>
      <c r="N64" s="110" t="s">
        <v>176</v>
      </c>
    </row>
    <row r="65" spans="1:15" ht="31.2" x14ac:dyDescent="0.3">
      <c r="A65" s="109" t="s">
        <v>704</v>
      </c>
      <c r="B65" s="109" t="s">
        <v>215</v>
      </c>
      <c r="C65" s="109" t="s">
        <v>162</v>
      </c>
      <c r="D65" s="109" t="s">
        <v>166</v>
      </c>
      <c r="E65" s="157" t="s">
        <v>349</v>
      </c>
      <c r="F65" s="158">
        <v>6</v>
      </c>
      <c r="G65" s="104" t="s">
        <v>177</v>
      </c>
      <c r="H65" s="104" t="s">
        <v>177</v>
      </c>
      <c r="I65" s="104" t="s">
        <v>178</v>
      </c>
      <c r="J65" s="104" t="s">
        <v>177</v>
      </c>
      <c r="K65" s="110" t="s">
        <v>699</v>
      </c>
      <c r="L65" s="110" t="s">
        <v>1304</v>
      </c>
      <c r="M65" s="110" t="s">
        <v>1292</v>
      </c>
      <c r="N65" s="110" t="s">
        <v>176</v>
      </c>
    </row>
    <row r="66" spans="1:15" ht="31.2" x14ac:dyDescent="0.3">
      <c r="A66" s="109" t="s">
        <v>612</v>
      </c>
      <c r="B66" s="109" t="s">
        <v>201</v>
      </c>
      <c r="C66" s="109" t="s">
        <v>162</v>
      </c>
      <c r="D66" s="109" t="s">
        <v>202</v>
      </c>
      <c r="E66" s="157" t="s">
        <v>349</v>
      </c>
      <c r="F66" s="158">
        <v>6</v>
      </c>
      <c r="G66" s="104" t="s">
        <v>178</v>
      </c>
      <c r="H66" s="104" t="s">
        <v>177</v>
      </c>
      <c r="I66" s="104" t="s">
        <v>177</v>
      </c>
      <c r="J66" s="104" t="s">
        <v>177</v>
      </c>
      <c r="K66" s="110" t="s">
        <v>699</v>
      </c>
      <c r="L66" s="110" t="s">
        <v>1299</v>
      </c>
      <c r="M66" s="110" t="s">
        <v>1292</v>
      </c>
      <c r="N66" s="110" t="s">
        <v>176</v>
      </c>
    </row>
    <row r="67" spans="1:15" ht="31.2" x14ac:dyDescent="0.3">
      <c r="A67" s="109" t="s">
        <v>610</v>
      </c>
      <c r="B67" s="109" t="s">
        <v>200</v>
      </c>
      <c r="C67" s="109" t="s">
        <v>170</v>
      </c>
      <c r="D67" s="109" t="s">
        <v>166</v>
      </c>
      <c r="E67" s="157" t="s">
        <v>349</v>
      </c>
      <c r="F67" s="158">
        <v>6</v>
      </c>
      <c r="G67" s="104" t="s">
        <v>178</v>
      </c>
      <c r="H67" s="104" t="s">
        <v>177</v>
      </c>
      <c r="I67" s="104" t="s">
        <v>178</v>
      </c>
      <c r="J67" s="104" t="s">
        <v>177</v>
      </c>
      <c r="K67" s="110" t="s">
        <v>699</v>
      </c>
      <c r="L67" s="110" t="s">
        <v>1300</v>
      </c>
      <c r="M67" s="110" t="s">
        <v>1292</v>
      </c>
      <c r="N67" s="110" t="s">
        <v>176</v>
      </c>
    </row>
    <row r="68" spans="1:15" x14ac:dyDescent="0.3">
      <c r="A68" s="109" t="s">
        <v>663</v>
      </c>
      <c r="B68" s="109" t="s">
        <v>213</v>
      </c>
      <c r="C68" s="109" t="s">
        <v>162</v>
      </c>
      <c r="D68" s="109" t="s">
        <v>165</v>
      </c>
      <c r="E68" s="156" t="s">
        <v>233</v>
      </c>
      <c r="F68" s="158">
        <v>6</v>
      </c>
      <c r="G68" s="104" t="s">
        <v>177</v>
      </c>
      <c r="H68" s="104" t="s">
        <v>177</v>
      </c>
      <c r="I68" s="104" t="s">
        <v>178</v>
      </c>
      <c r="J68" s="104" t="s">
        <v>177</v>
      </c>
      <c r="K68" s="110" t="s">
        <v>700</v>
      </c>
      <c r="L68" s="110" t="s">
        <v>176</v>
      </c>
      <c r="M68" s="110" t="s">
        <v>176</v>
      </c>
      <c r="N68" s="110" t="s">
        <v>176</v>
      </c>
    </row>
    <row r="69" spans="1:15" x14ac:dyDescent="0.3">
      <c r="A69" s="109" t="s">
        <v>664</v>
      </c>
      <c r="B69" s="109" t="s">
        <v>189</v>
      </c>
      <c r="C69" s="109" t="s">
        <v>170</v>
      </c>
      <c r="D69" s="109" t="s">
        <v>185</v>
      </c>
      <c r="E69" s="156" t="s">
        <v>233</v>
      </c>
      <c r="F69" s="158">
        <v>6</v>
      </c>
      <c r="G69" s="104" t="s">
        <v>177</v>
      </c>
      <c r="H69" s="104" t="s">
        <v>177</v>
      </c>
      <c r="I69" s="104" t="s">
        <v>178</v>
      </c>
      <c r="J69" s="104" t="s">
        <v>178</v>
      </c>
      <c r="K69" s="110" t="s">
        <v>700</v>
      </c>
      <c r="L69" s="110" t="s">
        <v>176</v>
      </c>
      <c r="M69" s="110" t="s">
        <v>176</v>
      </c>
      <c r="N69" s="110" t="s">
        <v>176</v>
      </c>
    </row>
    <row r="70" spans="1:15" ht="18.600000000000001" x14ac:dyDescent="0.3">
      <c r="A70" s="109" t="s">
        <v>662</v>
      </c>
      <c r="B70" s="109" t="s">
        <v>222</v>
      </c>
      <c r="C70" s="109" t="s">
        <v>170</v>
      </c>
      <c r="D70" s="109" t="s">
        <v>181</v>
      </c>
      <c r="E70" s="156" t="s">
        <v>233</v>
      </c>
      <c r="F70" s="158">
        <v>5</v>
      </c>
      <c r="G70" s="104" t="s">
        <v>177</v>
      </c>
      <c r="H70" s="104" t="s">
        <v>178</v>
      </c>
      <c r="I70" s="104" t="s">
        <v>178</v>
      </c>
      <c r="J70" s="104" t="s">
        <v>178</v>
      </c>
      <c r="K70" s="110" t="s">
        <v>700</v>
      </c>
      <c r="L70" s="110" t="s">
        <v>176</v>
      </c>
      <c r="M70" s="110" t="s">
        <v>176</v>
      </c>
      <c r="N70" s="110" t="s">
        <v>176</v>
      </c>
    </row>
    <row r="71" spans="1:15" ht="46.8" x14ac:dyDescent="0.3">
      <c r="A71" s="109" t="s">
        <v>675</v>
      </c>
      <c r="B71" s="109" t="s">
        <v>582</v>
      </c>
      <c r="C71" s="109" t="s">
        <v>170</v>
      </c>
      <c r="D71" s="109" t="s">
        <v>191</v>
      </c>
      <c r="E71" s="106" t="s">
        <v>233</v>
      </c>
      <c r="F71" s="158">
        <v>5</v>
      </c>
      <c r="G71" s="104" t="s">
        <v>177</v>
      </c>
      <c r="H71" s="104" t="s">
        <v>177</v>
      </c>
      <c r="I71" s="104" t="s">
        <v>177</v>
      </c>
      <c r="J71" s="104" t="s">
        <v>177</v>
      </c>
      <c r="K71" s="110" t="s">
        <v>1282</v>
      </c>
      <c r="L71" s="110" t="s">
        <v>176</v>
      </c>
      <c r="M71" s="110" t="s">
        <v>1312</v>
      </c>
      <c r="N71" s="110" t="s">
        <v>176</v>
      </c>
      <c r="O71" s="111" t="s">
        <v>581</v>
      </c>
    </row>
    <row r="72" spans="1:15" ht="62.4" x14ac:dyDescent="0.3">
      <c r="A72" s="109" t="s">
        <v>689</v>
      </c>
      <c r="B72" s="109" t="s">
        <v>188</v>
      </c>
      <c r="C72" s="109" t="s">
        <v>170</v>
      </c>
      <c r="D72" s="109" t="s">
        <v>163</v>
      </c>
      <c r="E72" s="84" t="s">
        <v>488</v>
      </c>
      <c r="F72" s="158">
        <v>7</v>
      </c>
      <c r="G72" s="104" t="s">
        <v>178</v>
      </c>
      <c r="H72" s="104" t="s">
        <v>177</v>
      </c>
      <c r="I72" s="104" t="s">
        <v>177</v>
      </c>
      <c r="J72" s="104" t="s">
        <v>178</v>
      </c>
      <c r="K72" s="110" t="s">
        <v>1305</v>
      </c>
      <c r="L72" s="155" t="s">
        <v>1307</v>
      </c>
      <c r="M72" s="110" t="s">
        <v>1325</v>
      </c>
      <c r="N72" s="110" t="s">
        <v>176</v>
      </c>
    </row>
    <row r="73" spans="1:15" ht="62.4" x14ac:dyDescent="0.3">
      <c r="A73" s="109" t="s">
        <v>690</v>
      </c>
      <c r="B73" s="109" t="s">
        <v>187</v>
      </c>
      <c r="C73" s="109" t="s">
        <v>170</v>
      </c>
      <c r="D73" s="109" t="s">
        <v>164</v>
      </c>
      <c r="E73" s="84" t="s">
        <v>488</v>
      </c>
      <c r="F73" s="158">
        <v>7</v>
      </c>
      <c r="G73" s="104" t="s">
        <v>178</v>
      </c>
      <c r="H73" s="104" t="s">
        <v>178</v>
      </c>
      <c r="I73" s="104" t="s">
        <v>178</v>
      </c>
      <c r="J73" s="104" t="s">
        <v>178</v>
      </c>
      <c r="K73" s="110" t="s">
        <v>1305</v>
      </c>
      <c r="L73" s="155" t="s">
        <v>1308</v>
      </c>
      <c r="M73" s="155" t="s">
        <v>1315</v>
      </c>
      <c r="N73" s="110" t="s">
        <v>176</v>
      </c>
    </row>
    <row r="74" spans="1:15" ht="46.8" x14ac:dyDescent="0.3">
      <c r="A74" s="109" t="s">
        <v>673</v>
      </c>
      <c r="B74" s="109" t="s">
        <v>196</v>
      </c>
      <c r="C74" s="109" t="s">
        <v>197</v>
      </c>
      <c r="D74" s="109" t="s">
        <v>198</v>
      </c>
      <c r="E74" s="84" t="s">
        <v>488</v>
      </c>
      <c r="F74" s="158">
        <v>6</v>
      </c>
      <c r="G74" s="104" t="s">
        <v>177</v>
      </c>
      <c r="H74" s="104" t="s">
        <v>177</v>
      </c>
      <c r="I74" s="104" t="s">
        <v>177</v>
      </c>
      <c r="J74" s="104" t="s">
        <v>177</v>
      </c>
      <c r="K74" s="110" t="s">
        <v>699</v>
      </c>
      <c r="L74" s="155" t="s">
        <v>1309</v>
      </c>
      <c r="M74" s="110" t="s">
        <v>1316</v>
      </c>
      <c r="N74" s="110" t="s">
        <v>176</v>
      </c>
    </row>
    <row r="75" spans="1:15" ht="31.2" x14ac:dyDescent="0.3">
      <c r="A75" s="109" t="s">
        <v>634</v>
      </c>
      <c r="B75" s="109" t="s">
        <v>183</v>
      </c>
      <c r="C75" s="109" t="s">
        <v>170</v>
      </c>
      <c r="D75" s="109" t="s">
        <v>195</v>
      </c>
      <c r="E75" s="84" t="s">
        <v>488</v>
      </c>
      <c r="F75" s="158">
        <v>6</v>
      </c>
      <c r="G75" s="104" t="s">
        <v>177</v>
      </c>
      <c r="H75" s="104" t="s">
        <v>177</v>
      </c>
      <c r="I75" s="104" t="s">
        <v>177</v>
      </c>
      <c r="J75" s="104" t="s">
        <v>177</v>
      </c>
      <c r="K75" s="110" t="s">
        <v>699</v>
      </c>
      <c r="L75" s="155" t="s">
        <v>1307</v>
      </c>
      <c r="M75" s="110" t="s">
        <v>1311</v>
      </c>
      <c r="N75" s="110" t="s">
        <v>176</v>
      </c>
    </row>
    <row r="76" spans="1:15" ht="31.2" x14ac:dyDescent="0.3">
      <c r="A76" s="109" t="s">
        <v>688</v>
      </c>
      <c r="B76" s="109" t="s">
        <v>184</v>
      </c>
      <c r="C76" s="109" t="s">
        <v>170</v>
      </c>
      <c r="D76" s="109" t="s">
        <v>166</v>
      </c>
      <c r="E76" s="84" t="s">
        <v>488</v>
      </c>
      <c r="F76" s="158">
        <v>6</v>
      </c>
      <c r="G76" s="104" t="s">
        <v>178</v>
      </c>
      <c r="H76" s="104" t="s">
        <v>178</v>
      </c>
      <c r="I76" s="104" t="s">
        <v>178</v>
      </c>
      <c r="J76" s="104" t="s">
        <v>177</v>
      </c>
      <c r="K76" s="110" t="s">
        <v>699</v>
      </c>
      <c r="L76" s="155" t="s">
        <v>1307</v>
      </c>
      <c r="M76" s="110" t="s">
        <v>1311</v>
      </c>
      <c r="N76" s="110" t="s">
        <v>176</v>
      </c>
    </row>
    <row r="77" spans="1:15" ht="62.4" x14ac:dyDescent="0.3">
      <c r="A77" s="109" t="s">
        <v>672</v>
      </c>
      <c r="B77" s="109" t="s">
        <v>190</v>
      </c>
      <c r="C77" s="109" t="s">
        <v>170</v>
      </c>
      <c r="D77" s="109" t="s">
        <v>191</v>
      </c>
      <c r="E77" s="84" t="s">
        <v>488</v>
      </c>
      <c r="F77" s="158">
        <v>6</v>
      </c>
      <c r="G77" s="104" t="s">
        <v>177</v>
      </c>
      <c r="H77" s="104" t="s">
        <v>177</v>
      </c>
      <c r="I77" s="104" t="s">
        <v>177</v>
      </c>
      <c r="J77" s="104" t="s">
        <v>177</v>
      </c>
      <c r="K77" s="110" t="s">
        <v>1305</v>
      </c>
      <c r="L77" s="155" t="s">
        <v>1307</v>
      </c>
      <c r="M77" s="110" t="s">
        <v>1317</v>
      </c>
      <c r="N77" s="110" t="s">
        <v>176</v>
      </c>
    </row>
    <row r="78" spans="1:15" ht="31.2" x14ac:dyDescent="0.3">
      <c r="A78" s="109" t="s">
        <v>616</v>
      </c>
      <c r="B78" s="109" t="s">
        <v>214</v>
      </c>
      <c r="C78" s="109" t="s">
        <v>162</v>
      </c>
      <c r="D78" s="109" t="s">
        <v>163</v>
      </c>
      <c r="E78" s="83" t="s">
        <v>489</v>
      </c>
      <c r="F78" s="158">
        <v>6</v>
      </c>
      <c r="G78" s="104" t="s">
        <v>177</v>
      </c>
      <c r="H78" s="104" t="s">
        <v>177</v>
      </c>
      <c r="I78" s="104" t="s">
        <v>178</v>
      </c>
      <c r="J78" s="104" t="s">
        <v>178</v>
      </c>
      <c r="K78" s="110" t="s">
        <v>698</v>
      </c>
      <c r="L78" s="155" t="s">
        <v>1293</v>
      </c>
      <c r="M78" s="155"/>
      <c r="N78" s="110" t="s">
        <v>176</v>
      </c>
    </row>
    <row r="79" spans="1:15" ht="31.2" x14ac:dyDescent="0.3">
      <c r="A79" s="109" t="s">
        <v>617</v>
      </c>
      <c r="B79" s="109" t="s">
        <v>189</v>
      </c>
      <c r="C79" s="109" t="s">
        <v>170</v>
      </c>
      <c r="D79" s="109" t="s">
        <v>185</v>
      </c>
      <c r="E79" s="83" t="s">
        <v>489</v>
      </c>
      <c r="F79" s="158">
        <v>6</v>
      </c>
      <c r="G79" s="104" t="s">
        <v>178</v>
      </c>
      <c r="H79" s="104" t="s">
        <v>177</v>
      </c>
      <c r="I79" s="104" t="s">
        <v>178</v>
      </c>
      <c r="J79" s="104" t="s">
        <v>178</v>
      </c>
      <c r="K79" s="110" t="s">
        <v>698</v>
      </c>
      <c r="L79" s="110" t="s">
        <v>1299</v>
      </c>
      <c r="N79" s="110" t="s">
        <v>176</v>
      </c>
    </row>
    <row r="80" spans="1:15" ht="62.4" x14ac:dyDescent="0.3">
      <c r="A80" s="109" t="s">
        <v>615</v>
      </c>
      <c r="B80" s="109" t="s">
        <v>190</v>
      </c>
      <c r="C80" s="109" t="s">
        <v>170</v>
      </c>
      <c r="D80" s="109" t="s">
        <v>191</v>
      </c>
      <c r="E80" s="83" t="s">
        <v>489</v>
      </c>
      <c r="F80" s="158">
        <v>6</v>
      </c>
      <c r="G80" s="104" t="s">
        <v>177</v>
      </c>
      <c r="H80" s="104" t="s">
        <v>178</v>
      </c>
      <c r="I80" s="104" t="s">
        <v>178</v>
      </c>
      <c r="J80" s="104" t="s">
        <v>178</v>
      </c>
      <c r="K80" s="110" t="s">
        <v>1305</v>
      </c>
      <c r="L80" s="155" t="s">
        <v>1306</v>
      </c>
      <c r="M80" s="110" t="s">
        <v>1323</v>
      </c>
      <c r="N80" s="110" t="s">
        <v>176</v>
      </c>
    </row>
    <row r="81" spans="1:15" x14ac:dyDescent="0.3">
      <c r="A81" s="109" t="s">
        <v>665</v>
      </c>
      <c r="B81" s="109" t="s">
        <v>213</v>
      </c>
      <c r="C81" s="109" t="s">
        <v>162</v>
      </c>
      <c r="D81" s="109" t="s">
        <v>165</v>
      </c>
      <c r="E81" s="83" t="s">
        <v>93</v>
      </c>
      <c r="F81" s="158">
        <v>6</v>
      </c>
      <c r="G81" s="104" t="s">
        <v>177</v>
      </c>
      <c r="H81" s="104" t="s">
        <v>177</v>
      </c>
      <c r="I81" s="104" t="s">
        <v>178</v>
      </c>
      <c r="J81" s="104" t="s">
        <v>177</v>
      </c>
      <c r="K81" s="110" t="s">
        <v>697</v>
      </c>
      <c r="L81" s="110" t="s">
        <v>176</v>
      </c>
      <c r="M81" s="110" t="s">
        <v>695</v>
      </c>
      <c r="N81" s="110" t="s">
        <v>176</v>
      </c>
    </row>
    <row r="82" spans="1:15" x14ac:dyDescent="0.3">
      <c r="A82" s="109" t="s">
        <v>667</v>
      </c>
      <c r="B82" s="109" t="s">
        <v>214</v>
      </c>
      <c r="C82" s="109" t="s">
        <v>162</v>
      </c>
      <c r="D82" s="109" t="s">
        <v>163</v>
      </c>
      <c r="E82" s="83" t="s">
        <v>93</v>
      </c>
      <c r="F82" s="158">
        <v>6</v>
      </c>
      <c r="G82" s="104" t="s">
        <v>177</v>
      </c>
      <c r="H82" s="104" t="s">
        <v>178</v>
      </c>
      <c r="I82" s="104" t="s">
        <v>178</v>
      </c>
      <c r="J82" s="104" t="s">
        <v>178</v>
      </c>
      <c r="K82" s="110" t="s">
        <v>697</v>
      </c>
      <c r="L82" s="155" t="s">
        <v>596</v>
      </c>
      <c r="N82" s="110" t="s">
        <v>176</v>
      </c>
    </row>
    <row r="83" spans="1:15" x14ac:dyDescent="0.3">
      <c r="A83" s="109" t="s">
        <v>666</v>
      </c>
      <c r="B83" s="109" t="s">
        <v>215</v>
      </c>
      <c r="C83" s="109" t="s">
        <v>162</v>
      </c>
      <c r="D83" s="109" t="s">
        <v>166</v>
      </c>
      <c r="E83" s="83" t="s">
        <v>93</v>
      </c>
      <c r="F83" s="158">
        <v>6</v>
      </c>
      <c r="G83" s="104" t="s">
        <v>178</v>
      </c>
      <c r="H83" s="104" t="s">
        <v>177</v>
      </c>
      <c r="I83" s="104" t="s">
        <v>178</v>
      </c>
      <c r="J83" s="104" t="s">
        <v>177</v>
      </c>
      <c r="K83" s="110" t="s">
        <v>176</v>
      </c>
      <c r="L83" s="155" t="s">
        <v>596</v>
      </c>
      <c r="N83" s="110" t="s">
        <v>176</v>
      </c>
    </row>
    <row r="84" spans="1:15" ht="31.2" x14ac:dyDescent="0.3">
      <c r="A84" s="109" t="s">
        <v>693</v>
      </c>
      <c r="B84" s="109" t="s">
        <v>187</v>
      </c>
      <c r="C84" s="109" t="s">
        <v>170</v>
      </c>
      <c r="D84" s="109" t="s">
        <v>164</v>
      </c>
      <c r="E84" s="84" t="s">
        <v>96</v>
      </c>
      <c r="F84" s="158">
        <v>7</v>
      </c>
      <c r="G84" s="104" t="s">
        <v>178</v>
      </c>
      <c r="H84" s="104" t="s">
        <v>178</v>
      </c>
      <c r="I84" s="104" t="s">
        <v>178</v>
      </c>
      <c r="J84" s="104" t="s">
        <v>177</v>
      </c>
      <c r="K84" s="110" t="s">
        <v>698</v>
      </c>
      <c r="L84" s="155" t="s">
        <v>1306</v>
      </c>
      <c r="M84" s="110" t="s">
        <v>1324</v>
      </c>
      <c r="O84" s="111" t="s">
        <v>694</v>
      </c>
    </row>
    <row r="85" spans="1:15" ht="78" x14ac:dyDescent="0.3">
      <c r="A85" s="113" t="s">
        <v>668</v>
      </c>
      <c r="B85" s="113" t="s">
        <v>186</v>
      </c>
      <c r="C85" s="113" t="s">
        <v>170</v>
      </c>
      <c r="D85" s="113" t="s">
        <v>163</v>
      </c>
      <c r="E85" s="84" t="s">
        <v>96</v>
      </c>
      <c r="F85" s="158">
        <v>7</v>
      </c>
      <c r="G85" s="104" t="s">
        <v>178</v>
      </c>
      <c r="H85" s="104" t="s">
        <v>178</v>
      </c>
      <c r="I85" s="104" t="s">
        <v>178</v>
      </c>
      <c r="J85" s="104" t="s">
        <v>177</v>
      </c>
      <c r="K85" s="110" t="s">
        <v>1281</v>
      </c>
      <c r="L85" s="155" t="s">
        <v>1306</v>
      </c>
      <c r="M85" s="110" t="s">
        <v>1324</v>
      </c>
      <c r="O85" s="111" t="s">
        <v>694</v>
      </c>
    </row>
    <row r="86" spans="1:15" ht="18.600000000000001" x14ac:dyDescent="0.3">
      <c r="A86" s="113" t="s">
        <v>669</v>
      </c>
      <c r="B86" s="113" t="s">
        <v>194</v>
      </c>
      <c r="C86" s="113" t="s">
        <v>170</v>
      </c>
      <c r="D86" s="113" t="s">
        <v>164</v>
      </c>
      <c r="E86" s="84" t="s">
        <v>96</v>
      </c>
      <c r="F86" s="158">
        <v>7</v>
      </c>
      <c r="G86" s="104" t="s">
        <v>178</v>
      </c>
      <c r="H86" s="104" t="s">
        <v>178</v>
      </c>
      <c r="I86" s="104" t="s">
        <v>178</v>
      </c>
      <c r="J86" s="104" t="s">
        <v>177</v>
      </c>
      <c r="K86" s="110" t="s">
        <v>698</v>
      </c>
      <c r="L86" s="110" t="s">
        <v>597</v>
      </c>
      <c r="M86" s="110" t="s">
        <v>1324</v>
      </c>
      <c r="O86" s="111" t="s">
        <v>694</v>
      </c>
    </row>
    <row r="87" spans="1:15" x14ac:dyDescent="0.3">
      <c r="A87" s="109" t="s">
        <v>691</v>
      </c>
      <c r="B87" s="109" t="s">
        <v>212</v>
      </c>
      <c r="C87" s="109" t="s">
        <v>162</v>
      </c>
      <c r="D87" s="109" t="s">
        <v>164</v>
      </c>
      <c r="E87" s="84" t="s">
        <v>96</v>
      </c>
      <c r="F87" s="158">
        <v>6</v>
      </c>
      <c r="G87" s="104" t="s">
        <v>178</v>
      </c>
      <c r="H87" s="104" t="s">
        <v>178</v>
      </c>
      <c r="I87" s="104" t="s">
        <v>178</v>
      </c>
      <c r="J87" s="104" t="s">
        <v>178</v>
      </c>
      <c r="K87" s="110" t="s">
        <v>176</v>
      </c>
      <c r="L87" s="110" t="s">
        <v>597</v>
      </c>
      <c r="M87" s="110" t="s">
        <v>1324</v>
      </c>
      <c r="O87" s="111" t="s">
        <v>694</v>
      </c>
    </row>
    <row r="88" spans="1:15" ht="31.2" x14ac:dyDescent="0.3">
      <c r="A88" s="109" t="s">
        <v>692</v>
      </c>
      <c r="B88" s="109" t="s">
        <v>183</v>
      </c>
      <c r="C88" s="109" t="s">
        <v>170</v>
      </c>
      <c r="D88" s="109" t="s">
        <v>195</v>
      </c>
      <c r="E88" s="84" t="s">
        <v>96</v>
      </c>
      <c r="F88" s="158">
        <v>6</v>
      </c>
      <c r="G88" s="104" t="s">
        <v>178</v>
      </c>
      <c r="H88" s="104" t="s">
        <v>178</v>
      </c>
      <c r="I88" s="104" t="s">
        <v>177</v>
      </c>
      <c r="J88" s="104" t="s">
        <v>178</v>
      </c>
      <c r="K88" s="110" t="s">
        <v>702</v>
      </c>
      <c r="L88" s="155" t="s">
        <v>1293</v>
      </c>
      <c r="O88" s="111" t="s">
        <v>694</v>
      </c>
    </row>
    <row r="89" spans="1:15" x14ac:dyDescent="0.3">
      <c r="A89" s="113" t="s">
        <v>670</v>
      </c>
      <c r="B89" s="113" t="s">
        <v>182</v>
      </c>
      <c r="C89" s="113" t="s">
        <v>170</v>
      </c>
      <c r="D89" s="113" t="s">
        <v>164</v>
      </c>
      <c r="E89" s="84" t="s">
        <v>96</v>
      </c>
      <c r="F89" s="158">
        <v>6</v>
      </c>
      <c r="G89" s="104" t="s">
        <v>178</v>
      </c>
      <c r="H89" s="104" t="s">
        <v>178</v>
      </c>
      <c r="I89" s="104" t="s">
        <v>178</v>
      </c>
      <c r="J89" s="104" t="s">
        <v>178</v>
      </c>
      <c r="K89" s="110" t="s">
        <v>176</v>
      </c>
      <c r="L89" s="110" t="s">
        <v>596</v>
      </c>
      <c r="M89" s="110" t="s">
        <v>1324</v>
      </c>
      <c r="O89" s="111" t="s">
        <v>694</v>
      </c>
    </row>
    <row r="90" spans="1:15" ht="31.2" x14ac:dyDescent="0.3">
      <c r="A90" s="109" t="s">
        <v>671</v>
      </c>
      <c r="B90" s="109" t="s">
        <v>184</v>
      </c>
      <c r="C90" s="109" t="s">
        <v>170</v>
      </c>
      <c r="D90" s="109" t="s">
        <v>166</v>
      </c>
      <c r="E90" s="84" t="s">
        <v>96</v>
      </c>
      <c r="F90" s="158">
        <v>6</v>
      </c>
      <c r="G90" s="104" t="s">
        <v>178</v>
      </c>
      <c r="H90" s="104" t="s">
        <v>178</v>
      </c>
      <c r="I90" s="104" t="s">
        <v>178</v>
      </c>
      <c r="J90" s="104" t="s">
        <v>178</v>
      </c>
      <c r="K90" s="110" t="s">
        <v>698</v>
      </c>
      <c r="L90" s="110" t="s">
        <v>1299</v>
      </c>
      <c r="O90" s="111" t="s">
        <v>694</v>
      </c>
    </row>
    <row r="91" spans="1:15" ht="78" x14ac:dyDescent="0.3">
      <c r="A91" s="109" t="s">
        <v>609</v>
      </c>
      <c r="B91" s="109" t="s">
        <v>203</v>
      </c>
      <c r="C91" s="109" t="s">
        <v>170</v>
      </c>
      <c r="D91" s="109" t="s">
        <v>166</v>
      </c>
      <c r="E91" s="105" t="s">
        <v>350</v>
      </c>
      <c r="F91" s="158">
        <v>7</v>
      </c>
      <c r="G91" s="104" t="s">
        <v>177</v>
      </c>
      <c r="H91" s="104" t="s">
        <v>177</v>
      </c>
      <c r="I91" s="104" t="s">
        <v>177</v>
      </c>
      <c r="J91" s="104" t="s">
        <v>177</v>
      </c>
      <c r="K91" s="110" t="s">
        <v>1281</v>
      </c>
      <c r="L91" s="110" t="s">
        <v>1299</v>
      </c>
      <c r="M91" s="110" t="s">
        <v>1292</v>
      </c>
      <c r="N91" s="110" t="s">
        <v>1286</v>
      </c>
    </row>
    <row r="92" spans="1:15" ht="31.2" x14ac:dyDescent="0.3">
      <c r="A92" s="109" t="s">
        <v>603</v>
      </c>
      <c r="B92" s="109" t="s">
        <v>196</v>
      </c>
      <c r="C92" s="109" t="s">
        <v>197</v>
      </c>
      <c r="D92" s="109" t="s">
        <v>198</v>
      </c>
      <c r="E92" s="105" t="s">
        <v>350</v>
      </c>
      <c r="F92" s="158">
        <v>6</v>
      </c>
      <c r="G92" s="104" t="s">
        <v>177</v>
      </c>
      <c r="H92" s="104" t="s">
        <v>177</v>
      </c>
      <c r="I92" s="104" t="s">
        <v>177</v>
      </c>
      <c r="J92" s="104" t="s">
        <v>177</v>
      </c>
      <c r="K92" s="110" t="s">
        <v>699</v>
      </c>
      <c r="L92" s="110" t="s">
        <v>1301</v>
      </c>
      <c r="M92" s="110" t="s">
        <v>1292</v>
      </c>
      <c r="N92" s="110" t="s">
        <v>1285</v>
      </c>
    </row>
    <row r="93" spans="1:15" ht="31.2" x14ac:dyDescent="0.3">
      <c r="A93" s="109" t="s">
        <v>606</v>
      </c>
      <c r="B93" s="109" t="s">
        <v>199</v>
      </c>
      <c r="C93" s="109" t="s">
        <v>197</v>
      </c>
      <c r="D93" s="109" t="s">
        <v>198</v>
      </c>
      <c r="E93" s="105" t="s">
        <v>350</v>
      </c>
      <c r="F93" s="158">
        <v>6</v>
      </c>
      <c r="G93" s="104" t="s">
        <v>177</v>
      </c>
      <c r="H93" s="104" t="s">
        <v>178</v>
      </c>
      <c r="I93" s="104" t="s">
        <v>177</v>
      </c>
      <c r="J93" s="104" t="s">
        <v>178</v>
      </c>
      <c r="K93" s="110" t="s">
        <v>699</v>
      </c>
      <c r="L93" s="110" t="s">
        <v>1304</v>
      </c>
      <c r="M93" s="110" t="s">
        <v>1292</v>
      </c>
      <c r="N93" s="110" t="s">
        <v>1285</v>
      </c>
    </row>
    <row r="94" spans="1:15" ht="46.8" x14ac:dyDescent="0.3">
      <c r="A94" s="109" t="s">
        <v>605</v>
      </c>
      <c r="B94" s="109" t="s">
        <v>201</v>
      </c>
      <c r="C94" s="109" t="s">
        <v>162</v>
      </c>
      <c r="D94" s="109" t="s">
        <v>202</v>
      </c>
      <c r="E94" s="105" t="s">
        <v>350</v>
      </c>
      <c r="F94" s="158">
        <v>6</v>
      </c>
      <c r="G94" s="104" t="s">
        <v>177</v>
      </c>
      <c r="H94" s="104" t="s">
        <v>178</v>
      </c>
      <c r="I94" s="104" t="s">
        <v>178</v>
      </c>
      <c r="J94" s="104" t="s">
        <v>177</v>
      </c>
      <c r="K94" s="110" t="s">
        <v>1282</v>
      </c>
      <c r="L94" s="110" t="s">
        <v>1300</v>
      </c>
      <c r="M94" s="110" t="s">
        <v>1292</v>
      </c>
      <c r="N94" s="110" t="s">
        <v>1285</v>
      </c>
    </row>
    <row r="95" spans="1:15" ht="46.8" x14ac:dyDescent="0.3">
      <c r="A95" s="109" t="s">
        <v>602</v>
      </c>
      <c r="B95" s="109" t="s">
        <v>200</v>
      </c>
      <c r="C95" s="109" t="s">
        <v>170</v>
      </c>
      <c r="D95" s="109" t="s">
        <v>166</v>
      </c>
      <c r="E95" s="105" t="s">
        <v>350</v>
      </c>
      <c r="F95" s="158">
        <v>6</v>
      </c>
      <c r="G95" s="104" t="s">
        <v>177</v>
      </c>
      <c r="H95" s="104" t="s">
        <v>177</v>
      </c>
      <c r="I95" s="104" t="s">
        <v>178</v>
      </c>
      <c r="J95" s="104" t="s">
        <v>177</v>
      </c>
      <c r="K95" s="110" t="s">
        <v>1310</v>
      </c>
      <c r="L95" s="110" t="s">
        <v>1302</v>
      </c>
      <c r="M95" s="110" t="s">
        <v>1292</v>
      </c>
      <c r="N95" s="110" t="s">
        <v>1285</v>
      </c>
    </row>
    <row r="96" spans="1:15" ht="46.8" x14ac:dyDescent="0.3">
      <c r="A96" s="109" t="s">
        <v>680</v>
      </c>
      <c r="B96" s="109" t="s">
        <v>678</v>
      </c>
      <c r="C96" s="109" t="s">
        <v>197</v>
      </c>
      <c r="D96" s="109" t="s">
        <v>185</v>
      </c>
      <c r="E96" s="103" t="s">
        <v>97</v>
      </c>
      <c r="F96" s="158">
        <v>7</v>
      </c>
      <c r="G96" s="104" t="s">
        <v>177</v>
      </c>
      <c r="H96" s="104" t="s">
        <v>177</v>
      </c>
      <c r="I96" s="104" t="s">
        <v>177</v>
      </c>
      <c r="J96" s="104" t="s">
        <v>178</v>
      </c>
      <c r="K96" s="110" t="s">
        <v>1282</v>
      </c>
      <c r="L96" s="110" t="s">
        <v>176</v>
      </c>
      <c r="M96" s="110" t="s">
        <v>176</v>
      </c>
      <c r="N96" s="110" t="s">
        <v>176</v>
      </c>
    </row>
  </sheetData>
  <sortState xmlns:xlrd2="http://schemas.microsoft.com/office/spreadsheetml/2017/richdata2" ref="A2:O96">
    <sortCondition ref="E2:E96"/>
    <sortCondition descending="1" ref="F2:F96"/>
    <sortCondition ref="C2:C96"/>
    <sortCondition ref="B2:B96"/>
  </sortState>
  <conditionalFormatting sqref="F2:F96">
    <cfRule type="cellIs" dxfId="34" priority="3" operator="greaterThan">
      <formula>6</formula>
    </cfRule>
    <cfRule type="cellIs" dxfId="33" priority="4" operator="equal">
      <formula>6</formula>
    </cfRule>
    <cfRule type="cellIs" dxfId="32" priority="5" operator="lessThan">
      <formula>6</formula>
    </cfRule>
  </conditionalFormatting>
  <conditionalFormatting sqref="G10:G27">
    <cfRule type="cellIs" dxfId="31" priority="101" operator="equal">
      <formula>"þ"</formula>
    </cfRule>
  </conditionalFormatting>
  <conditionalFormatting sqref="G37:G51">
    <cfRule type="cellIs" dxfId="30" priority="59" operator="equal">
      <formula>"þ"</formula>
    </cfRule>
  </conditionalFormatting>
  <conditionalFormatting sqref="G53:H57">
    <cfRule type="cellIs" dxfId="29" priority="91" operator="equal">
      <formula>"þ"</formula>
    </cfRule>
  </conditionalFormatting>
  <conditionalFormatting sqref="G2:I13">
    <cfRule type="cellIs" dxfId="28" priority="158" operator="equal">
      <formula>"þ"</formula>
    </cfRule>
  </conditionalFormatting>
  <conditionalFormatting sqref="G39:I41 G43:I43">
    <cfRule type="cellIs" dxfId="27" priority="298" operator="equal">
      <formula>"þ"</formula>
    </cfRule>
  </conditionalFormatting>
  <conditionalFormatting sqref="G54:I57">
    <cfRule type="cellIs" dxfId="26" priority="34" operator="equal">
      <formula>"þ"</formula>
    </cfRule>
  </conditionalFormatting>
  <conditionalFormatting sqref="G28:J37">
    <cfRule type="cellIs" dxfId="25" priority="26" operator="equal">
      <formula>"þ"</formula>
    </cfRule>
  </conditionalFormatting>
  <conditionalFormatting sqref="G58:J96">
    <cfRule type="cellIs" dxfId="24" priority="1" operator="equal">
      <formula>"þ"</formula>
    </cfRule>
  </conditionalFormatting>
  <conditionalFormatting sqref="H14:H26">
    <cfRule type="cellIs" dxfId="23" priority="68" operator="equal">
      <formula>"þ"</formula>
    </cfRule>
  </conditionalFormatting>
  <conditionalFormatting sqref="H38">
    <cfRule type="cellIs" dxfId="22" priority="65" operator="equal">
      <formula>"þ"</formula>
    </cfRule>
  </conditionalFormatting>
  <conditionalFormatting sqref="H42">
    <cfRule type="cellIs" dxfId="21" priority="64" operator="equal">
      <formula>"þ"</formula>
    </cfRule>
  </conditionalFormatting>
  <conditionalFormatting sqref="H44:H51">
    <cfRule type="cellIs" dxfId="20" priority="55" operator="equal">
      <formula>"þ"</formula>
    </cfRule>
  </conditionalFormatting>
  <conditionalFormatting sqref="H35:I37">
    <cfRule type="cellIs" dxfId="19" priority="316" operator="equal">
      <formula>"þ"</formula>
    </cfRule>
  </conditionalFormatting>
  <conditionalFormatting sqref="H53:I55">
    <cfRule type="cellIs" dxfId="18" priority="130" operator="equal">
      <formula>"þ"</formula>
    </cfRule>
  </conditionalFormatting>
  <conditionalFormatting sqref="H27:J27">
    <cfRule type="cellIs" dxfId="17" priority="361" operator="equal">
      <formula>"þ"</formula>
    </cfRule>
  </conditionalFormatting>
  <conditionalFormatting sqref="I11">
    <cfRule type="cellIs" dxfId="16" priority="18" operator="equal">
      <formula>"þ"</formula>
    </cfRule>
  </conditionalFormatting>
  <conditionalFormatting sqref="I14:I27">
    <cfRule type="cellIs" dxfId="15" priority="7" operator="equal">
      <formula>"þ"</formula>
    </cfRule>
  </conditionalFormatting>
  <conditionalFormatting sqref="I36">
    <cfRule type="cellIs" dxfId="14" priority="27" operator="equal">
      <formula>"þ"</formula>
    </cfRule>
  </conditionalFormatting>
  <conditionalFormatting sqref="I38:I50">
    <cfRule type="cellIs" dxfId="13" priority="28" operator="equal">
      <formula>"þ"</formula>
    </cfRule>
  </conditionalFormatting>
  <conditionalFormatting sqref="I47:J47 I49:J49 I51:J51 G52:J52">
    <cfRule type="cellIs" dxfId="12" priority="402" operator="equal">
      <formula>"þ"</formula>
    </cfRule>
  </conditionalFormatting>
  <conditionalFormatting sqref="J2:J26">
    <cfRule type="cellIs" dxfId="11" priority="17" operator="equal">
      <formula>"þ"</formula>
    </cfRule>
  </conditionalFormatting>
  <conditionalFormatting sqref="J37:J46">
    <cfRule type="cellIs" dxfId="10" priority="14" operator="equal">
      <formula>"þ"</formula>
    </cfRule>
  </conditionalFormatting>
  <conditionalFormatting sqref="J48">
    <cfRule type="cellIs" dxfId="9" priority="13" operator="equal">
      <formula>"þ"</formula>
    </cfRule>
  </conditionalFormatting>
  <conditionalFormatting sqref="J50">
    <cfRule type="cellIs" dxfId="8" priority="12" operator="equal">
      <formula>"þ"</formula>
    </cfRule>
  </conditionalFormatting>
  <conditionalFormatting sqref="J53:J57">
    <cfRule type="cellIs" dxfId="7" priority="131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75026-4949-46BC-B1EC-79680CAEE43E}">
  <sheetPr>
    <tabColor rgb="FFFF0000"/>
  </sheetPr>
  <dimension ref="A1:N77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13" defaultRowHeight="15.6" x14ac:dyDescent="0.3"/>
  <cols>
    <col min="1" max="1" width="20" style="167" bestFit="1" customWidth="1"/>
    <col min="2" max="2" width="22.69921875" style="167" bestFit="1" customWidth="1"/>
    <col min="3" max="3" width="3.3984375" style="167" bestFit="1" customWidth="1"/>
    <col min="4" max="4" width="8.8984375" style="167" bestFit="1" customWidth="1"/>
    <col min="5" max="5" width="7.5" style="167" bestFit="1" customWidth="1"/>
    <col min="6" max="6" width="4.796875" style="167" bestFit="1" customWidth="1"/>
    <col min="7" max="7" width="8.09765625" style="167" bestFit="1" customWidth="1"/>
    <col min="8" max="8" width="10.796875" style="167" bestFit="1" customWidth="1"/>
    <col min="9" max="9" width="8.5" style="167" bestFit="1" customWidth="1"/>
    <col min="10" max="10" width="4.3984375" style="167" bestFit="1" customWidth="1"/>
    <col min="11" max="11" width="9.19921875" style="167" bestFit="1" customWidth="1"/>
    <col min="12" max="12" width="4.5" style="167" bestFit="1" customWidth="1"/>
    <col min="13" max="13" width="5.296875" style="167" bestFit="1" customWidth="1"/>
    <col min="14" max="14" width="7.5" style="166" bestFit="1" customWidth="1"/>
    <col min="15" max="15" width="8.8984375" style="166" bestFit="1" customWidth="1"/>
    <col min="16" max="16384" width="13" style="166"/>
  </cols>
  <sheetData>
    <row r="1" spans="1:14" ht="16.8" thickTop="1" thickBot="1" x14ac:dyDescent="0.35">
      <c r="A1" s="190" t="s">
        <v>1117</v>
      </c>
      <c r="B1" s="189" t="s">
        <v>1116</v>
      </c>
      <c r="C1" s="189" t="s">
        <v>158</v>
      </c>
      <c r="D1" s="189" t="s">
        <v>152</v>
      </c>
      <c r="E1" s="187" t="s">
        <v>1115</v>
      </c>
      <c r="F1" s="187" t="s">
        <v>1114</v>
      </c>
      <c r="G1" s="188" t="s">
        <v>1113</v>
      </c>
      <c r="H1" s="187" t="s">
        <v>1112</v>
      </c>
      <c r="I1" s="188" t="s">
        <v>1111</v>
      </c>
      <c r="J1" s="188" t="s">
        <v>1110</v>
      </c>
      <c r="K1" s="188" t="s">
        <v>1109</v>
      </c>
      <c r="L1" s="188" t="s">
        <v>1108</v>
      </c>
      <c r="M1" s="187" t="s">
        <v>1328</v>
      </c>
      <c r="N1" s="186" t="s">
        <v>1107</v>
      </c>
    </row>
    <row r="2" spans="1:14" x14ac:dyDescent="0.3">
      <c r="A2" s="185" t="s">
        <v>1143</v>
      </c>
      <c r="B2" s="184" t="s">
        <v>1144</v>
      </c>
      <c r="C2" s="184">
        <v>0</v>
      </c>
      <c r="D2" s="184" t="s">
        <v>975</v>
      </c>
      <c r="E2" s="183" t="s">
        <v>987</v>
      </c>
      <c r="F2" s="182" t="s">
        <v>1125</v>
      </c>
      <c r="G2" s="182" t="s">
        <v>973</v>
      </c>
      <c r="H2" s="182" t="s">
        <v>1006</v>
      </c>
      <c r="I2" s="182" t="s">
        <v>492</v>
      </c>
      <c r="J2" s="181" t="s">
        <v>492</v>
      </c>
      <c r="K2" s="181" t="s">
        <v>492</v>
      </c>
      <c r="L2" s="181" t="s">
        <v>989</v>
      </c>
      <c r="M2" s="180">
        <v>3</v>
      </c>
      <c r="N2" s="169">
        <v>1</v>
      </c>
    </row>
    <row r="3" spans="1:14" x14ac:dyDescent="0.3">
      <c r="A3" s="209" t="s">
        <v>1145</v>
      </c>
      <c r="B3" s="210" t="s">
        <v>1179</v>
      </c>
      <c r="C3" s="133">
        <v>0</v>
      </c>
      <c r="D3" s="210" t="s">
        <v>975</v>
      </c>
      <c r="E3" s="211" t="s">
        <v>1146</v>
      </c>
      <c r="F3" s="212" t="s">
        <v>1180</v>
      </c>
      <c r="G3" s="212" t="s">
        <v>1012</v>
      </c>
      <c r="H3" s="212" t="s">
        <v>986</v>
      </c>
      <c r="I3" s="178" t="s">
        <v>1000</v>
      </c>
      <c r="J3" s="213" t="s">
        <v>492</v>
      </c>
      <c r="K3" s="213" t="s">
        <v>492</v>
      </c>
      <c r="L3" s="213" t="s">
        <v>982</v>
      </c>
      <c r="M3" s="214">
        <v>0.5</v>
      </c>
      <c r="N3" s="169">
        <v>1</v>
      </c>
    </row>
    <row r="4" spans="1:14" x14ac:dyDescent="0.3">
      <c r="A4" s="209" t="s">
        <v>988</v>
      </c>
      <c r="B4" s="210" t="s">
        <v>988</v>
      </c>
      <c r="C4" s="133">
        <v>0</v>
      </c>
      <c r="D4" s="210" t="s">
        <v>975</v>
      </c>
      <c r="E4" s="211" t="s">
        <v>987</v>
      </c>
      <c r="F4" s="212">
        <v>0</v>
      </c>
      <c r="G4" s="212" t="s">
        <v>973</v>
      </c>
      <c r="H4" s="212" t="s">
        <v>986</v>
      </c>
      <c r="I4" s="178" t="s">
        <v>985</v>
      </c>
      <c r="J4" s="213">
        <v>1</v>
      </c>
      <c r="K4" s="213" t="s">
        <v>492</v>
      </c>
      <c r="L4" s="213" t="s">
        <v>105</v>
      </c>
      <c r="M4" s="214">
        <v>2</v>
      </c>
      <c r="N4" s="169">
        <v>20</v>
      </c>
    </row>
    <row r="5" spans="1:14" x14ac:dyDescent="0.3">
      <c r="A5" s="179" t="s">
        <v>996</v>
      </c>
      <c r="B5" s="133" t="s">
        <v>996</v>
      </c>
      <c r="C5" s="133">
        <v>1</v>
      </c>
      <c r="D5" s="133" t="s">
        <v>975</v>
      </c>
      <c r="E5" s="65" t="s">
        <v>995</v>
      </c>
      <c r="F5" s="178">
        <v>0</v>
      </c>
      <c r="G5" s="178" t="s">
        <v>973</v>
      </c>
      <c r="H5" s="178" t="s">
        <v>986</v>
      </c>
      <c r="I5" s="178" t="s">
        <v>992</v>
      </c>
      <c r="J5" s="176">
        <v>1</v>
      </c>
      <c r="K5" s="176" t="s">
        <v>492</v>
      </c>
      <c r="L5" s="176" t="s">
        <v>989</v>
      </c>
      <c r="M5" s="177">
        <v>3</v>
      </c>
      <c r="N5" s="169">
        <v>120</v>
      </c>
    </row>
    <row r="6" spans="1:14" x14ac:dyDescent="0.3">
      <c r="A6" s="199" t="s">
        <v>976</v>
      </c>
      <c r="B6" s="201" t="s">
        <v>976</v>
      </c>
      <c r="C6" s="201">
        <v>1</v>
      </c>
      <c r="D6" s="201" t="s">
        <v>975</v>
      </c>
      <c r="E6" s="203" t="s">
        <v>974</v>
      </c>
      <c r="F6" s="203">
        <v>0</v>
      </c>
      <c r="G6" s="203" t="s">
        <v>973</v>
      </c>
      <c r="H6" s="203" t="s">
        <v>972</v>
      </c>
      <c r="I6" s="203" t="s">
        <v>971</v>
      </c>
      <c r="J6" s="203">
        <v>1</v>
      </c>
      <c r="K6" s="203">
        <v>1</v>
      </c>
      <c r="L6" s="203" t="s">
        <v>970</v>
      </c>
      <c r="M6" s="207">
        <v>4</v>
      </c>
      <c r="N6" s="169">
        <v>20</v>
      </c>
    </row>
    <row r="7" spans="1:14" x14ac:dyDescent="0.3">
      <c r="A7" s="199" t="s">
        <v>1177</v>
      </c>
      <c r="B7" s="201" t="s">
        <v>1177</v>
      </c>
      <c r="C7" s="201">
        <v>1</v>
      </c>
      <c r="D7" s="201" t="s">
        <v>975</v>
      </c>
      <c r="E7" s="203" t="s">
        <v>987</v>
      </c>
      <c r="F7" s="203">
        <v>0</v>
      </c>
      <c r="G7" s="212" t="s">
        <v>1178</v>
      </c>
      <c r="H7" s="203" t="s">
        <v>986</v>
      </c>
      <c r="I7" s="203" t="s">
        <v>492</v>
      </c>
      <c r="J7" s="203" t="s">
        <v>492</v>
      </c>
      <c r="K7" s="203" t="s">
        <v>492</v>
      </c>
      <c r="L7" s="203" t="s">
        <v>105</v>
      </c>
      <c r="M7" s="207">
        <v>3</v>
      </c>
      <c r="N7" s="169">
        <v>9</v>
      </c>
    </row>
    <row r="8" spans="1:14" x14ac:dyDescent="0.3">
      <c r="A8" s="179" t="s">
        <v>994</v>
      </c>
      <c r="B8" s="133" t="s">
        <v>994</v>
      </c>
      <c r="C8" s="133">
        <v>2</v>
      </c>
      <c r="D8" s="133" t="s">
        <v>975</v>
      </c>
      <c r="E8" s="65" t="s">
        <v>993</v>
      </c>
      <c r="F8" s="178">
        <v>0</v>
      </c>
      <c r="G8" s="178" t="s">
        <v>973</v>
      </c>
      <c r="H8" s="178" t="s">
        <v>986</v>
      </c>
      <c r="I8" s="178" t="s">
        <v>992</v>
      </c>
      <c r="J8" s="176">
        <v>1</v>
      </c>
      <c r="K8" s="176">
        <v>1</v>
      </c>
      <c r="L8" s="176" t="s">
        <v>105</v>
      </c>
      <c r="M8" s="177">
        <v>7</v>
      </c>
      <c r="N8" s="169">
        <v>90</v>
      </c>
    </row>
    <row r="9" spans="1:14" x14ac:dyDescent="0.3">
      <c r="A9" s="175" t="s">
        <v>1073</v>
      </c>
      <c r="B9" s="174" t="s">
        <v>1073</v>
      </c>
      <c r="C9" s="174">
        <v>5</v>
      </c>
      <c r="D9" s="174" t="s">
        <v>1070</v>
      </c>
      <c r="E9" s="173" t="s">
        <v>1</v>
      </c>
      <c r="F9" s="172">
        <v>0</v>
      </c>
      <c r="G9" s="172" t="s">
        <v>973</v>
      </c>
      <c r="H9" s="172" t="s">
        <v>1019</v>
      </c>
      <c r="I9" s="172" t="s">
        <v>1000</v>
      </c>
      <c r="J9" s="176">
        <v>1</v>
      </c>
      <c r="K9" s="171">
        <v>1</v>
      </c>
      <c r="L9" s="171" t="s">
        <v>970</v>
      </c>
      <c r="M9" s="170">
        <v>1</v>
      </c>
      <c r="N9" s="169">
        <v>12</v>
      </c>
    </row>
    <row r="10" spans="1:14" x14ac:dyDescent="0.3">
      <c r="A10" s="175" t="s">
        <v>1072</v>
      </c>
      <c r="B10" s="174" t="s">
        <v>1072</v>
      </c>
      <c r="C10" s="174">
        <v>5</v>
      </c>
      <c r="D10" s="174" t="s">
        <v>1070</v>
      </c>
      <c r="E10" s="173" t="s">
        <v>1052</v>
      </c>
      <c r="F10" s="172">
        <v>0</v>
      </c>
      <c r="G10" s="172" t="s">
        <v>973</v>
      </c>
      <c r="H10" s="172" t="s">
        <v>990</v>
      </c>
      <c r="I10" s="172" t="s">
        <v>492</v>
      </c>
      <c r="J10" s="171">
        <v>1</v>
      </c>
      <c r="K10" s="171">
        <v>1</v>
      </c>
      <c r="L10" s="171" t="s">
        <v>105</v>
      </c>
      <c r="M10" s="170">
        <v>2</v>
      </c>
      <c r="N10" s="169">
        <v>8</v>
      </c>
    </row>
    <row r="11" spans="1:14" x14ac:dyDescent="0.3">
      <c r="A11" s="175" t="s">
        <v>1071</v>
      </c>
      <c r="B11" s="174" t="s">
        <v>1071</v>
      </c>
      <c r="C11" s="174">
        <v>5</v>
      </c>
      <c r="D11" s="174" t="s">
        <v>1070</v>
      </c>
      <c r="E11" s="173" t="s">
        <v>1052</v>
      </c>
      <c r="F11" s="172">
        <v>0</v>
      </c>
      <c r="G11" s="172" t="s">
        <v>973</v>
      </c>
      <c r="H11" s="172" t="s">
        <v>1019</v>
      </c>
      <c r="I11" s="172" t="s">
        <v>977</v>
      </c>
      <c r="J11" s="176">
        <v>1</v>
      </c>
      <c r="K11" s="171">
        <v>1</v>
      </c>
      <c r="L11" s="171" t="s">
        <v>982</v>
      </c>
      <c r="M11" s="170">
        <v>1</v>
      </c>
      <c r="N11" s="169">
        <v>12</v>
      </c>
    </row>
    <row r="12" spans="1:14" x14ac:dyDescent="0.3">
      <c r="A12" s="175" t="s">
        <v>1141</v>
      </c>
      <c r="B12" s="174" t="s">
        <v>1142</v>
      </c>
      <c r="C12" s="174">
        <v>5</v>
      </c>
      <c r="D12" s="174" t="s">
        <v>1014</v>
      </c>
      <c r="E12" s="173" t="s">
        <v>12</v>
      </c>
      <c r="F12" s="172">
        <v>0</v>
      </c>
      <c r="G12" s="172" t="s">
        <v>973</v>
      </c>
      <c r="H12" s="172" t="s">
        <v>972</v>
      </c>
      <c r="I12" s="172" t="s">
        <v>1000</v>
      </c>
      <c r="J12" s="171">
        <v>1</v>
      </c>
      <c r="K12" s="171">
        <v>1</v>
      </c>
      <c r="L12" s="171" t="s">
        <v>982</v>
      </c>
      <c r="M12" s="170">
        <v>1</v>
      </c>
      <c r="N12" s="169">
        <v>16</v>
      </c>
    </row>
    <row r="13" spans="1:14" x14ac:dyDescent="0.3">
      <c r="A13" s="175" t="s">
        <v>1168</v>
      </c>
      <c r="B13" s="174" t="s">
        <v>1069</v>
      </c>
      <c r="C13" s="174">
        <v>5</v>
      </c>
      <c r="D13" s="174" t="s">
        <v>1014</v>
      </c>
      <c r="E13" s="173" t="s">
        <v>1</v>
      </c>
      <c r="F13" s="172">
        <v>0</v>
      </c>
      <c r="G13" s="172" t="s">
        <v>492</v>
      </c>
      <c r="H13" s="172" t="s">
        <v>972</v>
      </c>
      <c r="I13" s="172" t="s">
        <v>1017</v>
      </c>
      <c r="J13" s="171">
        <v>1</v>
      </c>
      <c r="K13" s="171">
        <v>1</v>
      </c>
      <c r="L13" s="171" t="s">
        <v>982</v>
      </c>
      <c r="M13" s="170">
        <v>1</v>
      </c>
      <c r="N13" s="169">
        <v>18</v>
      </c>
    </row>
    <row r="14" spans="1:14" x14ac:dyDescent="0.3">
      <c r="A14" s="175" t="s">
        <v>1040</v>
      </c>
      <c r="B14" s="174" t="s">
        <v>1040</v>
      </c>
      <c r="C14" s="174">
        <v>5</v>
      </c>
      <c r="D14" s="174" t="s">
        <v>1014</v>
      </c>
      <c r="E14" s="173" t="s">
        <v>10</v>
      </c>
      <c r="F14" s="172">
        <v>0</v>
      </c>
      <c r="G14" s="172" t="s">
        <v>492</v>
      </c>
      <c r="H14" s="172" t="s">
        <v>205</v>
      </c>
      <c r="I14" s="172" t="s">
        <v>1017</v>
      </c>
      <c r="J14" s="176">
        <v>15</v>
      </c>
      <c r="K14" s="171">
        <v>10</v>
      </c>
      <c r="L14" s="171" t="s">
        <v>153</v>
      </c>
      <c r="M14" s="170">
        <v>1</v>
      </c>
      <c r="N14" s="169">
        <v>1200</v>
      </c>
    </row>
    <row r="15" spans="1:14" x14ac:dyDescent="0.3">
      <c r="A15" s="175" t="s">
        <v>1059</v>
      </c>
      <c r="B15" s="174" t="s">
        <v>1059</v>
      </c>
      <c r="C15" s="174">
        <v>5</v>
      </c>
      <c r="D15" s="174" t="s">
        <v>1014</v>
      </c>
      <c r="E15" s="173" t="s">
        <v>980</v>
      </c>
      <c r="F15" s="172">
        <v>0</v>
      </c>
      <c r="G15" s="172" t="s">
        <v>492</v>
      </c>
      <c r="H15" s="172" t="s">
        <v>492</v>
      </c>
      <c r="I15" s="172"/>
      <c r="J15" s="171">
        <v>1</v>
      </c>
      <c r="K15" s="171">
        <v>1</v>
      </c>
      <c r="L15" s="171" t="s">
        <v>970</v>
      </c>
      <c r="M15" s="170">
        <v>2</v>
      </c>
      <c r="N15" s="169">
        <v>10</v>
      </c>
    </row>
    <row r="16" spans="1:14" x14ac:dyDescent="0.3">
      <c r="A16" s="175" t="s">
        <v>1039</v>
      </c>
      <c r="B16" s="174" t="s">
        <v>1039</v>
      </c>
      <c r="C16" s="174">
        <v>5</v>
      </c>
      <c r="D16" s="174" t="s">
        <v>1014</v>
      </c>
      <c r="E16" s="173" t="s">
        <v>1038</v>
      </c>
      <c r="F16" s="172">
        <v>0</v>
      </c>
      <c r="G16" s="172" t="s">
        <v>492</v>
      </c>
      <c r="H16" s="172" t="s">
        <v>205</v>
      </c>
      <c r="I16" s="172" t="s">
        <v>971</v>
      </c>
      <c r="J16" s="171">
        <v>12</v>
      </c>
      <c r="K16" s="171">
        <v>10</v>
      </c>
      <c r="L16" s="171" t="s">
        <v>982</v>
      </c>
      <c r="M16" s="170">
        <v>1</v>
      </c>
      <c r="N16" s="169">
        <v>500</v>
      </c>
    </row>
    <row r="17" spans="1:14" x14ac:dyDescent="0.3">
      <c r="A17" s="175" t="s">
        <v>1058</v>
      </c>
      <c r="B17" s="174" t="s">
        <v>1058</v>
      </c>
      <c r="C17" s="174">
        <v>5</v>
      </c>
      <c r="D17" s="174" t="s">
        <v>1014</v>
      </c>
      <c r="E17" s="173" t="s">
        <v>980</v>
      </c>
      <c r="F17" s="172">
        <v>0</v>
      </c>
      <c r="G17" s="172" t="s">
        <v>492</v>
      </c>
      <c r="H17" s="172" t="s">
        <v>492</v>
      </c>
      <c r="I17" s="172"/>
      <c r="J17" s="171">
        <v>1</v>
      </c>
      <c r="K17" s="171">
        <v>1</v>
      </c>
      <c r="L17" s="171" t="s">
        <v>970</v>
      </c>
      <c r="M17" s="170">
        <v>2</v>
      </c>
      <c r="N17" s="169">
        <v>12</v>
      </c>
    </row>
    <row r="18" spans="1:14" x14ac:dyDescent="0.3">
      <c r="A18" s="175" t="s">
        <v>1057</v>
      </c>
      <c r="B18" s="174" t="s">
        <v>1057</v>
      </c>
      <c r="C18" s="174">
        <v>5</v>
      </c>
      <c r="D18" s="174" t="s">
        <v>1014</v>
      </c>
      <c r="E18" s="173" t="s">
        <v>1056</v>
      </c>
      <c r="F18" s="172">
        <v>0</v>
      </c>
      <c r="G18" s="172" t="s">
        <v>492</v>
      </c>
      <c r="H18" s="172" t="s">
        <v>990</v>
      </c>
      <c r="I18" s="172" t="s">
        <v>977</v>
      </c>
      <c r="J18" s="171">
        <v>1</v>
      </c>
      <c r="K18" s="171">
        <v>1</v>
      </c>
      <c r="L18" s="171" t="s">
        <v>970</v>
      </c>
      <c r="M18" s="170">
        <v>2</v>
      </c>
      <c r="N18" s="169">
        <v>17</v>
      </c>
    </row>
    <row r="19" spans="1:14" x14ac:dyDescent="0.3">
      <c r="A19" s="175" t="s">
        <v>1055</v>
      </c>
      <c r="B19" s="174" t="s">
        <v>1054</v>
      </c>
      <c r="C19" s="174">
        <v>5</v>
      </c>
      <c r="D19" s="174" t="s">
        <v>1014</v>
      </c>
      <c r="E19" s="173" t="s">
        <v>1052</v>
      </c>
      <c r="F19" s="172">
        <v>0</v>
      </c>
      <c r="G19" s="172" t="s">
        <v>973</v>
      </c>
      <c r="H19" s="172" t="s">
        <v>990</v>
      </c>
      <c r="I19" s="172" t="s">
        <v>1017</v>
      </c>
      <c r="J19" s="171">
        <v>1</v>
      </c>
      <c r="K19" s="171">
        <v>1</v>
      </c>
      <c r="L19" s="171" t="s">
        <v>970</v>
      </c>
      <c r="M19" s="170">
        <v>2</v>
      </c>
      <c r="N19" s="169">
        <v>500</v>
      </c>
    </row>
    <row r="20" spans="1:14" x14ac:dyDescent="0.3">
      <c r="A20" s="175" t="s">
        <v>1106</v>
      </c>
      <c r="B20" s="174" t="s">
        <v>1105</v>
      </c>
      <c r="C20" s="174">
        <v>5</v>
      </c>
      <c r="D20" s="174" t="s">
        <v>1036</v>
      </c>
      <c r="E20" s="173" t="s">
        <v>1052</v>
      </c>
      <c r="F20" s="172">
        <v>0</v>
      </c>
      <c r="G20" s="171" t="s">
        <v>973</v>
      </c>
      <c r="H20" s="171" t="s">
        <v>205</v>
      </c>
      <c r="I20" s="171" t="s">
        <v>992</v>
      </c>
      <c r="J20" s="171" t="s">
        <v>970</v>
      </c>
      <c r="K20" s="171">
        <v>15</v>
      </c>
      <c r="L20" s="171" t="s">
        <v>970</v>
      </c>
      <c r="M20" s="170">
        <v>3</v>
      </c>
      <c r="N20" s="169">
        <v>16</v>
      </c>
    </row>
    <row r="21" spans="1:14" x14ac:dyDescent="0.3">
      <c r="A21" s="175" t="s">
        <v>1102</v>
      </c>
      <c r="B21" s="174" t="s">
        <v>1101</v>
      </c>
      <c r="C21" s="174">
        <v>5</v>
      </c>
      <c r="D21" s="174" t="s">
        <v>1036</v>
      </c>
      <c r="E21" s="173" t="s">
        <v>1052</v>
      </c>
      <c r="F21" s="172">
        <v>0</v>
      </c>
      <c r="G21" s="172" t="s">
        <v>973</v>
      </c>
      <c r="H21" s="172" t="s">
        <v>205</v>
      </c>
      <c r="I21" s="172" t="s">
        <v>1000</v>
      </c>
      <c r="J21" s="171">
        <v>1</v>
      </c>
      <c r="K21" s="171">
        <v>2</v>
      </c>
      <c r="L21" s="171" t="s">
        <v>982</v>
      </c>
      <c r="M21" s="170">
        <v>1</v>
      </c>
      <c r="N21" s="169">
        <v>14</v>
      </c>
    </row>
    <row r="22" spans="1:14" x14ac:dyDescent="0.3">
      <c r="A22" s="175" t="s">
        <v>1036</v>
      </c>
      <c r="B22" s="174" t="s">
        <v>1053</v>
      </c>
      <c r="C22" s="174">
        <v>5</v>
      </c>
      <c r="D22" s="174" t="s">
        <v>1036</v>
      </c>
      <c r="E22" s="173" t="s">
        <v>1052</v>
      </c>
      <c r="F22" s="172">
        <v>0</v>
      </c>
      <c r="G22" s="172" t="s">
        <v>973</v>
      </c>
      <c r="H22" s="172" t="s">
        <v>205</v>
      </c>
      <c r="I22" s="172" t="s">
        <v>992</v>
      </c>
      <c r="J22" s="171" t="s">
        <v>1022</v>
      </c>
      <c r="K22" s="171">
        <v>20</v>
      </c>
      <c r="L22" s="171" t="s">
        <v>105</v>
      </c>
      <c r="M22" s="170">
        <v>2.5</v>
      </c>
      <c r="N22" s="169">
        <v>1200</v>
      </c>
    </row>
    <row r="23" spans="1:14" x14ac:dyDescent="0.3">
      <c r="A23" s="175" t="s">
        <v>1104</v>
      </c>
      <c r="B23" s="174" t="s">
        <v>1103</v>
      </c>
      <c r="C23" s="174">
        <v>5</v>
      </c>
      <c r="D23" s="174" t="s">
        <v>1036</v>
      </c>
      <c r="E23" s="173" t="s">
        <v>1052</v>
      </c>
      <c r="F23" s="172">
        <v>0</v>
      </c>
      <c r="G23" s="172" t="s">
        <v>973</v>
      </c>
      <c r="H23" s="172" t="s">
        <v>205</v>
      </c>
      <c r="I23" s="172" t="s">
        <v>985</v>
      </c>
      <c r="J23" s="171" t="s">
        <v>970</v>
      </c>
      <c r="K23" s="171">
        <v>17</v>
      </c>
      <c r="L23" s="171" t="s">
        <v>970</v>
      </c>
      <c r="M23" s="170">
        <v>2</v>
      </c>
      <c r="N23" s="169">
        <v>18</v>
      </c>
    </row>
    <row r="24" spans="1:14" x14ac:dyDescent="0.3">
      <c r="A24" s="175" t="s">
        <v>1100</v>
      </c>
      <c r="B24" s="174" t="s">
        <v>1099</v>
      </c>
      <c r="C24" s="174">
        <v>5</v>
      </c>
      <c r="D24" s="174" t="s">
        <v>1036</v>
      </c>
      <c r="E24" s="173" t="s">
        <v>1052</v>
      </c>
      <c r="F24" s="172">
        <v>0</v>
      </c>
      <c r="G24" s="172" t="s">
        <v>973</v>
      </c>
      <c r="H24" s="172" t="s">
        <v>205</v>
      </c>
      <c r="I24" s="172" t="s">
        <v>992</v>
      </c>
      <c r="J24" s="171" t="s">
        <v>1022</v>
      </c>
      <c r="K24" s="171">
        <v>32</v>
      </c>
      <c r="L24" s="171" t="s">
        <v>105</v>
      </c>
      <c r="M24" s="170">
        <v>4</v>
      </c>
      <c r="N24" s="169">
        <v>14</v>
      </c>
    </row>
    <row r="25" spans="1:14" x14ac:dyDescent="0.3">
      <c r="A25" s="175" t="s">
        <v>1079</v>
      </c>
      <c r="B25" s="174" t="s">
        <v>1078</v>
      </c>
      <c r="C25" s="174">
        <v>5</v>
      </c>
      <c r="D25" s="174" t="s">
        <v>1074</v>
      </c>
      <c r="E25" s="173" t="s">
        <v>1077</v>
      </c>
      <c r="F25" s="172">
        <v>0</v>
      </c>
      <c r="G25" s="172" t="s">
        <v>973</v>
      </c>
      <c r="H25" s="172" t="s">
        <v>972</v>
      </c>
      <c r="I25" s="172" t="s">
        <v>1024</v>
      </c>
      <c r="J25" s="171">
        <v>1</v>
      </c>
      <c r="K25" s="171">
        <v>1</v>
      </c>
      <c r="L25" s="171" t="s">
        <v>989</v>
      </c>
      <c r="M25" s="170">
        <v>5</v>
      </c>
      <c r="N25" s="169">
        <v>15</v>
      </c>
    </row>
    <row r="26" spans="1:14" x14ac:dyDescent="0.3">
      <c r="A26" s="175" t="s">
        <v>1076</v>
      </c>
      <c r="B26" s="174" t="s">
        <v>1075</v>
      </c>
      <c r="C26" s="174">
        <v>5</v>
      </c>
      <c r="D26" s="174" t="s">
        <v>1074</v>
      </c>
      <c r="E26" s="173" t="s">
        <v>1025</v>
      </c>
      <c r="F26" s="172">
        <v>0</v>
      </c>
      <c r="G26" s="172" t="s">
        <v>973</v>
      </c>
      <c r="H26" s="172" t="s">
        <v>972</v>
      </c>
      <c r="I26" s="172" t="s">
        <v>1027</v>
      </c>
      <c r="J26" s="171">
        <v>1</v>
      </c>
      <c r="K26" s="171">
        <v>1</v>
      </c>
      <c r="L26" s="171" t="s">
        <v>989</v>
      </c>
      <c r="M26" s="170">
        <v>7</v>
      </c>
      <c r="N26" s="169">
        <v>14</v>
      </c>
    </row>
    <row r="27" spans="1:14" x14ac:dyDescent="0.3">
      <c r="A27" s="175" t="s">
        <v>1157</v>
      </c>
      <c r="B27" s="174" t="s">
        <v>1098</v>
      </c>
      <c r="C27" s="174">
        <v>5</v>
      </c>
      <c r="D27" s="174" t="s">
        <v>1031</v>
      </c>
      <c r="E27" s="173" t="s">
        <v>1035</v>
      </c>
      <c r="F27" s="172">
        <v>0</v>
      </c>
      <c r="G27" s="172" t="s">
        <v>973</v>
      </c>
      <c r="H27" s="172" t="s">
        <v>205</v>
      </c>
      <c r="I27" s="172" t="s">
        <v>1027</v>
      </c>
      <c r="J27" s="171" t="s">
        <v>1022</v>
      </c>
      <c r="K27" s="171">
        <v>30</v>
      </c>
      <c r="L27" s="171" t="s">
        <v>989</v>
      </c>
      <c r="M27" s="170">
        <v>10</v>
      </c>
      <c r="N27" s="169">
        <v>15</v>
      </c>
    </row>
    <row r="28" spans="1:14" x14ac:dyDescent="0.3">
      <c r="A28" s="175" t="s">
        <v>1092</v>
      </c>
      <c r="B28" s="174" t="s">
        <v>1091</v>
      </c>
      <c r="C28" s="174">
        <v>5</v>
      </c>
      <c r="D28" s="174" t="s">
        <v>1031</v>
      </c>
      <c r="E28" s="173" t="s">
        <v>1035</v>
      </c>
      <c r="F28" s="172">
        <v>0</v>
      </c>
      <c r="G28" s="172" t="s">
        <v>973</v>
      </c>
      <c r="H28" s="172" t="s">
        <v>205</v>
      </c>
      <c r="I28" s="172" t="s">
        <v>985</v>
      </c>
      <c r="J28" s="171" t="s">
        <v>970</v>
      </c>
      <c r="K28" s="171">
        <v>5</v>
      </c>
      <c r="L28" s="171" t="s">
        <v>989</v>
      </c>
      <c r="M28" s="170">
        <v>9</v>
      </c>
      <c r="N28" s="169">
        <v>16</v>
      </c>
    </row>
    <row r="29" spans="1:14" x14ac:dyDescent="0.3">
      <c r="A29" s="175" t="s">
        <v>1097</v>
      </c>
      <c r="B29" s="174" t="s">
        <v>1096</v>
      </c>
      <c r="C29" s="174">
        <v>5</v>
      </c>
      <c r="D29" s="174" t="s">
        <v>1031</v>
      </c>
      <c r="E29" s="173" t="s">
        <v>1045</v>
      </c>
      <c r="F29" s="172">
        <v>0</v>
      </c>
      <c r="G29" s="172" t="s">
        <v>973</v>
      </c>
      <c r="H29" s="172" t="s">
        <v>205</v>
      </c>
      <c r="I29" s="172" t="s">
        <v>1095</v>
      </c>
      <c r="J29" s="171" t="s">
        <v>970</v>
      </c>
      <c r="K29" s="171">
        <v>5</v>
      </c>
      <c r="L29" s="171" t="s">
        <v>989</v>
      </c>
      <c r="M29" s="170">
        <v>16</v>
      </c>
      <c r="N29" s="169">
        <v>22</v>
      </c>
    </row>
    <row r="30" spans="1:14" x14ac:dyDescent="0.3">
      <c r="A30" s="175" t="s">
        <v>1083</v>
      </c>
      <c r="B30" s="174" t="s">
        <v>1082</v>
      </c>
      <c r="C30" s="174">
        <v>5</v>
      </c>
      <c r="D30" s="174" t="s">
        <v>1031</v>
      </c>
      <c r="E30" s="173" t="s">
        <v>1081</v>
      </c>
      <c r="F30" s="172">
        <v>0</v>
      </c>
      <c r="G30" s="172" t="s">
        <v>973</v>
      </c>
      <c r="H30" s="172" t="s">
        <v>205</v>
      </c>
      <c r="I30" s="172" t="s">
        <v>1080</v>
      </c>
      <c r="J30" s="171" t="s">
        <v>1043</v>
      </c>
      <c r="K30" s="171" t="s">
        <v>1042</v>
      </c>
      <c r="L30" s="171" t="s">
        <v>1041</v>
      </c>
      <c r="M30" s="170">
        <v>75</v>
      </c>
      <c r="N30" s="169">
        <v>22</v>
      </c>
    </row>
    <row r="31" spans="1:14" x14ac:dyDescent="0.3">
      <c r="A31" s="175" t="s">
        <v>1085</v>
      </c>
      <c r="B31" s="174" t="s">
        <v>1084</v>
      </c>
      <c r="C31" s="174">
        <v>5</v>
      </c>
      <c r="D31" s="174" t="s">
        <v>1031</v>
      </c>
      <c r="E31" s="173" t="s">
        <v>1035</v>
      </c>
      <c r="F31" s="172">
        <v>0</v>
      </c>
      <c r="G31" s="172" t="s">
        <v>973</v>
      </c>
      <c r="H31" s="172" t="s">
        <v>205</v>
      </c>
      <c r="I31" s="172" t="s">
        <v>1044</v>
      </c>
      <c r="J31" s="171" t="s">
        <v>1043</v>
      </c>
      <c r="K31" s="171" t="s">
        <v>1042</v>
      </c>
      <c r="L31" s="171" t="s">
        <v>1041</v>
      </c>
      <c r="M31" s="170">
        <v>22</v>
      </c>
      <c r="N31" s="169">
        <v>21</v>
      </c>
    </row>
    <row r="32" spans="1:14" x14ac:dyDescent="0.3">
      <c r="A32" s="175" t="s">
        <v>1051</v>
      </c>
      <c r="B32" s="174" t="s">
        <v>1050</v>
      </c>
      <c r="C32" s="174">
        <v>5</v>
      </c>
      <c r="D32" s="174" t="s">
        <v>1031</v>
      </c>
      <c r="E32" s="173" t="s">
        <v>1035</v>
      </c>
      <c r="F32" s="172">
        <v>0</v>
      </c>
      <c r="G32" s="172" t="s">
        <v>973</v>
      </c>
      <c r="H32" s="172" t="s">
        <v>205</v>
      </c>
      <c r="I32" s="172" t="s">
        <v>1027</v>
      </c>
      <c r="J32" s="171" t="s">
        <v>970</v>
      </c>
      <c r="K32" s="171">
        <v>30</v>
      </c>
      <c r="L32" s="171" t="s">
        <v>989</v>
      </c>
      <c r="M32" s="170">
        <v>18</v>
      </c>
      <c r="N32" s="169">
        <v>12000</v>
      </c>
    </row>
    <row r="33" spans="1:14" x14ac:dyDescent="0.3">
      <c r="A33" s="175" t="s">
        <v>1087</v>
      </c>
      <c r="B33" s="174" t="s">
        <v>1086</v>
      </c>
      <c r="C33" s="174">
        <v>5</v>
      </c>
      <c r="D33" s="174" t="s">
        <v>1031</v>
      </c>
      <c r="E33" s="173" t="s">
        <v>1045</v>
      </c>
      <c r="F33" s="172">
        <v>0</v>
      </c>
      <c r="G33" s="172" t="s">
        <v>973</v>
      </c>
      <c r="H33" s="172" t="s">
        <v>205</v>
      </c>
      <c r="I33" s="172" t="s">
        <v>1033</v>
      </c>
      <c r="J33" s="171">
        <v>1</v>
      </c>
      <c r="K33" s="171">
        <v>5</v>
      </c>
      <c r="L33" s="171" t="s">
        <v>989</v>
      </c>
      <c r="M33" s="170">
        <v>8</v>
      </c>
      <c r="N33" s="169">
        <v>17</v>
      </c>
    </row>
    <row r="34" spans="1:14" x14ac:dyDescent="0.3">
      <c r="A34" s="175" t="s">
        <v>1090</v>
      </c>
      <c r="B34" s="174" t="s">
        <v>1090</v>
      </c>
      <c r="C34" s="174">
        <v>5</v>
      </c>
      <c r="D34" s="174" t="s">
        <v>1031</v>
      </c>
      <c r="E34" s="173" t="s">
        <v>1035</v>
      </c>
      <c r="F34" s="172">
        <v>0</v>
      </c>
      <c r="G34" s="172" t="s">
        <v>973</v>
      </c>
      <c r="H34" s="172" t="s">
        <v>205</v>
      </c>
      <c r="I34" s="172" t="s">
        <v>1000</v>
      </c>
      <c r="J34" s="171" t="s">
        <v>970</v>
      </c>
      <c r="K34" s="171">
        <v>2</v>
      </c>
      <c r="L34" s="171" t="s">
        <v>105</v>
      </c>
      <c r="M34" s="170">
        <v>4</v>
      </c>
      <c r="N34" s="169">
        <v>15</v>
      </c>
    </row>
    <row r="35" spans="1:14" x14ac:dyDescent="0.3">
      <c r="A35" s="175" t="s">
        <v>1089</v>
      </c>
      <c r="B35" s="174" t="s">
        <v>1088</v>
      </c>
      <c r="C35" s="174">
        <v>5</v>
      </c>
      <c r="D35" s="174" t="s">
        <v>1031</v>
      </c>
      <c r="E35" s="173" t="s">
        <v>1035</v>
      </c>
      <c r="F35" s="172">
        <v>0</v>
      </c>
      <c r="G35" s="172" t="s">
        <v>973</v>
      </c>
      <c r="H35" s="172" t="s">
        <v>205</v>
      </c>
      <c r="I35" s="172" t="s">
        <v>1033</v>
      </c>
      <c r="J35" s="171" t="s">
        <v>1022</v>
      </c>
      <c r="K35" s="171">
        <v>30</v>
      </c>
      <c r="L35" s="171" t="s">
        <v>989</v>
      </c>
      <c r="M35" s="170">
        <v>9</v>
      </c>
      <c r="N35" s="169">
        <v>19</v>
      </c>
    </row>
    <row r="36" spans="1:14" x14ac:dyDescent="0.3">
      <c r="A36" s="175" t="s">
        <v>1049</v>
      </c>
      <c r="B36" s="174" t="s">
        <v>1048</v>
      </c>
      <c r="C36" s="174">
        <v>5</v>
      </c>
      <c r="D36" s="174" t="s">
        <v>1031</v>
      </c>
      <c r="E36" s="173" t="s">
        <v>1045</v>
      </c>
      <c r="F36" s="172">
        <v>0</v>
      </c>
      <c r="G36" s="172" t="s">
        <v>973</v>
      </c>
      <c r="H36" s="172" t="s">
        <v>205</v>
      </c>
      <c r="I36" s="172" t="s">
        <v>1029</v>
      </c>
      <c r="J36" s="171" t="s">
        <v>970</v>
      </c>
      <c r="K36" s="171">
        <v>15</v>
      </c>
      <c r="L36" s="171" t="s">
        <v>989</v>
      </c>
      <c r="M36" s="170">
        <v>14</v>
      </c>
      <c r="N36" s="169">
        <v>2750</v>
      </c>
    </row>
    <row r="37" spans="1:14" x14ac:dyDescent="0.3">
      <c r="A37" s="175" t="s">
        <v>1047</v>
      </c>
      <c r="B37" s="174" t="s">
        <v>1046</v>
      </c>
      <c r="C37" s="174">
        <v>5</v>
      </c>
      <c r="D37" s="174" t="s">
        <v>1031</v>
      </c>
      <c r="E37" s="173" t="s">
        <v>1045</v>
      </c>
      <c r="F37" s="172">
        <v>0</v>
      </c>
      <c r="G37" s="172" t="s">
        <v>973</v>
      </c>
      <c r="H37" s="172" t="s">
        <v>205</v>
      </c>
      <c r="I37" s="172" t="s">
        <v>1044</v>
      </c>
      <c r="J37" s="171" t="s">
        <v>1043</v>
      </c>
      <c r="K37" s="171" t="s">
        <v>1042</v>
      </c>
      <c r="L37" s="171" t="s">
        <v>1041</v>
      </c>
      <c r="M37" s="170">
        <v>42</v>
      </c>
      <c r="N37" s="169">
        <v>3500</v>
      </c>
    </row>
    <row r="38" spans="1:14" x14ac:dyDescent="0.3">
      <c r="A38" s="175" t="s">
        <v>1094</v>
      </c>
      <c r="B38" s="174" t="s">
        <v>1093</v>
      </c>
      <c r="C38" s="174">
        <v>5</v>
      </c>
      <c r="D38" s="174" t="s">
        <v>1031</v>
      </c>
      <c r="E38" s="173" t="s">
        <v>1052</v>
      </c>
      <c r="F38" s="172">
        <v>0</v>
      </c>
      <c r="G38" s="172" t="s">
        <v>973</v>
      </c>
      <c r="H38" s="172" t="s">
        <v>205</v>
      </c>
      <c r="I38" s="172" t="s">
        <v>992</v>
      </c>
      <c r="J38" s="171" t="s">
        <v>1022</v>
      </c>
      <c r="K38" s="171">
        <v>20</v>
      </c>
      <c r="L38" s="171" t="s">
        <v>989</v>
      </c>
      <c r="M38" s="170">
        <v>8</v>
      </c>
      <c r="N38" s="169">
        <v>18</v>
      </c>
    </row>
    <row r="39" spans="1:14" x14ac:dyDescent="0.3">
      <c r="A39" s="175" t="s">
        <v>991</v>
      </c>
      <c r="B39" s="174" t="s">
        <v>991</v>
      </c>
      <c r="C39" s="174">
        <v>5</v>
      </c>
      <c r="D39" s="174" t="s">
        <v>980</v>
      </c>
      <c r="E39" s="173" t="s">
        <v>12</v>
      </c>
      <c r="F39" s="172">
        <v>0</v>
      </c>
      <c r="G39" s="172" t="s">
        <v>973</v>
      </c>
      <c r="H39" s="172" t="s">
        <v>990</v>
      </c>
      <c r="I39" s="172" t="s">
        <v>492</v>
      </c>
      <c r="J39" s="171">
        <v>1</v>
      </c>
      <c r="K39" s="171">
        <v>10</v>
      </c>
      <c r="L39" s="171" t="s">
        <v>989</v>
      </c>
      <c r="M39" s="170">
        <v>50</v>
      </c>
      <c r="N39" s="169">
        <v>900</v>
      </c>
    </row>
    <row r="40" spans="1:14" x14ac:dyDescent="0.3">
      <c r="A40" s="175" t="s">
        <v>984</v>
      </c>
      <c r="B40" s="174" t="s">
        <v>984</v>
      </c>
      <c r="C40" s="174">
        <v>5</v>
      </c>
      <c r="D40" s="174" t="s">
        <v>980</v>
      </c>
      <c r="E40" s="173" t="s">
        <v>980</v>
      </c>
      <c r="F40" s="172">
        <v>0</v>
      </c>
      <c r="G40" s="172" t="s">
        <v>973</v>
      </c>
      <c r="H40" s="172" t="s">
        <v>983</v>
      </c>
      <c r="I40" s="172" t="s">
        <v>977</v>
      </c>
      <c r="J40" s="171">
        <v>1</v>
      </c>
      <c r="K40" s="171">
        <v>1</v>
      </c>
      <c r="L40" s="171" t="s">
        <v>982</v>
      </c>
      <c r="M40" s="170">
        <v>0.5</v>
      </c>
      <c r="N40" s="169">
        <v>30</v>
      </c>
    </row>
    <row r="41" spans="1:14" x14ac:dyDescent="0.3">
      <c r="A41" s="175" t="s">
        <v>981</v>
      </c>
      <c r="B41" s="174" t="s">
        <v>981</v>
      </c>
      <c r="C41" s="174">
        <v>5</v>
      </c>
      <c r="D41" s="174" t="s">
        <v>980</v>
      </c>
      <c r="E41" s="173" t="s">
        <v>979</v>
      </c>
      <c r="F41" s="172">
        <v>0</v>
      </c>
      <c r="G41" s="172" t="s">
        <v>973</v>
      </c>
      <c r="H41" s="172" t="s">
        <v>978</v>
      </c>
      <c r="I41" s="172" t="s">
        <v>977</v>
      </c>
      <c r="J41" s="171">
        <v>1</v>
      </c>
      <c r="K41" s="171" t="s">
        <v>492</v>
      </c>
      <c r="L41" s="171" t="s">
        <v>970</v>
      </c>
      <c r="M41" s="170">
        <v>7</v>
      </c>
      <c r="N41" s="169">
        <v>55</v>
      </c>
    </row>
    <row r="42" spans="1:14" x14ac:dyDescent="0.3">
      <c r="A42" s="175" t="s">
        <v>946</v>
      </c>
      <c r="B42" s="174" t="s">
        <v>1013</v>
      </c>
      <c r="C42" s="174">
        <v>6</v>
      </c>
      <c r="D42" s="174" t="s">
        <v>975</v>
      </c>
      <c r="E42" s="173" t="s">
        <v>993</v>
      </c>
      <c r="F42" s="172" t="s">
        <v>997</v>
      </c>
      <c r="G42" s="172" t="s">
        <v>1012</v>
      </c>
      <c r="H42" s="172" t="s">
        <v>972</v>
      </c>
      <c r="I42" s="172" t="s">
        <v>492</v>
      </c>
      <c r="J42" s="172" t="s">
        <v>492</v>
      </c>
      <c r="K42" s="172" t="s">
        <v>492</v>
      </c>
      <c r="L42" s="171" t="s">
        <v>105</v>
      </c>
      <c r="M42" s="170">
        <v>6</v>
      </c>
      <c r="N42" s="169">
        <v>400</v>
      </c>
    </row>
    <row r="43" spans="1:14" x14ac:dyDescent="0.3">
      <c r="A43" s="175" t="s">
        <v>947</v>
      </c>
      <c r="B43" s="174" t="s">
        <v>1011</v>
      </c>
      <c r="C43" s="174">
        <v>6</v>
      </c>
      <c r="D43" s="174" t="s">
        <v>975</v>
      </c>
      <c r="E43" s="173" t="s">
        <v>1004</v>
      </c>
      <c r="F43" s="172" t="s">
        <v>997</v>
      </c>
      <c r="G43" s="172" t="s">
        <v>973</v>
      </c>
      <c r="H43" s="172" t="s">
        <v>972</v>
      </c>
      <c r="I43" s="172" t="s">
        <v>492</v>
      </c>
      <c r="J43" s="172" t="s">
        <v>492</v>
      </c>
      <c r="K43" s="172" t="s">
        <v>492</v>
      </c>
      <c r="L43" s="171" t="s">
        <v>989</v>
      </c>
      <c r="M43" s="170">
        <v>7</v>
      </c>
      <c r="N43" s="169">
        <v>100</v>
      </c>
    </row>
    <row r="44" spans="1:14" x14ac:dyDescent="0.3">
      <c r="A44" s="175" t="s">
        <v>1010</v>
      </c>
      <c r="B44" s="174" t="s">
        <v>1009</v>
      </c>
      <c r="C44" s="174">
        <v>6</v>
      </c>
      <c r="D44" s="174" t="s">
        <v>975</v>
      </c>
      <c r="E44" s="173" t="s">
        <v>993</v>
      </c>
      <c r="F44" s="172" t="s">
        <v>997</v>
      </c>
      <c r="G44" s="172" t="s">
        <v>1003</v>
      </c>
      <c r="H44" s="172" t="s">
        <v>972</v>
      </c>
      <c r="I44" s="172" t="s">
        <v>492</v>
      </c>
      <c r="J44" s="172" t="s">
        <v>492</v>
      </c>
      <c r="K44" s="172" t="s">
        <v>492</v>
      </c>
      <c r="L44" s="171" t="s">
        <v>989</v>
      </c>
      <c r="M44" s="170">
        <v>15</v>
      </c>
      <c r="N44" s="169">
        <v>50</v>
      </c>
    </row>
    <row r="45" spans="1:14" x14ac:dyDescent="0.3">
      <c r="A45" s="175" t="s">
        <v>1008</v>
      </c>
      <c r="B45" s="174" t="s">
        <v>1007</v>
      </c>
      <c r="C45" s="174">
        <v>6</v>
      </c>
      <c r="D45" s="174" t="s">
        <v>975</v>
      </c>
      <c r="E45" s="173" t="s">
        <v>979</v>
      </c>
      <c r="F45" s="172" t="s">
        <v>997</v>
      </c>
      <c r="G45" s="172" t="s">
        <v>973</v>
      </c>
      <c r="H45" s="172" t="s">
        <v>1006</v>
      </c>
      <c r="I45" s="172" t="s">
        <v>492</v>
      </c>
      <c r="J45" s="172" t="s">
        <v>492</v>
      </c>
      <c r="K45" s="172" t="s">
        <v>492</v>
      </c>
      <c r="L45" s="171" t="s">
        <v>970</v>
      </c>
      <c r="M45" s="170">
        <v>2</v>
      </c>
      <c r="N45" s="169">
        <v>10</v>
      </c>
    </row>
    <row r="46" spans="1:14" x14ac:dyDescent="0.3">
      <c r="A46" s="175" t="s">
        <v>948</v>
      </c>
      <c r="B46" s="174" t="s">
        <v>1005</v>
      </c>
      <c r="C46" s="174">
        <v>6</v>
      </c>
      <c r="D46" s="174" t="s">
        <v>975</v>
      </c>
      <c r="E46" s="173" t="s">
        <v>1004</v>
      </c>
      <c r="F46" s="172" t="s">
        <v>997</v>
      </c>
      <c r="G46" s="172" t="s">
        <v>1003</v>
      </c>
      <c r="H46" s="172" t="s">
        <v>986</v>
      </c>
      <c r="I46" s="172" t="s">
        <v>492</v>
      </c>
      <c r="J46" s="172" t="s">
        <v>492</v>
      </c>
      <c r="K46" s="172" t="s">
        <v>492</v>
      </c>
      <c r="L46" s="171" t="s">
        <v>989</v>
      </c>
      <c r="M46" s="170">
        <v>10</v>
      </c>
      <c r="N46" s="169">
        <v>95</v>
      </c>
    </row>
    <row r="47" spans="1:14" x14ac:dyDescent="0.3">
      <c r="A47" s="175" t="s">
        <v>1002</v>
      </c>
      <c r="B47" s="174" t="s">
        <v>1001</v>
      </c>
      <c r="C47" s="174">
        <v>6</v>
      </c>
      <c r="D47" s="174" t="s">
        <v>975</v>
      </c>
      <c r="E47" s="173">
        <v>1</v>
      </c>
      <c r="F47" s="172" t="s">
        <v>997</v>
      </c>
      <c r="G47" s="172" t="s">
        <v>973</v>
      </c>
      <c r="H47" s="172" t="s">
        <v>986</v>
      </c>
      <c r="I47" s="172" t="s">
        <v>1000</v>
      </c>
      <c r="J47" s="172" t="s">
        <v>997</v>
      </c>
      <c r="K47" s="172" t="s">
        <v>492</v>
      </c>
      <c r="L47" s="171" t="s">
        <v>982</v>
      </c>
      <c r="M47" s="170">
        <v>0.5</v>
      </c>
      <c r="N47" s="169">
        <v>1</v>
      </c>
    </row>
    <row r="48" spans="1:14" x14ac:dyDescent="0.3">
      <c r="A48" s="175" t="s">
        <v>999</v>
      </c>
      <c r="B48" s="174" t="s">
        <v>998</v>
      </c>
      <c r="C48" s="174">
        <v>6</v>
      </c>
      <c r="D48" s="174" t="s">
        <v>975</v>
      </c>
      <c r="E48" s="173" t="s">
        <v>987</v>
      </c>
      <c r="F48" s="172" t="s">
        <v>997</v>
      </c>
      <c r="G48" s="172" t="s">
        <v>973</v>
      </c>
      <c r="H48" s="172" t="s">
        <v>986</v>
      </c>
      <c r="I48" s="172" t="s">
        <v>492</v>
      </c>
      <c r="J48" s="172" t="s">
        <v>492</v>
      </c>
      <c r="K48" s="172" t="s">
        <v>492</v>
      </c>
      <c r="L48" s="171" t="s">
        <v>105</v>
      </c>
      <c r="M48" s="170">
        <v>1</v>
      </c>
      <c r="N48" s="169">
        <v>3</v>
      </c>
    </row>
    <row r="49" spans="1:14" x14ac:dyDescent="0.3">
      <c r="A49" s="175" t="s">
        <v>1063</v>
      </c>
      <c r="B49" s="174" t="s">
        <v>1062</v>
      </c>
      <c r="C49" s="174">
        <v>6</v>
      </c>
      <c r="D49" s="174" t="s">
        <v>1014</v>
      </c>
      <c r="E49" s="173" t="s">
        <v>987</v>
      </c>
      <c r="F49" s="172">
        <v>0</v>
      </c>
      <c r="G49" s="172" t="s">
        <v>973</v>
      </c>
      <c r="H49" s="172" t="s">
        <v>1061</v>
      </c>
      <c r="I49" s="172" t="s">
        <v>1000</v>
      </c>
      <c r="J49" s="171">
        <v>1</v>
      </c>
      <c r="K49" s="171">
        <v>1</v>
      </c>
      <c r="L49" s="171" t="s">
        <v>982</v>
      </c>
      <c r="M49" s="170">
        <v>1</v>
      </c>
      <c r="N49" s="169">
        <v>6</v>
      </c>
    </row>
    <row r="50" spans="1:14" x14ac:dyDescent="0.3">
      <c r="A50" s="175" t="s">
        <v>1021</v>
      </c>
      <c r="B50" s="174" t="s">
        <v>1021</v>
      </c>
      <c r="C50" s="174">
        <v>6</v>
      </c>
      <c r="D50" s="174" t="s">
        <v>1014</v>
      </c>
      <c r="E50" s="173" t="s">
        <v>1020</v>
      </c>
      <c r="F50" s="172" t="s">
        <v>1125</v>
      </c>
      <c r="G50" s="172" t="s">
        <v>492</v>
      </c>
      <c r="H50" s="172" t="s">
        <v>1019</v>
      </c>
      <c r="I50" s="172" t="s">
        <v>971</v>
      </c>
      <c r="J50" s="171">
        <v>1</v>
      </c>
      <c r="K50" s="171">
        <v>1</v>
      </c>
      <c r="L50" s="171" t="s">
        <v>982</v>
      </c>
      <c r="M50" s="170">
        <v>1</v>
      </c>
      <c r="N50" s="169">
        <v>500</v>
      </c>
    </row>
    <row r="51" spans="1:14" x14ac:dyDescent="0.3">
      <c r="A51" s="175" t="s">
        <v>1018</v>
      </c>
      <c r="B51" s="174" t="s">
        <v>1018</v>
      </c>
      <c r="C51" s="174">
        <v>6</v>
      </c>
      <c r="D51" s="174" t="s">
        <v>1014</v>
      </c>
      <c r="E51" s="173" t="s">
        <v>980</v>
      </c>
      <c r="F51" s="172">
        <v>0</v>
      </c>
      <c r="G51" s="172" t="s">
        <v>492</v>
      </c>
      <c r="H51" s="172" t="s">
        <v>978</v>
      </c>
      <c r="I51" s="172" t="s">
        <v>1017</v>
      </c>
      <c r="J51" s="171">
        <v>1</v>
      </c>
      <c r="K51" s="171">
        <v>1</v>
      </c>
      <c r="L51" s="171" t="s">
        <v>970</v>
      </c>
      <c r="M51" s="170">
        <v>2</v>
      </c>
      <c r="N51" s="169">
        <v>650</v>
      </c>
    </row>
    <row r="52" spans="1:14" x14ac:dyDescent="0.3">
      <c r="A52" s="175" t="s">
        <v>1016</v>
      </c>
      <c r="B52" s="174" t="s">
        <v>1016</v>
      </c>
      <c r="C52" s="174">
        <v>6</v>
      </c>
      <c r="D52" s="174" t="s">
        <v>1014</v>
      </c>
      <c r="E52" s="173" t="s">
        <v>12</v>
      </c>
      <c r="F52" s="172">
        <v>0</v>
      </c>
      <c r="G52" s="172" t="s">
        <v>492</v>
      </c>
      <c r="H52" s="172" t="s">
        <v>990</v>
      </c>
      <c r="I52" s="172" t="s">
        <v>1000</v>
      </c>
      <c r="J52" s="171">
        <v>1</v>
      </c>
      <c r="K52" s="171">
        <v>1</v>
      </c>
      <c r="L52" s="171" t="s">
        <v>970</v>
      </c>
      <c r="M52" s="170">
        <v>2</v>
      </c>
      <c r="N52" s="169">
        <v>1200</v>
      </c>
    </row>
    <row r="53" spans="1:14" x14ac:dyDescent="0.3">
      <c r="A53" s="175" t="s">
        <v>1121</v>
      </c>
      <c r="B53" s="174" t="s">
        <v>1121</v>
      </c>
      <c r="C53" s="174">
        <v>6</v>
      </c>
      <c r="D53" s="174" t="s">
        <v>1014</v>
      </c>
      <c r="E53" s="173" t="s">
        <v>980</v>
      </c>
      <c r="F53" s="172" t="s">
        <v>1125</v>
      </c>
      <c r="G53" s="172" t="s">
        <v>492</v>
      </c>
      <c r="H53" s="172" t="s">
        <v>492</v>
      </c>
      <c r="I53" s="172" t="s">
        <v>1000</v>
      </c>
      <c r="J53" s="171">
        <v>1</v>
      </c>
      <c r="K53" s="171">
        <v>1</v>
      </c>
      <c r="L53" s="171" t="s">
        <v>982</v>
      </c>
      <c r="M53" s="170">
        <v>1</v>
      </c>
      <c r="N53" s="169">
        <v>350</v>
      </c>
    </row>
    <row r="54" spans="1:14" x14ac:dyDescent="0.3">
      <c r="A54" s="175" t="s">
        <v>1060</v>
      </c>
      <c r="B54" s="174" t="s">
        <v>1060</v>
      </c>
      <c r="C54" s="174">
        <v>6</v>
      </c>
      <c r="D54" s="174" t="s">
        <v>1014</v>
      </c>
      <c r="E54" s="173" t="s">
        <v>987</v>
      </c>
      <c r="F54" s="172">
        <v>0</v>
      </c>
      <c r="G54" s="172" t="s">
        <v>973</v>
      </c>
      <c r="H54" s="172" t="s">
        <v>990</v>
      </c>
      <c r="I54" s="172" t="s">
        <v>1000</v>
      </c>
      <c r="J54" s="171">
        <v>1</v>
      </c>
      <c r="K54" s="171">
        <v>1</v>
      </c>
      <c r="L54" s="171" t="s">
        <v>970</v>
      </c>
      <c r="M54" s="170">
        <v>1</v>
      </c>
      <c r="N54" s="169">
        <v>6</v>
      </c>
    </row>
    <row r="55" spans="1:14" x14ac:dyDescent="0.3">
      <c r="A55" s="175" t="s">
        <v>1126</v>
      </c>
      <c r="B55" s="174" t="s">
        <v>1122</v>
      </c>
      <c r="C55" s="174">
        <v>6</v>
      </c>
      <c r="D55" s="174" t="s">
        <v>1014</v>
      </c>
      <c r="E55" s="173" t="s">
        <v>980</v>
      </c>
      <c r="F55" s="172" t="s">
        <v>1125</v>
      </c>
      <c r="G55" s="172" t="s">
        <v>492</v>
      </c>
      <c r="H55" s="172" t="s">
        <v>492</v>
      </c>
      <c r="I55" s="172" t="s">
        <v>1000</v>
      </c>
      <c r="J55" s="171">
        <v>1</v>
      </c>
      <c r="K55" s="171">
        <v>1</v>
      </c>
      <c r="L55" s="171" t="s">
        <v>982</v>
      </c>
      <c r="M55" s="170">
        <v>1</v>
      </c>
      <c r="N55" s="169">
        <v>350</v>
      </c>
    </row>
    <row r="56" spans="1:14" x14ac:dyDescent="0.3">
      <c r="A56" s="175" t="s">
        <v>1123</v>
      </c>
      <c r="B56" s="174" t="s">
        <v>1123</v>
      </c>
      <c r="C56" s="174">
        <v>6</v>
      </c>
      <c r="D56" s="174" t="s">
        <v>1014</v>
      </c>
      <c r="E56" s="173" t="s">
        <v>980</v>
      </c>
      <c r="F56" s="172" t="s">
        <v>1125</v>
      </c>
      <c r="G56" s="172" t="s">
        <v>492</v>
      </c>
      <c r="H56" s="172" t="s">
        <v>492</v>
      </c>
      <c r="I56" s="172" t="s">
        <v>1000</v>
      </c>
      <c r="J56" s="171">
        <v>1</v>
      </c>
      <c r="K56" s="171">
        <v>1</v>
      </c>
      <c r="L56" s="171" t="s">
        <v>970</v>
      </c>
      <c r="M56" s="170">
        <v>2</v>
      </c>
      <c r="N56" s="169">
        <v>500</v>
      </c>
    </row>
    <row r="57" spans="1:14" x14ac:dyDescent="0.3">
      <c r="A57" s="175" t="s">
        <v>1124</v>
      </c>
      <c r="B57" s="174" t="s">
        <v>1124</v>
      </c>
      <c r="C57" s="174">
        <v>6</v>
      </c>
      <c r="D57" s="174" t="s">
        <v>1014</v>
      </c>
      <c r="E57" s="173" t="s">
        <v>980</v>
      </c>
      <c r="F57" s="172" t="s">
        <v>1125</v>
      </c>
      <c r="G57" s="172" t="s">
        <v>492</v>
      </c>
      <c r="H57" s="172" t="s">
        <v>492</v>
      </c>
      <c r="I57" s="172" t="s">
        <v>1000</v>
      </c>
      <c r="J57" s="171">
        <v>1</v>
      </c>
      <c r="K57" s="171">
        <v>1</v>
      </c>
      <c r="L57" s="171" t="s">
        <v>970</v>
      </c>
      <c r="M57" s="170">
        <v>2</v>
      </c>
      <c r="N57" s="169">
        <v>900</v>
      </c>
    </row>
    <row r="58" spans="1:14" x14ac:dyDescent="0.3">
      <c r="A58" s="175" t="s">
        <v>1015</v>
      </c>
      <c r="B58" s="174" t="s">
        <v>1015</v>
      </c>
      <c r="C58" s="174">
        <v>6</v>
      </c>
      <c r="D58" s="174" t="s">
        <v>1014</v>
      </c>
      <c r="E58" s="173" t="s">
        <v>980</v>
      </c>
      <c r="F58" s="172">
        <v>0</v>
      </c>
      <c r="G58" s="172" t="s">
        <v>492</v>
      </c>
      <c r="H58" s="172" t="s">
        <v>492</v>
      </c>
      <c r="I58" s="172" t="s">
        <v>977</v>
      </c>
      <c r="J58" s="171">
        <v>1</v>
      </c>
      <c r="K58" s="171">
        <v>1</v>
      </c>
      <c r="L58" s="171" t="s">
        <v>982</v>
      </c>
      <c r="M58" s="170">
        <v>1</v>
      </c>
      <c r="N58" s="169">
        <v>350</v>
      </c>
    </row>
    <row r="59" spans="1:14" x14ac:dyDescent="0.3">
      <c r="A59" s="175" t="s">
        <v>1127</v>
      </c>
      <c r="B59" s="174" t="s">
        <v>1127</v>
      </c>
      <c r="C59" s="174">
        <v>6</v>
      </c>
      <c r="D59" s="174" t="s">
        <v>1036</v>
      </c>
      <c r="E59" s="173" t="s">
        <v>1035</v>
      </c>
      <c r="F59" s="172" t="s">
        <v>1125</v>
      </c>
      <c r="G59" s="172" t="s">
        <v>973</v>
      </c>
      <c r="H59" s="172" t="s">
        <v>205</v>
      </c>
      <c r="I59" s="172" t="s">
        <v>1138</v>
      </c>
      <c r="J59" s="171" t="s">
        <v>1022</v>
      </c>
      <c r="K59" s="171">
        <v>30</v>
      </c>
      <c r="L59" s="171" t="s">
        <v>105</v>
      </c>
      <c r="M59" s="170">
        <v>2</v>
      </c>
      <c r="N59" s="169">
        <v>1200</v>
      </c>
    </row>
    <row r="60" spans="1:14" x14ac:dyDescent="0.3">
      <c r="A60" s="175" t="s">
        <v>1136</v>
      </c>
      <c r="B60" s="174" t="s">
        <v>1129</v>
      </c>
      <c r="C60" s="174">
        <v>6</v>
      </c>
      <c r="D60" s="174" t="s">
        <v>1036</v>
      </c>
      <c r="E60" s="173" t="s">
        <v>1035</v>
      </c>
      <c r="F60" s="172" t="s">
        <v>1125</v>
      </c>
      <c r="G60" s="172" t="s">
        <v>973</v>
      </c>
      <c r="H60" s="172" t="s">
        <v>205</v>
      </c>
      <c r="I60" s="172" t="s">
        <v>992</v>
      </c>
      <c r="J60" s="171" t="s">
        <v>1022</v>
      </c>
      <c r="K60" s="171">
        <v>16</v>
      </c>
      <c r="L60" s="171" t="s">
        <v>105</v>
      </c>
      <c r="M60" s="170">
        <v>2</v>
      </c>
      <c r="N60" s="169">
        <v>1500</v>
      </c>
    </row>
    <row r="61" spans="1:14" x14ac:dyDescent="0.3">
      <c r="A61" s="175" t="s">
        <v>1131</v>
      </c>
      <c r="B61" s="174" t="s">
        <v>1131</v>
      </c>
      <c r="C61" s="174">
        <v>6</v>
      </c>
      <c r="D61" s="174" t="s">
        <v>1036</v>
      </c>
      <c r="E61" s="173" t="s">
        <v>1052</v>
      </c>
      <c r="F61" s="172" t="s">
        <v>1125</v>
      </c>
      <c r="G61" s="172" t="s">
        <v>973</v>
      </c>
      <c r="H61" s="172" t="s">
        <v>986</v>
      </c>
      <c r="I61" s="172" t="s">
        <v>992</v>
      </c>
      <c r="J61" s="171" t="s">
        <v>1022</v>
      </c>
      <c r="K61" s="171">
        <v>30</v>
      </c>
      <c r="L61" s="171" t="s">
        <v>105</v>
      </c>
      <c r="M61" s="170">
        <v>2</v>
      </c>
      <c r="N61" s="169">
        <v>2000</v>
      </c>
    </row>
    <row r="62" spans="1:14" x14ac:dyDescent="0.3">
      <c r="A62" s="175" t="s">
        <v>1133</v>
      </c>
      <c r="B62" s="174" t="s">
        <v>1133</v>
      </c>
      <c r="C62" s="174">
        <v>6</v>
      </c>
      <c r="D62" s="174" t="s">
        <v>1036</v>
      </c>
      <c r="E62" s="173" t="s">
        <v>1052</v>
      </c>
      <c r="F62" s="172" t="s">
        <v>1125</v>
      </c>
      <c r="G62" s="172" t="s">
        <v>973</v>
      </c>
      <c r="H62" s="172" t="s">
        <v>205</v>
      </c>
      <c r="I62" s="172" t="s">
        <v>1138</v>
      </c>
      <c r="J62" s="171" t="s">
        <v>970</v>
      </c>
      <c r="K62" s="171">
        <v>8</v>
      </c>
      <c r="L62" s="171" t="s">
        <v>105</v>
      </c>
      <c r="M62" s="170">
        <v>2</v>
      </c>
      <c r="N62" s="169">
        <v>350</v>
      </c>
    </row>
    <row r="63" spans="1:14" x14ac:dyDescent="0.3">
      <c r="A63" s="175" t="s">
        <v>1037</v>
      </c>
      <c r="B63" s="174" t="s">
        <v>1037</v>
      </c>
      <c r="C63" s="174">
        <v>6</v>
      </c>
      <c r="D63" s="174" t="s">
        <v>1036</v>
      </c>
      <c r="E63" s="173" t="s">
        <v>1035</v>
      </c>
      <c r="F63" s="172">
        <v>0</v>
      </c>
      <c r="G63" s="172" t="s">
        <v>973</v>
      </c>
      <c r="H63" s="172" t="s">
        <v>990</v>
      </c>
      <c r="I63" s="172" t="s">
        <v>992</v>
      </c>
      <c r="J63" s="171" t="s">
        <v>970</v>
      </c>
      <c r="K63" s="171">
        <v>50</v>
      </c>
      <c r="L63" s="171" t="s">
        <v>105</v>
      </c>
      <c r="M63" s="170">
        <v>3</v>
      </c>
      <c r="N63" s="169">
        <v>900</v>
      </c>
    </row>
    <row r="64" spans="1:14" x14ac:dyDescent="0.3">
      <c r="A64" s="175" t="s">
        <v>1135</v>
      </c>
      <c r="B64" s="174" t="s">
        <v>1135</v>
      </c>
      <c r="C64" s="174">
        <v>6</v>
      </c>
      <c r="D64" s="174" t="s">
        <v>1036</v>
      </c>
      <c r="E64" s="173" t="s">
        <v>980</v>
      </c>
      <c r="F64" s="172" t="s">
        <v>1125</v>
      </c>
      <c r="G64" s="172" t="s">
        <v>492</v>
      </c>
      <c r="H64" s="172" t="s">
        <v>205</v>
      </c>
      <c r="I64" s="172" t="s">
        <v>980</v>
      </c>
      <c r="J64" s="171" t="s">
        <v>970</v>
      </c>
      <c r="K64" s="171">
        <v>6</v>
      </c>
      <c r="L64" s="171" t="s">
        <v>105</v>
      </c>
      <c r="M64" s="170">
        <v>2</v>
      </c>
      <c r="N64" s="169">
        <v>1200</v>
      </c>
    </row>
    <row r="65" spans="1:14" x14ac:dyDescent="0.3">
      <c r="A65" s="175" t="s">
        <v>1140</v>
      </c>
      <c r="B65" s="174" t="s">
        <v>1140</v>
      </c>
      <c r="C65" s="174">
        <v>6</v>
      </c>
      <c r="D65" s="174" t="s">
        <v>1065</v>
      </c>
      <c r="E65" s="173" t="s">
        <v>1035</v>
      </c>
      <c r="F65" s="172" t="s">
        <v>1125</v>
      </c>
      <c r="G65" s="172" t="s">
        <v>1012</v>
      </c>
      <c r="H65" s="172" t="s">
        <v>972</v>
      </c>
      <c r="I65" s="172" t="s">
        <v>492</v>
      </c>
      <c r="J65" s="171" t="s">
        <v>492</v>
      </c>
      <c r="K65" s="171" t="s">
        <v>492</v>
      </c>
      <c r="L65" s="171" t="s">
        <v>989</v>
      </c>
      <c r="M65" s="170">
        <v>4</v>
      </c>
      <c r="N65" s="169">
        <v>900</v>
      </c>
    </row>
    <row r="66" spans="1:14" x14ac:dyDescent="0.3">
      <c r="A66" s="175" t="s">
        <v>1068</v>
      </c>
      <c r="B66" s="174" t="s">
        <v>1067</v>
      </c>
      <c r="C66" s="174">
        <v>6</v>
      </c>
      <c r="D66" s="174" t="s">
        <v>1065</v>
      </c>
      <c r="E66" s="173" t="s">
        <v>1052</v>
      </c>
      <c r="F66" s="172">
        <v>0</v>
      </c>
      <c r="G66" s="172" t="s">
        <v>1012</v>
      </c>
      <c r="H66" s="172" t="s">
        <v>972</v>
      </c>
      <c r="I66" s="172" t="s">
        <v>492</v>
      </c>
      <c r="J66" s="171" t="s">
        <v>492</v>
      </c>
      <c r="K66" s="171" t="s">
        <v>492</v>
      </c>
      <c r="L66" s="171" t="s">
        <v>989</v>
      </c>
      <c r="M66" s="170">
        <v>2</v>
      </c>
      <c r="N66" s="169">
        <v>15</v>
      </c>
    </row>
    <row r="67" spans="1:14" x14ac:dyDescent="0.3">
      <c r="A67" s="175" t="s">
        <v>1066</v>
      </c>
      <c r="B67" s="174" t="s">
        <v>1066</v>
      </c>
      <c r="C67" s="174">
        <v>6</v>
      </c>
      <c r="D67" s="174" t="s">
        <v>1065</v>
      </c>
      <c r="E67" s="173" t="s">
        <v>1064</v>
      </c>
      <c r="F67" s="172">
        <v>0</v>
      </c>
      <c r="G67" s="172" t="s">
        <v>973</v>
      </c>
      <c r="H67" s="172" t="s">
        <v>1006</v>
      </c>
      <c r="I67" s="172" t="s">
        <v>492</v>
      </c>
      <c r="J67" s="171" t="s">
        <v>492</v>
      </c>
      <c r="K67" s="171" t="s">
        <v>492</v>
      </c>
      <c r="L67" s="171" t="s">
        <v>105</v>
      </c>
      <c r="M67" s="170">
        <v>1</v>
      </c>
      <c r="N67" s="169">
        <v>16</v>
      </c>
    </row>
    <row r="68" spans="1:14" x14ac:dyDescent="0.3">
      <c r="A68" s="175" t="s">
        <v>1130</v>
      </c>
      <c r="B68" s="174" t="s">
        <v>1130</v>
      </c>
      <c r="C68" s="174">
        <v>6</v>
      </c>
      <c r="D68" s="174" t="s">
        <v>1031</v>
      </c>
      <c r="E68" s="173" t="s">
        <v>1045</v>
      </c>
      <c r="F68" s="172" t="s">
        <v>1125</v>
      </c>
      <c r="G68" s="172" t="s">
        <v>973</v>
      </c>
      <c r="H68" s="172" t="s">
        <v>205</v>
      </c>
      <c r="I68" s="172" t="s">
        <v>1024</v>
      </c>
      <c r="J68" s="171" t="s">
        <v>1022</v>
      </c>
      <c r="K68" s="171">
        <v>50</v>
      </c>
      <c r="L68" s="171" t="s">
        <v>989</v>
      </c>
      <c r="M68" s="170">
        <v>14</v>
      </c>
      <c r="N68" s="169">
        <v>6500</v>
      </c>
    </row>
    <row r="69" spans="1:14" x14ac:dyDescent="0.3">
      <c r="A69" s="175" t="s">
        <v>1128</v>
      </c>
      <c r="B69" s="174" t="s">
        <v>1128</v>
      </c>
      <c r="C69" s="174">
        <v>6</v>
      </c>
      <c r="D69" s="174" t="s">
        <v>1031</v>
      </c>
      <c r="E69" s="173" t="s">
        <v>1137</v>
      </c>
      <c r="F69" s="172" t="s">
        <v>1125</v>
      </c>
      <c r="G69" s="172" t="s">
        <v>973</v>
      </c>
      <c r="H69" s="172" t="s">
        <v>1019</v>
      </c>
      <c r="I69" s="172" t="s">
        <v>1000</v>
      </c>
      <c r="J69" s="171" t="s">
        <v>970</v>
      </c>
      <c r="K69" s="171" t="s">
        <v>980</v>
      </c>
      <c r="L69" s="171" t="s">
        <v>989</v>
      </c>
      <c r="M69" s="170">
        <v>9</v>
      </c>
      <c r="N69" s="169">
        <v>650</v>
      </c>
    </row>
    <row r="70" spans="1:14" x14ac:dyDescent="0.3">
      <c r="A70" s="175" t="s">
        <v>1132</v>
      </c>
      <c r="B70" s="174" t="s">
        <v>1132</v>
      </c>
      <c r="C70" s="174">
        <v>6</v>
      </c>
      <c r="D70" s="174" t="s">
        <v>1031</v>
      </c>
      <c r="E70" s="173" t="s">
        <v>1035</v>
      </c>
      <c r="F70" s="172" t="s">
        <v>1125</v>
      </c>
      <c r="G70" s="172" t="s">
        <v>973</v>
      </c>
      <c r="H70" s="172" t="s">
        <v>986</v>
      </c>
      <c r="I70" s="172" t="s">
        <v>1033</v>
      </c>
      <c r="J70" s="171" t="s">
        <v>1022</v>
      </c>
      <c r="K70" s="171">
        <v>50</v>
      </c>
      <c r="L70" s="171" t="s">
        <v>989</v>
      </c>
      <c r="M70" s="170">
        <v>12</v>
      </c>
      <c r="N70" s="169">
        <v>12000</v>
      </c>
    </row>
    <row r="71" spans="1:14" x14ac:dyDescent="0.3">
      <c r="A71" s="175" t="s">
        <v>1134</v>
      </c>
      <c r="B71" s="174" t="s">
        <v>1134</v>
      </c>
      <c r="C71" s="174">
        <v>6</v>
      </c>
      <c r="D71" s="174" t="s">
        <v>1031</v>
      </c>
      <c r="E71" s="173" t="s">
        <v>1052</v>
      </c>
      <c r="F71" s="172" t="s">
        <v>1125</v>
      </c>
      <c r="G71" s="172" t="s">
        <v>973</v>
      </c>
      <c r="H71" s="172" t="s">
        <v>205</v>
      </c>
      <c r="I71" s="172" t="s">
        <v>1139</v>
      </c>
      <c r="J71" s="171" t="s">
        <v>970</v>
      </c>
      <c r="K71" s="171">
        <v>15</v>
      </c>
      <c r="L71" s="171" t="s">
        <v>989</v>
      </c>
      <c r="M71" s="170">
        <v>15</v>
      </c>
      <c r="N71" s="169">
        <v>1200</v>
      </c>
    </row>
    <row r="72" spans="1:14" x14ac:dyDescent="0.3">
      <c r="A72" s="175" t="s">
        <v>1034</v>
      </c>
      <c r="B72" s="174" t="s">
        <v>1034</v>
      </c>
      <c r="C72" s="174">
        <v>6</v>
      </c>
      <c r="D72" s="174" t="s">
        <v>1031</v>
      </c>
      <c r="E72" s="173" t="s">
        <v>1030</v>
      </c>
      <c r="F72" s="172">
        <v>0</v>
      </c>
      <c r="G72" s="172" t="s">
        <v>973</v>
      </c>
      <c r="H72" s="172" t="s">
        <v>990</v>
      </c>
      <c r="I72" s="172" t="s">
        <v>1033</v>
      </c>
      <c r="J72" s="171" t="s">
        <v>1022</v>
      </c>
      <c r="K72" s="171">
        <v>50</v>
      </c>
      <c r="L72" s="171" t="s">
        <v>989</v>
      </c>
      <c r="M72" s="170">
        <v>8</v>
      </c>
      <c r="N72" s="169">
        <v>1500</v>
      </c>
    </row>
    <row r="73" spans="1:14" x14ac:dyDescent="0.3">
      <c r="A73" s="175" t="s">
        <v>1032</v>
      </c>
      <c r="B73" s="174" t="s">
        <v>1032</v>
      </c>
      <c r="C73" s="174">
        <v>6</v>
      </c>
      <c r="D73" s="174" t="s">
        <v>1031</v>
      </c>
      <c r="E73" s="173" t="s">
        <v>1030</v>
      </c>
      <c r="F73" s="172">
        <v>0</v>
      </c>
      <c r="G73" s="172" t="s">
        <v>973</v>
      </c>
      <c r="H73" s="172" t="s">
        <v>990</v>
      </c>
      <c r="I73" s="172" t="s">
        <v>1029</v>
      </c>
      <c r="J73" s="171" t="s">
        <v>970</v>
      </c>
      <c r="K73" s="171">
        <v>50</v>
      </c>
      <c r="L73" s="171" t="s">
        <v>989</v>
      </c>
      <c r="M73" s="170">
        <v>14</v>
      </c>
      <c r="N73" s="169">
        <v>2750</v>
      </c>
    </row>
    <row r="74" spans="1:14" x14ac:dyDescent="0.3">
      <c r="A74" s="175" t="s">
        <v>1028</v>
      </c>
      <c r="B74" s="174" t="s">
        <v>1028</v>
      </c>
      <c r="C74" s="174">
        <v>6</v>
      </c>
      <c r="D74" s="174" t="s">
        <v>980</v>
      </c>
      <c r="E74" s="173" t="s">
        <v>1025</v>
      </c>
      <c r="F74" s="172">
        <v>0</v>
      </c>
      <c r="G74" s="172" t="s">
        <v>973</v>
      </c>
      <c r="H74" s="172" t="s">
        <v>972</v>
      </c>
      <c r="I74" s="172" t="s">
        <v>1027</v>
      </c>
      <c r="J74" s="171">
        <v>1</v>
      </c>
      <c r="K74" s="171">
        <v>1</v>
      </c>
      <c r="L74" s="171" t="s">
        <v>105</v>
      </c>
      <c r="M74" s="170">
        <v>4</v>
      </c>
      <c r="N74" s="169">
        <v>2000</v>
      </c>
    </row>
    <row r="75" spans="1:14" x14ac:dyDescent="0.3">
      <c r="A75" s="175" t="s">
        <v>1026</v>
      </c>
      <c r="B75" s="174" t="s">
        <v>1026</v>
      </c>
      <c r="C75" s="174">
        <v>6</v>
      </c>
      <c r="D75" s="174" t="s">
        <v>980</v>
      </c>
      <c r="E75" s="173" t="s">
        <v>1025</v>
      </c>
      <c r="F75" s="172">
        <v>0</v>
      </c>
      <c r="G75" s="172" t="s">
        <v>973</v>
      </c>
      <c r="H75" s="172" t="s">
        <v>972</v>
      </c>
      <c r="I75" s="172" t="s">
        <v>1024</v>
      </c>
      <c r="J75" s="171">
        <v>1</v>
      </c>
      <c r="K75" s="171">
        <v>1</v>
      </c>
      <c r="L75" s="171" t="s">
        <v>105</v>
      </c>
      <c r="M75" s="170">
        <v>5</v>
      </c>
      <c r="N75" s="169">
        <v>5000</v>
      </c>
    </row>
    <row r="76" spans="1:14" ht="16.2" thickBot="1" x14ac:dyDescent="0.35">
      <c r="A76" s="200" t="s">
        <v>1023</v>
      </c>
      <c r="B76" s="202" t="s">
        <v>1023</v>
      </c>
      <c r="C76" s="202">
        <v>6</v>
      </c>
      <c r="D76" s="202" t="s">
        <v>980</v>
      </c>
      <c r="E76" s="204" t="s">
        <v>980</v>
      </c>
      <c r="F76" s="205">
        <v>0</v>
      </c>
      <c r="G76" s="205" t="s">
        <v>973</v>
      </c>
      <c r="H76" s="205" t="s">
        <v>205</v>
      </c>
      <c r="I76" s="205" t="s">
        <v>1017</v>
      </c>
      <c r="J76" s="206" t="s">
        <v>1022</v>
      </c>
      <c r="K76" s="206">
        <v>20</v>
      </c>
      <c r="L76" s="206" t="s">
        <v>989</v>
      </c>
      <c r="M76" s="208">
        <v>8</v>
      </c>
      <c r="N76" s="168">
        <v>650</v>
      </c>
    </row>
    <row r="77" spans="1:14" ht="16.2" thickTop="1" x14ac:dyDescent="0.3"/>
  </sheetData>
  <sortState xmlns:xlrd2="http://schemas.microsoft.com/office/spreadsheetml/2017/richdata2" ref="A2:N76">
    <sortCondition ref="C2:C76"/>
    <sortCondition ref="D2:D76"/>
    <sortCondition ref="B2:B76"/>
  </sortState>
  <conditionalFormatting sqref="C2:C76">
    <cfRule type="cellIs" dxfId="6" priority="1" operator="equal">
      <formula>6</formula>
    </cfRule>
    <cfRule type="cellIs" dxfId="5" priority="2" operator="equal">
      <formula>5</formula>
    </cfRule>
    <cfRule type="cellIs" dxfId="4" priority="3" operator="equal">
      <formula>2</formula>
    </cfRule>
    <cfRule type="cellIs" dxfId="3" priority="4" operator="equal">
      <formula>0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402B3-9C6B-48D1-8659-CCB84711D95E}">
  <sheetPr>
    <tabColor theme="1"/>
  </sheetPr>
  <dimension ref="A1:R43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5.3984375" style="28" bestFit="1" customWidth="1"/>
    <col min="2" max="2" width="8.09765625" style="29" bestFit="1" customWidth="1"/>
    <col min="3" max="4" width="11.69921875" style="29" customWidth="1"/>
    <col min="5" max="5" width="11.69921875" style="28" customWidth="1"/>
    <col min="6" max="6" width="5.3984375" style="29" bestFit="1" customWidth="1"/>
    <col min="7" max="7" width="4.5" style="29" customWidth="1"/>
    <col min="8" max="8" width="15.8984375" style="29" bestFit="1" customWidth="1"/>
    <col min="9" max="9" width="20.3984375" style="29" bestFit="1" customWidth="1"/>
    <col min="10" max="10" width="14.296875" style="29" bestFit="1" customWidth="1"/>
    <col min="11" max="11" width="4.8984375" style="29" bestFit="1" customWidth="1"/>
    <col min="12" max="12" width="4.5" style="29" bestFit="1" customWidth="1"/>
    <col min="13" max="13" width="4" style="29" bestFit="1" customWidth="1"/>
    <col min="14" max="14" width="3.796875" style="29" bestFit="1" customWidth="1"/>
    <col min="15" max="15" width="4" style="29" bestFit="1" customWidth="1"/>
    <col min="16" max="16" width="4.296875" style="29" bestFit="1" customWidth="1"/>
    <col min="17" max="17" width="6.796875" style="29" bestFit="1" customWidth="1"/>
    <col min="18" max="18" width="3.796875" style="29" bestFit="1" customWidth="1"/>
    <col min="19" max="16384" width="8.796875" style="29"/>
  </cols>
  <sheetData>
    <row r="1" spans="1:18" ht="16.2" thickBot="1" x14ac:dyDescent="0.35">
      <c r="B1" s="7" t="s">
        <v>16</v>
      </c>
      <c r="C1" s="28" t="s">
        <v>19</v>
      </c>
      <c r="D1" s="15" t="s">
        <v>157</v>
      </c>
      <c r="E1" s="2"/>
      <c r="H1" s="91" t="s">
        <v>144</v>
      </c>
      <c r="I1" s="152" t="s">
        <v>22</v>
      </c>
      <c r="J1" s="152" t="s">
        <v>143</v>
      </c>
      <c r="K1" s="152" t="s">
        <v>76</v>
      </c>
      <c r="L1" s="152" t="s">
        <v>70</v>
      </c>
      <c r="M1" s="152" t="s">
        <v>72</v>
      </c>
      <c r="N1" s="152" t="s">
        <v>74</v>
      </c>
      <c r="O1" s="161" t="s">
        <v>88</v>
      </c>
      <c r="P1" s="161" t="s">
        <v>721</v>
      </c>
      <c r="Q1" s="152" t="s">
        <v>487</v>
      </c>
      <c r="R1" s="92" t="s">
        <v>485</v>
      </c>
    </row>
    <row r="2" spans="1:18" x14ac:dyDescent="0.3">
      <c r="B2" s="7" t="s">
        <v>55</v>
      </c>
      <c r="C2" s="28" t="s">
        <v>54</v>
      </c>
      <c r="E2" s="29"/>
      <c r="H2" s="90" t="s">
        <v>145</v>
      </c>
      <c r="I2" s="149" t="s">
        <v>28</v>
      </c>
      <c r="J2" s="150" t="str">
        <f ca="1">IF(OR($F$5&lt;12,$F$6&lt;12,$F$7&lt;13,$F$8&lt;6,$F$9&lt;11,$F$10&lt;6),"ý","þ")</f>
        <v>þ</v>
      </c>
      <c r="K2" s="151">
        <v>7</v>
      </c>
      <c r="L2" s="151">
        <v>5</v>
      </c>
      <c r="M2" s="151">
        <v>7</v>
      </c>
      <c r="N2" s="151">
        <v>3</v>
      </c>
      <c r="O2" s="151">
        <v>5</v>
      </c>
      <c r="P2" s="151">
        <v>3</v>
      </c>
      <c r="Q2" s="151">
        <v>3</v>
      </c>
      <c r="R2" s="137">
        <v>12</v>
      </c>
    </row>
    <row r="3" spans="1:18" ht="16.2" thickBot="1" x14ac:dyDescent="0.35">
      <c r="A3" s="7"/>
      <c r="B3" s="28"/>
      <c r="E3" s="29"/>
      <c r="H3" s="87" t="s">
        <v>145</v>
      </c>
      <c r="I3" s="140" t="s">
        <v>27</v>
      </c>
      <c r="J3" s="141" t="str">
        <f ca="1">IF(OR($F$5&lt;12,$F$6&lt;14,$F$7&lt;9,$F$8&lt;8,$F$9&lt;8,$F$10&lt;6),"ý","þ")</f>
        <v>ý</v>
      </c>
      <c r="K3" s="142">
        <v>5</v>
      </c>
      <c r="L3" s="142">
        <v>7</v>
      </c>
      <c r="M3" s="142">
        <v>3</v>
      </c>
      <c r="N3" s="142">
        <v>3</v>
      </c>
      <c r="O3" s="142">
        <v>7</v>
      </c>
      <c r="P3" s="142">
        <v>3</v>
      </c>
      <c r="Q3" s="142">
        <v>5</v>
      </c>
      <c r="R3" s="138">
        <v>10</v>
      </c>
    </row>
    <row r="4" spans="1:18" ht="16.2" thickBot="1" x14ac:dyDescent="0.35">
      <c r="A4" s="7"/>
      <c r="B4" s="93" t="s">
        <v>52</v>
      </c>
      <c r="C4" s="98" t="s">
        <v>53</v>
      </c>
      <c r="D4" s="99" t="s">
        <v>54</v>
      </c>
      <c r="E4" s="26" t="s">
        <v>57</v>
      </c>
      <c r="F4" s="27" t="s">
        <v>58</v>
      </c>
      <c r="G4" s="7"/>
      <c r="H4" s="87" t="s">
        <v>145</v>
      </c>
      <c r="I4" s="140" t="s">
        <v>31</v>
      </c>
      <c r="J4" s="141" t="str">
        <f ca="1">IF(OR($F$5&lt;6,$F$6&lt;8,$F$7&lt;8,$F$8&lt;14,$F$9&lt;11,$F$10&lt;6),"ý","þ")</f>
        <v>þ</v>
      </c>
      <c r="K4" s="142">
        <v>5</v>
      </c>
      <c r="L4" s="142">
        <v>7</v>
      </c>
      <c r="M4" s="142">
        <v>3</v>
      </c>
      <c r="N4" s="142">
        <v>5</v>
      </c>
      <c r="O4" s="142">
        <v>5</v>
      </c>
      <c r="P4" s="142">
        <v>4</v>
      </c>
      <c r="Q4" s="142">
        <v>5</v>
      </c>
      <c r="R4" s="138">
        <v>8</v>
      </c>
    </row>
    <row r="5" spans="1:18" s="7" customFormat="1" x14ac:dyDescent="0.3">
      <c r="A5" s="30" t="s">
        <v>7</v>
      </c>
      <c r="B5" s="94">
        <f ca="1">¡RefAbilities!E3</f>
        <v>6</v>
      </c>
      <c r="C5" s="96">
        <f ca="1">¡RefAbilities!M3</f>
        <v>8</v>
      </c>
      <c r="D5" s="100">
        <f ca="1">¡RefAbilities!V3</f>
        <v>15</v>
      </c>
      <c r="E5" s="31">
        <f>VLOOKUP($C$1,¡RefTables!$G$2:$M$5,2,FALSE)</f>
        <v>0</v>
      </c>
      <c r="F5" s="32">
        <f ca="1">HLOOKUP($C$2,$B$4:$D$10,2,FALSE)+E5</f>
        <v>15</v>
      </c>
      <c r="G5" s="29"/>
      <c r="H5" s="87" t="s">
        <v>145</v>
      </c>
      <c r="I5" s="140" t="s">
        <v>29</v>
      </c>
      <c r="J5" s="141" t="str">
        <f ca="1">IF(OR($F$5&lt;6,$F$6&lt;6,$F$7&lt;6,$F$8&lt;14,$F$9&lt;12,$F$10&lt;6),"ý","þ")</f>
        <v>þ</v>
      </c>
      <c r="K5" s="142">
        <v>5</v>
      </c>
      <c r="L5" s="142">
        <v>5</v>
      </c>
      <c r="M5" s="142">
        <v>5</v>
      </c>
      <c r="N5" s="142">
        <v>3</v>
      </c>
      <c r="O5" s="142">
        <v>3</v>
      </c>
      <c r="P5" s="142">
        <v>3</v>
      </c>
      <c r="Q5" s="142">
        <v>7</v>
      </c>
      <c r="R5" s="138">
        <v>8</v>
      </c>
    </row>
    <row r="6" spans="1:18" x14ac:dyDescent="0.3">
      <c r="A6" s="33" t="s">
        <v>8</v>
      </c>
      <c r="B6" s="94">
        <f ca="1">¡RefAbilities!E4</f>
        <v>8</v>
      </c>
      <c r="C6" s="96">
        <f ca="1">¡RefAbilities!M4</f>
        <v>16</v>
      </c>
      <c r="D6" s="100">
        <f ca="1">¡RefAbilities!V4</f>
        <v>12</v>
      </c>
      <c r="E6" s="31">
        <f>VLOOKUP($C$1,¡RefTables!$G$2:$M$5,3,FALSE)</f>
        <v>0</v>
      </c>
      <c r="F6" s="32">
        <f ca="1">HLOOKUP($C$2,$B$4:$D$10,3,FALSE)+E6</f>
        <v>12</v>
      </c>
      <c r="H6" s="87" t="s">
        <v>145</v>
      </c>
      <c r="I6" s="140" t="s">
        <v>25</v>
      </c>
      <c r="J6" s="141" t="str">
        <f ca="1">IF(OR($F$5&lt;8,$F$6&lt;14,$F$7&lt;9,$F$8&lt;9,$F$9&lt;6,$F$10&lt;6),"ý","þ")</f>
        <v>ý</v>
      </c>
      <c r="K6" s="142">
        <v>7</v>
      </c>
      <c r="L6" s="142">
        <v>3</v>
      </c>
      <c r="M6" s="142">
        <v>5</v>
      </c>
      <c r="N6" s="142">
        <v>5</v>
      </c>
      <c r="O6" s="142">
        <v>5</v>
      </c>
      <c r="P6" s="142">
        <v>3</v>
      </c>
      <c r="Q6" s="142">
        <v>5</v>
      </c>
      <c r="R6" s="138">
        <v>10</v>
      </c>
    </row>
    <row r="7" spans="1:18" x14ac:dyDescent="0.3">
      <c r="A7" s="34" t="s">
        <v>9</v>
      </c>
      <c r="B7" s="94">
        <f ca="1">¡RefAbilities!E5</f>
        <v>7</v>
      </c>
      <c r="C7" s="96">
        <f ca="1">¡RefAbilities!M5</f>
        <v>14</v>
      </c>
      <c r="D7" s="100">
        <f ca="1">¡RefAbilities!V5</f>
        <v>14</v>
      </c>
      <c r="E7" s="31">
        <f>VLOOKUP($C$1,¡RefTables!$G$2:$M$5,4,FALSE)</f>
        <v>0</v>
      </c>
      <c r="F7" s="32">
        <f ca="1">HLOOKUP($C$2,$B$4:$D$10,4,FALSE)+E7</f>
        <v>14</v>
      </c>
      <c r="H7" s="87" t="s">
        <v>145</v>
      </c>
      <c r="I7" s="140" t="s">
        <v>26</v>
      </c>
      <c r="J7" s="141" t="str">
        <f ca="1">IF(OR($F$5&lt;6,$F$6&lt;6,$F$7&lt;6,$F$8&lt;12,$F$9&lt;12,$F$10&lt;12),"ý","þ")</f>
        <v>ý</v>
      </c>
      <c r="K7" s="142">
        <v>5</v>
      </c>
      <c r="L7" s="142">
        <v>3</v>
      </c>
      <c r="M7" s="142">
        <v>7</v>
      </c>
      <c r="N7" s="142">
        <v>3</v>
      </c>
      <c r="O7" s="142">
        <v>7</v>
      </c>
      <c r="P7" s="142">
        <v>4</v>
      </c>
      <c r="Q7" s="142">
        <v>7</v>
      </c>
      <c r="R7" s="138">
        <v>8</v>
      </c>
    </row>
    <row r="8" spans="1:18" x14ac:dyDescent="0.3">
      <c r="A8" s="35" t="s">
        <v>4</v>
      </c>
      <c r="B8" s="94">
        <f ca="1">¡RefAbilities!E6</f>
        <v>6</v>
      </c>
      <c r="C8" s="96">
        <f ca="1">¡RefAbilities!M6</f>
        <v>12</v>
      </c>
      <c r="D8" s="100">
        <f ca="1">¡RefAbilities!V6</f>
        <v>17</v>
      </c>
      <c r="E8" s="31">
        <f>VLOOKUP($C$1,¡RefTables!$G$2:$M$5,5,FALSE)</f>
        <v>0</v>
      </c>
      <c r="F8" s="32">
        <f ca="1">HLOOKUP($C$2,$B$4:$D$10,5,FALSE)+E8</f>
        <v>17</v>
      </c>
      <c r="H8" s="87" t="s">
        <v>145</v>
      </c>
      <c r="I8" s="140" t="s">
        <v>32</v>
      </c>
      <c r="J8" s="141" t="str">
        <f ca="1">IF(OR($F$5&lt;6,$F$6&lt;8,$F$7&lt;6,$F$8&lt;13,$F$9&lt;13,$F$10&lt;10),"ý","þ")</f>
        <v>þ</v>
      </c>
      <c r="K8" s="142">
        <v>7</v>
      </c>
      <c r="L8" s="142">
        <v>3</v>
      </c>
      <c r="M8" s="142">
        <v>5</v>
      </c>
      <c r="N8" s="142">
        <v>5</v>
      </c>
      <c r="O8" s="142">
        <v>5</v>
      </c>
      <c r="P8" s="142">
        <v>4</v>
      </c>
      <c r="Q8" s="142">
        <v>5</v>
      </c>
      <c r="R8" s="138">
        <v>6</v>
      </c>
    </row>
    <row r="9" spans="1:18" x14ac:dyDescent="0.3">
      <c r="A9" s="36" t="s">
        <v>5</v>
      </c>
      <c r="B9" s="94">
        <f ca="1">¡RefAbilities!E7</f>
        <v>13</v>
      </c>
      <c r="C9" s="96">
        <f ca="1">¡RefAbilities!M7</f>
        <v>14</v>
      </c>
      <c r="D9" s="100">
        <f ca="1">¡RefAbilities!V7</f>
        <v>15</v>
      </c>
      <c r="E9" s="31">
        <f>VLOOKUP($C$1,¡RefTables!$G$2:$M$5,6,FALSE)</f>
        <v>0</v>
      </c>
      <c r="F9" s="32">
        <f ca="1">HLOOKUP($C$2,$B$4:$D$10,6,FALSE)+E9</f>
        <v>15</v>
      </c>
      <c r="H9" s="87" t="s">
        <v>145</v>
      </c>
      <c r="I9" s="140" t="s">
        <v>24</v>
      </c>
      <c r="J9" s="141" t="str">
        <f ca="1">IF(OR($F$5&lt;11,$F$6&lt;13,$F$7&lt;12,$F$8&lt;6,$F$9&lt;8,$F$10&lt;6),"ý","þ")</f>
        <v>ý</v>
      </c>
      <c r="K9" s="142">
        <v>10</v>
      </c>
      <c r="L9" s="142">
        <v>3</v>
      </c>
      <c r="M9" s="142">
        <v>7</v>
      </c>
      <c r="N9" s="142">
        <v>3</v>
      </c>
      <c r="O9" s="142">
        <v>7</v>
      </c>
      <c r="P9" s="142">
        <v>2</v>
      </c>
      <c r="Q9" s="142">
        <v>3</v>
      </c>
      <c r="R9" s="138">
        <v>8</v>
      </c>
    </row>
    <row r="10" spans="1:18" ht="16.2" thickBot="1" x14ac:dyDescent="0.35">
      <c r="A10" s="37" t="s">
        <v>6</v>
      </c>
      <c r="B10" s="95">
        <f ca="1">¡RefAbilities!E8</f>
        <v>16</v>
      </c>
      <c r="C10" s="97">
        <f ca="1">¡RefAbilities!M8</f>
        <v>11</v>
      </c>
      <c r="D10" s="101">
        <f ca="1">¡RefAbilities!V8</f>
        <v>10</v>
      </c>
      <c r="E10" s="38">
        <f>VLOOKUP($C$1,¡RefTables!$G$2:$M$5,7,FALSE)</f>
        <v>0</v>
      </c>
      <c r="F10" s="39">
        <f ca="1">HLOOKUP($C$2,$B$4:$D$10,7,FALSE)+E10</f>
        <v>10</v>
      </c>
      <c r="H10" s="87" t="s">
        <v>145</v>
      </c>
      <c r="I10" s="140" t="s">
        <v>34</v>
      </c>
      <c r="J10" s="141" t="str">
        <f ca="1">IF(OR($F$5&lt;6,$F$6&lt;6,$F$7&lt;6,$F$8&lt;11,$F$9&lt;11,$F$10&lt;15),"ý","þ")</f>
        <v>ý</v>
      </c>
      <c r="K10" s="142">
        <v>7</v>
      </c>
      <c r="L10" s="142">
        <v>5</v>
      </c>
      <c r="M10" s="142">
        <v>3</v>
      </c>
      <c r="N10" s="142">
        <v>7</v>
      </c>
      <c r="O10" s="142">
        <v>3</v>
      </c>
      <c r="P10" s="142">
        <v>4</v>
      </c>
      <c r="Q10" s="142">
        <v>5</v>
      </c>
      <c r="R10" s="138">
        <v>8</v>
      </c>
    </row>
    <row r="11" spans="1:18" ht="16.2" thickBot="1" x14ac:dyDescent="0.35">
      <c r="A11" s="40" t="s">
        <v>58</v>
      </c>
      <c r="B11" s="95">
        <f t="shared" ref="B11:F11" ca="1" si="0">SUM(B5:B10)</f>
        <v>56</v>
      </c>
      <c r="C11" s="97">
        <f t="shared" ca="1" si="0"/>
        <v>75</v>
      </c>
      <c r="D11" s="101">
        <f t="shared" ca="1" si="0"/>
        <v>83</v>
      </c>
      <c r="E11" s="38">
        <f t="shared" si="0"/>
        <v>0</v>
      </c>
      <c r="F11" s="39">
        <f t="shared" ca="1" si="0"/>
        <v>83</v>
      </c>
      <c r="H11" s="87" t="s">
        <v>145</v>
      </c>
      <c r="I11" s="140" t="s">
        <v>33</v>
      </c>
      <c r="J11" s="141" t="str">
        <f ca="1">IF(OR($F$5&lt;6,$F$6&lt;6,$F$7&lt;6,$F$8&lt;9,$F$9&lt;8,$F$10&lt;14),"ý","þ")</f>
        <v>ý</v>
      </c>
      <c r="K11" s="142">
        <v>5</v>
      </c>
      <c r="L11" s="142">
        <v>5</v>
      </c>
      <c r="M11" s="142">
        <v>5</v>
      </c>
      <c r="N11" s="142">
        <v>3</v>
      </c>
      <c r="O11" s="142">
        <v>3</v>
      </c>
      <c r="P11" s="142">
        <v>5</v>
      </c>
      <c r="Q11" s="142">
        <v>5</v>
      </c>
      <c r="R11" s="138">
        <v>6</v>
      </c>
    </row>
    <row r="12" spans="1:18" x14ac:dyDescent="0.3">
      <c r="H12" s="87" t="s">
        <v>145</v>
      </c>
      <c r="I12" s="140" t="s">
        <v>23</v>
      </c>
      <c r="J12" s="141" t="str">
        <f ca="1">IF(OR($F$5&lt;12,$F$6&lt;11,$F$7&lt;12,$F$8&lt;6,$F$9&lt;6,$F$10&lt;6),"ý","þ")</f>
        <v>þ</v>
      </c>
      <c r="K12" s="142">
        <v>7</v>
      </c>
      <c r="L12" s="142">
        <v>5</v>
      </c>
      <c r="M12" s="142">
        <v>5</v>
      </c>
      <c r="N12" s="142">
        <v>3</v>
      </c>
      <c r="O12" s="142">
        <v>5</v>
      </c>
      <c r="P12" s="142">
        <v>2</v>
      </c>
      <c r="Q12" s="142">
        <v>5</v>
      </c>
      <c r="R12" s="138">
        <v>10</v>
      </c>
    </row>
    <row r="13" spans="1:18" x14ac:dyDescent="0.3">
      <c r="H13" s="87" t="s">
        <v>145</v>
      </c>
      <c r="I13" s="140" t="s">
        <v>30</v>
      </c>
      <c r="J13" s="141" t="str">
        <f ca="1">IF(OR($F$5&lt;6,$F$6&lt;10,$F$7&lt;6,$F$8&lt;13,$F$9&lt;10,$F$10&lt;6),"ý","þ")</f>
        <v>þ</v>
      </c>
      <c r="K13" s="142">
        <v>5</v>
      </c>
      <c r="L13" s="142">
        <v>3</v>
      </c>
      <c r="M13" s="142">
        <v>3</v>
      </c>
      <c r="N13" s="142">
        <v>7</v>
      </c>
      <c r="O13" s="142">
        <v>5</v>
      </c>
      <c r="P13" s="142">
        <v>3</v>
      </c>
      <c r="Q13" s="142">
        <v>7</v>
      </c>
      <c r="R13" s="138">
        <v>6</v>
      </c>
    </row>
    <row r="14" spans="1:18" x14ac:dyDescent="0.3">
      <c r="H14" s="88" t="s">
        <v>146</v>
      </c>
      <c r="I14" s="143" t="s">
        <v>35</v>
      </c>
      <c r="J14" s="141" t="str">
        <f ca="1">IF(OR($F$5&lt;6,$F$6&lt;8,$F$7&lt;6,$F$8&lt;9,$F$9&lt;9,$F$10&lt;14),"ý","þ")</f>
        <v>ý</v>
      </c>
      <c r="K14" s="142">
        <v>7</v>
      </c>
      <c r="L14" s="142">
        <v>3</v>
      </c>
      <c r="M14" s="142">
        <v>3</v>
      </c>
      <c r="N14" s="142">
        <v>7</v>
      </c>
      <c r="O14" s="142">
        <v>5</v>
      </c>
      <c r="P14" s="142">
        <v>4</v>
      </c>
      <c r="Q14" s="142">
        <v>5</v>
      </c>
      <c r="R14" s="138">
        <v>6</v>
      </c>
    </row>
    <row r="15" spans="1:18" x14ac:dyDescent="0.3">
      <c r="H15" s="88" t="s">
        <v>146</v>
      </c>
      <c r="I15" s="143" t="s">
        <v>36</v>
      </c>
      <c r="J15" s="141" t="str">
        <f ca="1">IF(OR($F$5&lt;8,$F$6&lt;14,$F$7&lt;8,$F$8&lt;8,$F$9&lt;8,$F$10&lt;6),"ý","þ")</f>
        <v>ý</v>
      </c>
      <c r="K15" s="142">
        <v>7</v>
      </c>
      <c r="L15" s="142">
        <v>3</v>
      </c>
      <c r="M15" s="142">
        <v>7</v>
      </c>
      <c r="N15" s="142">
        <v>3</v>
      </c>
      <c r="O15" s="142">
        <v>5</v>
      </c>
      <c r="P15" s="142">
        <v>3</v>
      </c>
      <c r="Q15" s="142">
        <v>5</v>
      </c>
      <c r="R15" s="138">
        <v>8</v>
      </c>
    </row>
    <row r="16" spans="1:18" x14ac:dyDescent="0.3">
      <c r="H16" s="88" t="s">
        <v>146</v>
      </c>
      <c r="I16" s="143" t="s">
        <v>37</v>
      </c>
      <c r="J16" s="141" t="str">
        <f ca="1">IF(OR($F$5&lt;12,$F$6&lt;10,$F$7&lt;14,$F$8&lt;6,$F$9&lt;6,$F$10&lt;6),"ý","þ")</f>
        <v>þ</v>
      </c>
      <c r="K16" s="142">
        <v>7</v>
      </c>
      <c r="L16" s="142">
        <v>7</v>
      </c>
      <c r="M16" s="142">
        <v>3</v>
      </c>
      <c r="N16" s="142">
        <v>5</v>
      </c>
      <c r="O16" s="142">
        <v>3</v>
      </c>
      <c r="P16" s="142">
        <v>3</v>
      </c>
      <c r="Q16" s="142">
        <v>3</v>
      </c>
      <c r="R16" s="138">
        <v>12</v>
      </c>
    </row>
    <row r="17" spans="8:18" x14ac:dyDescent="0.3">
      <c r="H17" s="88" t="s">
        <v>146</v>
      </c>
      <c r="I17" s="143" t="s">
        <v>38</v>
      </c>
      <c r="J17" s="141" t="str">
        <f ca="1">IF(OR($F$5&lt;6,$F$6&lt;10,$F$7&lt;6,$F$8&lt;14,$F$9&lt;12,$F$10&lt;6),"ý","þ")</f>
        <v>þ</v>
      </c>
      <c r="K17" s="142">
        <v>7</v>
      </c>
      <c r="L17" s="142">
        <v>5</v>
      </c>
      <c r="M17" s="142">
        <v>5</v>
      </c>
      <c r="N17" s="142">
        <v>3</v>
      </c>
      <c r="O17" s="142">
        <v>3</v>
      </c>
      <c r="P17" s="142">
        <v>3</v>
      </c>
      <c r="Q17" s="142">
        <v>7</v>
      </c>
      <c r="R17" s="138">
        <v>6</v>
      </c>
    </row>
    <row r="18" spans="8:18" x14ac:dyDescent="0.3">
      <c r="H18" s="88" t="s">
        <v>146</v>
      </c>
      <c r="I18" s="143" t="s">
        <v>39</v>
      </c>
      <c r="J18" s="141" t="str">
        <f ca="1">IF(OR($F$5&lt;10,$F$6&lt;10,$F$7&lt;14,$F$8&lt;8,$F$9&lt;9,$F$10&lt;6),"ý","þ")</f>
        <v>þ</v>
      </c>
      <c r="K18" s="142">
        <v>7</v>
      </c>
      <c r="L18" s="142">
        <v>5</v>
      </c>
      <c r="M18" s="142">
        <v>5</v>
      </c>
      <c r="N18" s="142">
        <v>5</v>
      </c>
      <c r="O18" s="142">
        <v>5</v>
      </c>
      <c r="P18" s="142">
        <v>3</v>
      </c>
      <c r="Q18" s="142">
        <v>7</v>
      </c>
      <c r="R18" s="138">
        <v>8</v>
      </c>
    </row>
    <row r="19" spans="8:18" x14ac:dyDescent="0.3">
      <c r="H19" s="88" t="s">
        <v>146</v>
      </c>
      <c r="I19" s="143" t="s">
        <v>40</v>
      </c>
      <c r="J19" s="141" t="str">
        <f ca="1">IF(OR($F$5&lt;11,$F$6&lt;11,$F$7&lt;11,$F$8&lt;8,$F$9&lt;7,$F$10&lt;6),"ý","þ")</f>
        <v>þ</v>
      </c>
      <c r="K19" s="142">
        <v>10</v>
      </c>
      <c r="L19" s="142">
        <v>3</v>
      </c>
      <c r="M19" s="142">
        <v>3</v>
      </c>
      <c r="N19" s="142">
        <v>7</v>
      </c>
      <c r="O19" s="142">
        <v>5</v>
      </c>
      <c r="P19" s="142">
        <v>4</v>
      </c>
      <c r="Q19" s="142">
        <v>5</v>
      </c>
      <c r="R19" s="138">
        <v>8</v>
      </c>
    </row>
    <row r="20" spans="8:18" x14ac:dyDescent="0.3">
      <c r="H20" s="88" t="s">
        <v>146</v>
      </c>
      <c r="I20" s="143" t="s">
        <v>41</v>
      </c>
      <c r="J20" s="141" t="str">
        <f ca="1">IF(OR($F$5&lt;12,$F$6&lt;14,$F$7&lt;12,$F$8&lt;8,$F$9&lt;8,$F$10&lt;6),"ý","þ")</f>
        <v>ý</v>
      </c>
      <c r="K20" s="142">
        <v>10</v>
      </c>
      <c r="L20" s="142">
        <v>5</v>
      </c>
      <c r="M20" s="142">
        <v>3</v>
      </c>
      <c r="N20" s="142">
        <v>5</v>
      </c>
      <c r="O20" s="142">
        <v>5</v>
      </c>
      <c r="P20" s="142">
        <v>3</v>
      </c>
      <c r="Q20" s="142">
        <v>3</v>
      </c>
      <c r="R20" s="138">
        <v>10</v>
      </c>
    </row>
    <row r="21" spans="8:18" x14ac:dyDescent="0.3">
      <c r="H21" s="88" t="s">
        <v>146</v>
      </c>
      <c r="I21" s="143" t="s">
        <v>42</v>
      </c>
      <c r="J21" s="141" t="str">
        <f ca="1">IF(OR($F$5&lt;10,$F$6&lt;12,$F$7&lt;12,$F$8&lt;10,$F$9&lt;9,$F$10&lt;6),"ý","þ")</f>
        <v>þ</v>
      </c>
      <c r="K21" s="142">
        <v>7</v>
      </c>
      <c r="L21" s="142">
        <v>7</v>
      </c>
      <c r="M21" s="142">
        <v>5</v>
      </c>
      <c r="N21" s="142">
        <v>3</v>
      </c>
      <c r="O21" s="142">
        <v>5</v>
      </c>
      <c r="P21" s="142">
        <v>2</v>
      </c>
      <c r="Q21" s="142">
        <v>5</v>
      </c>
      <c r="R21" s="138">
        <v>10</v>
      </c>
    </row>
    <row r="22" spans="8:18" x14ac:dyDescent="0.3">
      <c r="H22" s="88" t="s">
        <v>146</v>
      </c>
      <c r="I22" s="143" t="s">
        <v>43</v>
      </c>
      <c r="J22" s="141" t="str">
        <f ca="1">IF(OR($F$5&lt;6,$F$6&lt;12,$F$7&lt;6,$F$8&lt;12,$F$9&lt;12,$F$10&lt;12),"ý","þ")</f>
        <v>ý</v>
      </c>
      <c r="K22" s="142">
        <v>7</v>
      </c>
      <c r="L22" s="142">
        <v>3</v>
      </c>
      <c r="M22" s="142">
        <v>5</v>
      </c>
      <c r="N22" s="142">
        <v>7</v>
      </c>
      <c r="O22" s="142">
        <v>3</v>
      </c>
      <c r="P22" s="142">
        <v>3</v>
      </c>
      <c r="Q22" s="142">
        <v>7</v>
      </c>
      <c r="R22" s="138">
        <v>6</v>
      </c>
    </row>
    <row r="23" spans="8:18" x14ac:dyDescent="0.3">
      <c r="H23" s="88" t="s">
        <v>146</v>
      </c>
      <c r="I23" s="143" t="s">
        <v>44</v>
      </c>
      <c r="J23" s="141" t="str">
        <f ca="1">IF(OR($F$5&lt;6,$F$6&lt;8,$F$7&lt;8,$F$8&lt;15,$F$9&lt;12,$F$10&lt;9),"ý","þ")</f>
        <v>þ</v>
      </c>
      <c r="K23" s="142">
        <v>7</v>
      </c>
      <c r="L23" s="142">
        <v>3</v>
      </c>
      <c r="M23" s="142">
        <v>5</v>
      </c>
      <c r="N23" s="142">
        <v>5</v>
      </c>
      <c r="O23" s="142">
        <v>5</v>
      </c>
      <c r="P23" s="142">
        <v>3</v>
      </c>
      <c r="Q23" s="142">
        <v>7</v>
      </c>
      <c r="R23" s="138">
        <v>6</v>
      </c>
    </row>
    <row r="24" spans="8:18" x14ac:dyDescent="0.3">
      <c r="H24" s="88" t="s">
        <v>146</v>
      </c>
      <c r="I24" s="143" t="s">
        <v>45</v>
      </c>
      <c r="J24" s="141" t="str">
        <f ca="1">IF(OR($F$5&lt;6,$F$6&lt;11,$F$7&lt;6,$F$8&lt;14,$F$9&lt;9,$F$10&lt;8),"ý","þ")</f>
        <v>þ</v>
      </c>
      <c r="K24" s="142">
        <v>10</v>
      </c>
      <c r="L24" s="142">
        <v>3</v>
      </c>
      <c r="M24" s="142">
        <v>7</v>
      </c>
      <c r="N24" s="142">
        <v>3</v>
      </c>
      <c r="O24" s="142">
        <v>5</v>
      </c>
      <c r="P24" s="142">
        <v>3</v>
      </c>
      <c r="Q24" s="142">
        <v>5</v>
      </c>
      <c r="R24" s="138">
        <v>8</v>
      </c>
    </row>
    <row r="25" spans="8:18" x14ac:dyDescent="0.3">
      <c r="H25" s="88" t="s">
        <v>146</v>
      </c>
      <c r="I25" s="143" t="s">
        <v>46</v>
      </c>
      <c r="J25" s="141" t="str">
        <f ca="1">IF(OR($F$5&lt;6,$F$6&lt;8,$F$7&lt;6,$F$8&lt;14,$F$9&lt;12,$F$10&lt;8),"ý","þ")</f>
        <v>þ</v>
      </c>
      <c r="K25" s="142">
        <v>7</v>
      </c>
      <c r="L25" s="142">
        <v>5</v>
      </c>
      <c r="M25" s="142">
        <v>3</v>
      </c>
      <c r="N25" s="142">
        <v>7</v>
      </c>
      <c r="O25" s="142">
        <v>3</v>
      </c>
      <c r="P25" s="142">
        <v>3</v>
      </c>
      <c r="Q25" s="142">
        <v>7</v>
      </c>
      <c r="R25" s="138">
        <v>8</v>
      </c>
    </row>
    <row r="26" spans="8:18" x14ac:dyDescent="0.3">
      <c r="H26" s="88" t="s">
        <v>146</v>
      </c>
      <c r="I26" s="143" t="s">
        <v>109</v>
      </c>
      <c r="J26" s="141" t="str">
        <f ca="1">IF(OR($F$5&lt;8,$F$6&lt;14,$F$7&lt;12,$F$8&lt;6,$F$9&lt;6,$F$10&lt;6),"ý","þ")</f>
        <v>ý</v>
      </c>
      <c r="K26" s="142">
        <v>7</v>
      </c>
      <c r="L26" s="142">
        <v>5</v>
      </c>
      <c r="M26" s="142">
        <v>5</v>
      </c>
      <c r="N26" s="142">
        <v>3</v>
      </c>
      <c r="O26" s="142">
        <v>5</v>
      </c>
      <c r="P26" s="142">
        <v>2</v>
      </c>
      <c r="Q26" s="142">
        <v>5</v>
      </c>
      <c r="R26" s="138">
        <v>10</v>
      </c>
    </row>
    <row r="27" spans="8:18" x14ac:dyDescent="0.3">
      <c r="H27" s="88" t="s">
        <v>146</v>
      </c>
      <c r="I27" s="143" t="s">
        <v>108</v>
      </c>
      <c r="J27" s="141" t="str">
        <f ca="1">IF(OR($F$5&lt;10,$F$6&lt;12,$F$7&lt;12,$F$8&lt;8,$F$9&lt;8,$F$10&lt;8),"ý","þ")</f>
        <v>þ</v>
      </c>
      <c r="K27" s="142">
        <v>10</v>
      </c>
      <c r="L27" s="142">
        <v>5</v>
      </c>
      <c r="M27" s="142">
        <v>5</v>
      </c>
      <c r="N27" s="142">
        <v>7</v>
      </c>
      <c r="O27" s="142">
        <v>5</v>
      </c>
      <c r="P27" s="142">
        <v>4</v>
      </c>
      <c r="Q27" s="142">
        <v>5</v>
      </c>
      <c r="R27" s="138">
        <v>8</v>
      </c>
    </row>
    <row r="28" spans="8:18" x14ac:dyDescent="0.3">
      <c r="H28" s="89" t="s">
        <v>147</v>
      </c>
      <c r="I28" s="144" t="s">
        <v>47</v>
      </c>
      <c r="J28" s="141" t="str">
        <f ca="1">IF(OR($F$5&lt;10,$F$6&lt;10,$F$7&lt;10,$F$8&lt;10,$F$9&lt;10,$F$10&lt;10),"ý","þ")</f>
        <v>þ</v>
      </c>
      <c r="K28" s="142">
        <v>7</v>
      </c>
      <c r="L28" s="142">
        <v>7</v>
      </c>
      <c r="M28" s="142">
        <v>7</v>
      </c>
      <c r="N28" s="142">
        <v>3</v>
      </c>
      <c r="O28" s="142">
        <v>5</v>
      </c>
      <c r="P28" s="142">
        <v>4</v>
      </c>
      <c r="Q28" s="142">
        <v>5</v>
      </c>
      <c r="R28" s="138">
        <v>10</v>
      </c>
    </row>
    <row r="29" spans="8:18" x14ac:dyDescent="0.3">
      <c r="H29" s="89" t="s">
        <v>147</v>
      </c>
      <c r="I29" s="144" t="s">
        <v>48</v>
      </c>
      <c r="J29" s="141" t="str">
        <f ca="1">IF(OR($F$5&lt;10,$F$6&lt;10,$F$7&lt;10,$F$8&lt;10,$F$9&lt;10,$F$10&lt;10),"ý","þ")</f>
        <v>þ</v>
      </c>
      <c r="K29" s="142">
        <v>10</v>
      </c>
      <c r="L29" s="142">
        <v>7</v>
      </c>
      <c r="M29" s="142">
        <v>3</v>
      </c>
      <c r="N29" s="142">
        <v>3</v>
      </c>
      <c r="O29" s="142">
        <v>5</v>
      </c>
      <c r="P29" s="142">
        <v>2</v>
      </c>
      <c r="Q29" s="142">
        <v>3</v>
      </c>
      <c r="R29" s="138">
        <v>8</v>
      </c>
    </row>
    <row r="30" spans="8:18" x14ac:dyDescent="0.3">
      <c r="H30" s="89" t="s">
        <v>147</v>
      </c>
      <c r="I30" s="144" t="s">
        <v>49</v>
      </c>
      <c r="J30" s="141" t="str">
        <f ca="1">IF(OR($F$5&lt;6,$F$6&lt;11,$F$7&lt;6,$F$8&lt;14,$F$9&lt;9,$F$10&lt;8),"ý","þ")</f>
        <v>þ</v>
      </c>
      <c r="K30" s="142">
        <v>5</v>
      </c>
      <c r="L30" s="142">
        <v>7</v>
      </c>
      <c r="M30" s="142">
        <v>3</v>
      </c>
      <c r="N30" s="142">
        <v>7</v>
      </c>
      <c r="O30" s="142">
        <v>3</v>
      </c>
      <c r="P30" s="142">
        <v>4</v>
      </c>
      <c r="Q30" s="142">
        <v>7</v>
      </c>
      <c r="R30" s="138">
        <v>6</v>
      </c>
    </row>
    <row r="31" spans="8:18" x14ac:dyDescent="0.3">
      <c r="H31" s="159" t="s">
        <v>713</v>
      </c>
      <c r="I31" s="160" t="s">
        <v>714</v>
      </c>
      <c r="J31" s="141" t="str">
        <f ca="1">IF(OR($F$5&lt;11,$F$6&lt;13,$F$7&lt;12,$F$8&lt;6,$F$9&lt;8,$F$10&lt;6),"ý","þ")</f>
        <v>ý</v>
      </c>
      <c r="K31" s="142">
        <v>7</v>
      </c>
      <c r="L31" s="142">
        <v>7</v>
      </c>
      <c r="M31" s="142">
        <v>3</v>
      </c>
      <c r="N31" s="142">
        <v>3</v>
      </c>
      <c r="O31" s="142">
        <v>5</v>
      </c>
      <c r="P31" s="142">
        <v>4</v>
      </c>
      <c r="Q31" s="142">
        <v>10</v>
      </c>
      <c r="R31" s="138">
        <v>3</v>
      </c>
    </row>
    <row r="32" spans="8:18" x14ac:dyDescent="0.3">
      <c r="H32" s="159" t="s">
        <v>713</v>
      </c>
      <c r="I32" s="160" t="s">
        <v>715</v>
      </c>
      <c r="J32" s="141" t="str">
        <f ca="1">IF(OR($F$5&lt;6,$F$6&lt;6,$F$7&lt;6,$F$8&lt;9,$F$9&lt;8,$F$10&lt;14),"ý","þ")</f>
        <v>ý</v>
      </c>
      <c r="K32" s="142">
        <v>5</v>
      </c>
      <c r="L32" s="142">
        <v>3</v>
      </c>
      <c r="M32" s="142">
        <v>7</v>
      </c>
      <c r="N32" s="142">
        <v>3</v>
      </c>
      <c r="O32" s="142">
        <v>5</v>
      </c>
      <c r="P32" s="142">
        <v>3</v>
      </c>
      <c r="Q32" s="142">
        <v>6</v>
      </c>
      <c r="R32" s="138">
        <v>5</v>
      </c>
    </row>
    <row r="33" spans="8:18" x14ac:dyDescent="0.3">
      <c r="H33" s="159" t="s">
        <v>713</v>
      </c>
      <c r="I33" s="160" t="s">
        <v>716</v>
      </c>
      <c r="J33" s="141" t="str">
        <f ca="1">IF(OR($F$5&lt;6,$F$6&lt;8,$F$7&lt;8,$F$8&lt;15,$F$9&lt;12,$F$10&lt;9),"ý","þ")</f>
        <v>þ</v>
      </c>
      <c r="K33" s="142">
        <v>5</v>
      </c>
      <c r="L33" s="142">
        <v>3</v>
      </c>
      <c r="M33" s="142">
        <v>3</v>
      </c>
      <c r="N33" s="142">
        <v>7</v>
      </c>
      <c r="O33" s="142">
        <v>5</v>
      </c>
      <c r="P33" s="142">
        <v>3</v>
      </c>
      <c r="Q33" s="142">
        <v>7</v>
      </c>
      <c r="R33" s="138">
        <v>6</v>
      </c>
    </row>
    <row r="34" spans="8:18" x14ac:dyDescent="0.3">
      <c r="H34" s="159" t="s">
        <v>713</v>
      </c>
      <c r="I34" s="160" t="s">
        <v>717</v>
      </c>
      <c r="J34" s="141" t="str">
        <f ca="1">IF(OR($F$5&lt;8,$F$6&lt;14,$F$7&lt;9,$F$8&lt;9,$F$9&lt;6,$F$10&lt;6),"ý","þ")</f>
        <v>ý</v>
      </c>
      <c r="K34" s="142">
        <v>7</v>
      </c>
      <c r="L34" s="142">
        <v>3</v>
      </c>
      <c r="M34" s="142">
        <v>7</v>
      </c>
      <c r="N34" s="142">
        <v>3</v>
      </c>
      <c r="O34" s="142">
        <v>5</v>
      </c>
      <c r="P34" s="142">
        <v>3</v>
      </c>
      <c r="Q34" s="142">
        <v>5</v>
      </c>
      <c r="R34" s="138">
        <v>8</v>
      </c>
    </row>
    <row r="35" spans="8:18" x14ac:dyDescent="0.3">
      <c r="H35" s="159" t="s">
        <v>713</v>
      </c>
      <c r="I35" s="160" t="s">
        <v>718</v>
      </c>
      <c r="J35" s="141" t="str">
        <f t="shared" ref="J35:J37" ca="1" si="1">IF(OR($F$5&lt;11,$F$6&lt;13,$F$7&lt;12,$F$8&lt;6,$F$9&lt;8,$F$10&lt;6),"ý","þ")</f>
        <v>ý</v>
      </c>
      <c r="K35" s="142">
        <v>10</v>
      </c>
      <c r="L35" s="142">
        <v>7</v>
      </c>
      <c r="M35" s="142">
        <v>3</v>
      </c>
      <c r="N35" s="142">
        <v>3</v>
      </c>
      <c r="O35" s="142">
        <v>5</v>
      </c>
      <c r="P35" s="142">
        <v>4</v>
      </c>
      <c r="Q35" s="142">
        <v>5</v>
      </c>
      <c r="R35" s="138">
        <v>10</v>
      </c>
    </row>
    <row r="36" spans="8:18" x14ac:dyDescent="0.3">
      <c r="H36" s="159" t="s">
        <v>713</v>
      </c>
      <c r="I36" s="160" t="s">
        <v>719</v>
      </c>
      <c r="J36" s="141" t="str">
        <f t="shared" ca="1" si="1"/>
        <v>ý</v>
      </c>
      <c r="K36" s="142">
        <v>7</v>
      </c>
      <c r="L36" s="142">
        <v>5</v>
      </c>
      <c r="M36" s="142">
        <v>7</v>
      </c>
      <c r="N36" s="142">
        <v>3</v>
      </c>
      <c r="O36" s="142">
        <v>7</v>
      </c>
      <c r="P36" s="142">
        <v>2</v>
      </c>
      <c r="Q36" s="142">
        <v>5</v>
      </c>
      <c r="R36" s="138">
        <v>8</v>
      </c>
    </row>
    <row r="37" spans="8:18" x14ac:dyDescent="0.3">
      <c r="H37" s="159" t="s">
        <v>713</v>
      </c>
      <c r="I37" s="160" t="s">
        <v>720</v>
      </c>
      <c r="J37" s="141" t="str">
        <f t="shared" ca="1" si="1"/>
        <v>ý</v>
      </c>
      <c r="K37" s="142">
        <v>7</v>
      </c>
      <c r="L37" s="142">
        <v>7</v>
      </c>
      <c r="M37" s="142">
        <v>5</v>
      </c>
      <c r="N37" s="142">
        <v>3</v>
      </c>
      <c r="O37" s="142">
        <v>5</v>
      </c>
      <c r="P37" s="142">
        <v>2</v>
      </c>
      <c r="Q37" s="142">
        <v>3</v>
      </c>
      <c r="R37" s="138">
        <v>12</v>
      </c>
    </row>
    <row r="38" spans="8:18" x14ac:dyDescent="0.3">
      <c r="H38" s="87" t="s">
        <v>145</v>
      </c>
      <c r="I38" s="145" t="s">
        <v>103</v>
      </c>
      <c r="J38" s="153" t="s">
        <v>492</v>
      </c>
      <c r="K38" s="142">
        <v>10</v>
      </c>
      <c r="L38" s="142">
        <v>5</v>
      </c>
      <c r="M38" s="142">
        <v>3</v>
      </c>
      <c r="N38" s="142">
        <v>3</v>
      </c>
      <c r="O38" s="142">
        <v>5</v>
      </c>
      <c r="P38" s="142">
        <v>2</v>
      </c>
      <c r="Q38" s="142">
        <v>3</v>
      </c>
      <c r="R38" s="138">
        <v>8</v>
      </c>
    </row>
    <row r="39" spans="8:18" x14ac:dyDescent="0.3">
      <c r="H39" s="87" t="s">
        <v>145</v>
      </c>
      <c r="I39" s="145" t="s">
        <v>101</v>
      </c>
      <c r="J39" s="153" t="s">
        <v>492</v>
      </c>
      <c r="K39" s="142">
        <v>7</v>
      </c>
      <c r="L39" s="142">
        <v>3</v>
      </c>
      <c r="M39" s="142">
        <v>5</v>
      </c>
      <c r="N39" s="142">
        <v>3</v>
      </c>
      <c r="O39" s="142">
        <v>8</v>
      </c>
      <c r="P39" s="142">
        <v>3</v>
      </c>
      <c r="Q39" s="142">
        <v>5</v>
      </c>
      <c r="R39" s="138">
        <v>8</v>
      </c>
    </row>
    <row r="40" spans="8:18" x14ac:dyDescent="0.3">
      <c r="H40" s="87" t="s">
        <v>145</v>
      </c>
      <c r="I40" s="145" t="s">
        <v>102</v>
      </c>
      <c r="J40" s="153" t="s">
        <v>492</v>
      </c>
      <c r="K40" s="142">
        <v>7</v>
      </c>
      <c r="L40" s="142">
        <v>5</v>
      </c>
      <c r="M40" s="142">
        <v>3</v>
      </c>
      <c r="N40" s="142">
        <v>3</v>
      </c>
      <c r="O40" s="142">
        <v>5</v>
      </c>
      <c r="P40" s="142">
        <v>3</v>
      </c>
      <c r="Q40" s="142">
        <v>3</v>
      </c>
      <c r="R40" s="138">
        <v>10</v>
      </c>
    </row>
    <row r="41" spans="8:18" x14ac:dyDescent="0.3">
      <c r="H41" s="87" t="s">
        <v>145</v>
      </c>
      <c r="I41" s="145" t="s">
        <v>98</v>
      </c>
      <c r="J41" s="153" t="s">
        <v>492</v>
      </c>
      <c r="K41" s="142">
        <v>5</v>
      </c>
      <c r="L41" s="142">
        <v>3</v>
      </c>
      <c r="M41" s="142">
        <v>3</v>
      </c>
      <c r="N41" s="142">
        <v>5</v>
      </c>
      <c r="O41" s="142">
        <v>3</v>
      </c>
      <c r="P41" s="142">
        <v>4</v>
      </c>
      <c r="Q41" s="142">
        <v>9</v>
      </c>
      <c r="R41" s="138">
        <v>6</v>
      </c>
    </row>
    <row r="42" spans="8:18" x14ac:dyDescent="0.3">
      <c r="H42" s="87" t="s">
        <v>145</v>
      </c>
      <c r="I42" s="145" t="s">
        <v>100</v>
      </c>
      <c r="J42" s="153" t="s">
        <v>492</v>
      </c>
      <c r="K42" s="142">
        <v>7</v>
      </c>
      <c r="L42" s="142">
        <v>5</v>
      </c>
      <c r="M42" s="142">
        <v>3</v>
      </c>
      <c r="N42" s="142">
        <v>5</v>
      </c>
      <c r="O42" s="142">
        <v>5</v>
      </c>
      <c r="P42" s="142">
        <v>4</v>
      </c>
      <c r="Q42" s="142">
        <v>5</v>
      </c>
      <c r="R42" s="138">
        <v>6</v>
      </c>
    </row>
    <row r="43" spans="8:18" ht="16.2" thickBot="1" x14ac:dyDescent="0.35">
      <c r="H43" s="146" t="s">
        <v>145</v>
      </c>
      <c r="I43" s="147" t="s">
        <v>99</v>
      </c>
      <c r="J43" s="154" t="s">
        <v>492</v>
      </c>
      <c r="K43" s="148">
        <v>5</v>
      </c>
      <c r="L43" s="148">
        <v>5</v>
      </c>
      <c r="M43" s="148">
        <v>5</v>
      </c>
      <c r="N43" s="148">
        <v>3</v>
      </c>
      <c r="O43" s="148">
        <v>3</v>
      </c>
      <c r="P43" s="148">
        <v>5</v>
      </c>
      <c r="Q43" s="148">
        <v>7</v>
      </c>
      <c r="R43" s="139">
        <v>6</v>
      </c>
    </row>
  </sheetData>
  <sortState xmlns:xlrd2="http://schemas.microsoft.com/office/spreadsheetml/2017/richdata2" ref="H2:R13">
    <sortCondition ref="H2:H13"/>
    <sortCondition ref="I2:I13"/>
  </sortState>
  <conditionalFormatting sqref="B4:D4">
    <cfRule type="cellIs" dxfId="2" priority="6" operator="notEqual">
      <formula>$C$2</formula>
    </cfRule>
  </conditionalFormatting>
  <conditionalFormatting sqref="J2:J37">
    <cfRule type="cellIs" dxfId="1" priority="1" operator="equal">
      <formula>"ý"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7903D37-F5C4-4BCF-B7E4-D81CF9F80077}">
          <x14:formula1>
            <xm:f>¡RefTables!$B$2:$B$30</xm:f>
          </x14:formula1>
          <xm:sqref>B3</xm:sqref>
        </x14:dataValidation>
        <x14:dataValidation type="list" allowBlank="1" showInputMessage="1" showErrorMessage="1" xr:uid="{DB80C72E-8833-4A79-892A-B13BED5CF764}">
          <x14:formula1>
            <xm:f>¡RefTables!$G$2:$G$5</xm:f>
          </x14:formula1>
          <xm:sqref>C1</xm:sqref>
        </x14:dataValidation>
        <x14:dataValidation type="list" allowBlank="1" showInputMessage="1" showErrorMessage="1" xr:uid="{17244311-5ACE-47CA-B664-548FB179BF1F}">
          <x14:formula1>
            <xm:f>¡RefTables!$O$2:$O$4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FD86F-052F-468E-B8BC-B5DCFA46DA0A}">
  <sheetPr>
    <tabColor rgb="FFFFC000"/>
  </sheetPr>
  <dimension ref="A1:D72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5.3984375" defaultRowHeight="16.2" x14ac:dyDescent="0.3"/>
  <cols>
    <col min="1" max="1" width="26.69921875" style="115" bestFit="1" customWidth="1"/>
    <col min="2" max="2" width="8.19921875" style="115" bestFit="1" customWidth="1"/>
    <col min="3" max="3" width="34.8984375" style="114" bestFit="1" customWidth="1"/>
    <col min="4" max="4" width="4" style="114" bestFit="1" customWidth="1"/>
    <col min="5" max="16384" width="5.3984375" style="114"/>
  </cols>
  <sheetData>
    <row r="1" spans="1:4" s="121" customFormat="1" ht="16.8" thickBot="1" x14ac:dyDescent="0.35">
      <c r="A1" s="119" t="s">
        <v>382</v>
      </c>
      <c r="B1" s="120" t="s">
        <v>17</v>
      </c>
      <c r="C1" s="120" t="s">
        <v>1382</v>
      </c>
      <c r="D1" s="120" t="s">
        <v>61</v>
      </c>
    </row>
    <row r="2" spans="1:4" x14ac:dyDescent="0.3">
      <c r="A2" s="118" t="s">
        <v>270</v>
      </c>
      <c r="B2" s="117" t="s">
        <v>21</v>
      </c>
      <c r="C2" s="116" t="s">
        <v>269</v>
      </c>
      <c r="D2" s="116" t="s">
        <v>105</v>
      </c>
    </row>
    <row r="3" spans="1:4" x14ac:dyDescent="0.3">
      <c r="A3" s="118" t="s">
        <v>474</v>
      </c>
      <c r="B3" s="117" t="s">
        <v>19</v>
      </c>
      <c r="C3" s="117" t="s">
        <v>567</v>
      </c>
      <c r="D3" s="116" t="s">
        <v>106</v>
      </c>
    </row>
    <row r="4" spans="1:4" x14ac:dyDescent="0.3">
      <c r="A4" s="118" t="s">
        <v>251</v>
      </c>
      <c r="B4" s="117" t="s">
        <v>19</v>
      </c>
      <c r="C4" s="116" t="s">
        <v>250</v>
      </c>
      <c r="D4" s="116" t="s">
        <v>105</v>
      </c>
    </row>
    <row r="5" spans="1:4" x14ac:dyDescent="0.3">
      <c r="A5" s="118" t="s">
        <v>1331</v>
      </c>
      <c r="B5" s="117" t="s">
        <v>18</v>
      </c>
      <c r="C5" s="117" t="s">
        <v>1355</v>
      </c>
      <c r="D5" s="117" t="s">
        <v>492</v>
      </c>
    </row>
    <row r="6" spans="1:4" x14ac:dyDescent="0.3">
      <c r="A6" s="118" t="s">
        <v>282</v>
      </c>
      <c r="B6" s="117" t="s">
        <v>19</v>
      </c>
      <c r="C6" s="116" t="s">
        <v>281</v>
      </c>
      <c r="D6" s="116" t="s">
        <v>106</v>
      </c>
    </row>
    <row r="7" spans="1:4" x14ac:dyDescent="0.3">
      <c r="A7" s="118" t="s">
        <v>245</v>
      </c>
      <c r="B7" s="117" t="s">
        <v>19</v>
      </c>
      <c r="C7" s="116" t="s">
        <v>244</v>
      </c>
      <c r="D7" s="116" t="s">
        <v>105</v>
      </c>
    </row>
    <row r="8" spans="1:4" x14ac:dyDescent="0.3">
      <c r="A8" s="118" t="s">
        <v>1347</v>
      </c>
      <c r="B8" s="117" t="s">
        <v>19</v>
      </c>
      <c r="C8" s="117" t="s">
        <v>1357</v>
      </c>
      <c r="D8" s="117" t="s">
        <v>105</v>
      </c>
    </row>
    <row r="9" spans="1:4" x14ac:dyDescent="0.3">
      <c r="A9" s="118" t="s">
        <v>1334</v>
      </c>
      <c r="B9" s="117" t="s">
        <v>18</v>
      </c>
      <c r="C9" s="117" t="s">
        <v>1356</v>
      </c>
      <c r="D9" s="117" t="s">
        <v>492</v>
      </c>
    </row>
    <row r="10" spans="1:4" x14ac:dyDescent="0.3">
      <c r="A10" s="118" t="s">
        <v>292</v>
      </c>
      <c r="B10" s="117" t="s">
        <v>19</v>
      </c>
      <c r="C10" s="116" t="s">
        <v>291</v>
      </c>
      <c r="D10" s="116" t="s">
        <v>105</v>
      </c>
    </row>
    <row r="11" spans="1:4" x14ac:dyDescent="0.3">
      <c r="A11" s="118" t="s">
        <v>1344</v>
      </c>
      <c r="B11" s="117" t="s">
        <v>19</v>
      </c>
      <c r="C11" s="117" t="s">
        <v>1359</v>
      </c>
      <c r="D11" s="117" t="s">
        <v>105</v>
      </c>
    </row>
    <row r="12" spans="1:4" x14ac:dyDescent="0.3">
      <c r="A12" s="118" t="s">
        <v>1345</v>
      </c>
      <c r="B12" s="117" t="s">
        <v>19</v>
      </c>
      <c r="C12" s="117" t="s">
        <v>1360</v>
      </c>
      <c r="D12" s="117" t="s">
        <v>105</v>
      </c>
    </row>
    <row r="13" spans="1:4" x14ac:dyDescent="0.3">
      <c r="A13" s="118" t="s">
        <v>273</v>
      </c>
      <c r="B13" s="117" t="s">
        <v>19</v>
      </c>
      <c r="C13" s="116" t="s">
        <v>272</v>
      </c>
      <c r="D13" s="116" t="s">
        <v>105</v>
      </c>
    </row>
    <row r="14" spans="1:4" x14ac:dyDescent="0.3">
      <c r="A14" s="118" t="s">
        <v>491</v>
      </c>
      <c r="B14" s="117" t="s">
        <v>19</v>
      </c>
      <c r="C14" s="117" t="s">
        <v>569</v>
      </c>
      <c r="D14" s="117" t="s">
        <v>106</v>
      </c>
    </row>
    <row r="15" spans="1:4" x14ac:dyDescent="0.3">
      <c r="A15" s="118" t="s">
        <v>401</v>
      </c>
      <c r="B15" s="117" t="s">
        <v>21</v>
      </c>
      <c r="C15" s="116" t="s">
        <v>482</v>
      </c>
      <c r="D15" s="116" t="s">
        <v>105</v>
      </c>
    </row>
    <row r="16" spans="1:4" x14ac:dyDescent="0.3">
      <c r="A16" s="118" t="s">
        <v>572</v>
      </c>
      <c r="B16" s="117" t="s">
        <v>19</v>
      </c>
      <c r="C16" s="116" t="s">
        <v>261</v>
      </c>
      <c r="D16" s="117" t="s">
        <v>106</v>
      </c>
    </row>
    <row r="17" spans="1:4" x14ac:dyDescent="0.3">
      <c r="A17" s="118" t="s">
        <v>262</v>
      </c>
      <c r="B17" s="117" t="s">
        <v>19</v>
      </c>
      <c r="C17" s="116" t="s">
        <v>257</v>
      </c>
      <c r="D17" s="116" t="s">
        <v>105</v>
      </c>
    </row>
    <row r="18" spans="1:4" x14ac:dyDescent="0.3">
      <c r="A18" s="118" t="s">
        <v>1330</v>
      </c>
      <c r="B18" s="117" t="s">
        <v>18</v>
      </c>
      <c r="C18" s="117" t="s">
        <v>568</v>
      </c>
      <c r="D18" s="117" t="s">
        <v>492</v>
      </c>
    </row>
    <row r="19" spans="1:4" x14ac:dyDescent="0.3">
      <c r="A19" s="118" t="s">
        <v>297</v>
      </c>
      <c r="B19" s="117" t="s">
        <v>21</v>
      </c>
      <c r="C19" s="116" t="s">
        <v>242</v>
      </c>
      <c r="D19" s="116" t="s">
        <v>106</v>
      </c>
    </row>
    <row r="20" spans="1:4" x14ac:dyDescent="0.3">
      <c r="A20" s="118" t="s">
        <v>574</v>
      </c>
      <c r="B20" s="117" t="s">
        <v>19</v>
      </c>
      <c r="C20" s="116" t="s">
        <v>279</v>
      </c>
      <c r="D20" s="116" t="s">
        <v>106</v>
      </c>
    </row>
    <row r="21" spans="1:4" x14ac:dyDescent="0.3">
      <c r="A21" s="118" t="s">
        <v>1337</v>
      </c>
      <c r="B21" s="117" t="s">
        <v>18</v>
      </c>
      <c r="C21" s="117" t="s">
        <v>1361</v>
      </c>
      <c r="D21" s="117" t="s">
        <v>492</v>
      </c>
    </row>
    <row r="22" spans="1:4" x14ac:dyDescent="0.3">
      <c r="A22" s="118" t="s">
        <v>1389</v>
      </c>
      <c r="B22" s="117" t="s">
        <v>19</v>
      </c>
      <c r="C22" s="116" t="s">
        <v>265</v>
      </c>
      <c r="D22" s="116" t="s">
        <v>106</v>
      </c>
    </row>
    <row r="23" spans="1:4" x14ac:dyDescent="0.3">
      <c r="A23" s="118" t="s">
        <v>1351</v>
      </c>
      <c r="B23" s="117" t="s">
        <v>21</v>
      </c>
      <c r="C23" s="117" t="s">
        <v>1362</v>
      </c>
      <c r="D23" s="117" t="s">
        <v>106</v>
      </c>
    </row>
    <row r="24" spans="1:4" x14ac:dyDescent="0.3">
      <c r="A24" s="118" t="s">
        <v>294</v>
      </c>
      <c r="B24" s="117" t="s">
        <v>21</v>
      </c>
      <c r="C24" s="116" t="s">
        <v>290</v>
      </c>
      <c r="D24" s="117" t="s">
        <v>105</v>
      </c>
    </row>
    <row r="25" spans="1:4" x14ac:dyDescent="0.3">
      <c r="A25" s="118" t="s">
        <v>258</v>
      </c>
      <c r="B25" s="117" t="s">
        <v>19</v>
      </c>
      <c r="C25" s="116" t="s">
        <v>483</v>
      </c>
      <c r="D25" s="116" t="s">
        <v>105</v>
      </c>
    </row>
    <row r="26" spans="1:4" x14ac:dyDescent="0.3">
      <c r="A26" s="118" t="s">
        <v>249</v>
      </c>
      <c r="B26" s="117" t="s">
        <v>19</v>
      </c>
      <c r="C26" s="117" t="s">
        <v>592</v>
      </c>
      <c r="D26" s="116" t="s">
        <v>105</v>
      </c>
    </row>
    <row r="27" spans="1:4" x14ac:dyDescent="0.3">
      <c r="A27" s="118" t="s">
        <v>255</v>
      </c>
      <c r="B27" s="117" t="s">
        <v>19</v>
      </c>
      <c r="C27" s="116" t="s">
        <v>248</v>
      </c>
      <c r="D27" s="116" t="s">
        <v>106</v>
      </c>
    </row>
    <row r="28" spans="1:4" x14ac:dyDescent="0.3">
      <c r="A28" s="118" t="s">
        <v>241</v>
      </c>
      <c r="B28" s="117" t="s">
        <v>19</v>
      </c>
      <c r="C28" s="116" t="s">
        <v>254</v>
      </c>
      <c r="D28" s="116" t="s">
        <v>106</v>
      </c>
    </row>
    <row r="29" spans="1:4" x14ac:dyDescent="0.3">
      <c r="A29" s="118" t="s">
        <v>253</v>
      </c>
      <c r="B29" s="117" t="s">
        <v>19</v>
      </c>
      <c r="C29" s="117" t="s">
        <v>1368</v>
      </c>
      <c r="D29" s="116" t="s">
        <v>106</v>
      </c>
    </row>
    <row r="30" spans="1:4" x14ac:dyDescent="0.3">
      <c r="A30" s="118" t="s">
        <v>295</v>
      </c>
      <c r="B30" s="117" t="s">
        <v>21</v>
      </c>
      <c r="C30" s="116" t="s">
        <v>252</v>
      </c>
      <c r="D30" s="116" t="s">
        <v>106</v>
      </c>
    </row>
    <row r="31" spans="1:4" x14ac:dyDescent="0.3">
      <c r="A31" s="118" t="s">
        <v>570</v>
      </c>
      <c r="B31" s="117" t="s">
        <v>19</v>
      </c>
      <c r="C31" s="116" t="s">
        <v>277</v>
      </c>
      <c r="D31" s="116" t="s">
        <v>105</v>
      </c>
    </row>
    <row r="32" spans="1:4" x14ac:dyDescent="0.3">
      <c r="A32" s="118" t="s">
        <v>1340</v>
      </c>
      <c r="B32" s="117" t="s">
        <v>18</v>
      </c>
      <c r="C32" s="117" t="s">
        <v>1364</v>
      </c>
      <c r="D32" s="117" t="s">
        <v>492</v>
      </c>
    </row>
    <row r="33" spans="1:4" x14ac:dyDescent="0.3">
      <c r="A33" s="118" t="s">
        <v>1390</v>
      </c>
      <c r="B33" s="117" t="s">
        <v>19</v>
      </c>
      <c r="C33" s="117" t="s">
        <v>1358</v>
      </c>
      <c r="D33" s="117" t="s">
        <v>106</v>
      </c>
    </row>
    <row r="34" spans="1:4" x14ac:dyDescent="0.3">
      <c r="A34" s="118" t="s">
        <v>1338</v>
      </c>
      <c r="B34" s="117" t="s">
        <v>19</v>
      </c>
      <c r="C34" s="117" t="s">
        <v>1363</v>
      </c>
      <c r="D34" s="117" t="s">
        <v>105</v>
      </c>
    </row>
    <row r="35" spans="1:4" x14ac:dyDescent="0.3">
      <c r="A35" s="118" t="s">
        <v>289</v>
      </c>
      <c r="B35" s="117" t="s">
        <v>19</v>
      </c>
      <c r="C35" s="116" t="s">
        <v>284</v>
      </c>
      <c r="D35" s="116" t="s">
        <v>105</v>
      </c>
    </row>
    <row r="36" spans="1:4" x14ac:dyDescent="0.3">
      <c r="A36" s="118" t="s">
        <v>268</v>
      </c>
      <c r="B36" s="117" t="s">
        <v>19</v>
      </c>
      <c r="C36" s="116" t="s">
        <v>298</v>
      </c>
      <c r="D36" s="116" t="s">
        <v>105</v>
      </c>
    </row>
    <row r="37" spans="1:4" x14ac:dyDescent="0.3">
      <c r="A37" s="118" t="s">
        <v>1369</v>
      </c>
      <c r="B37" s="117" t="s">
        <v>19</v>
      </c>
      <c r="C37" s="116" t="s">
        <v>267</v>
      </c>
      <c r="D37" s="116" t="s">
        <v>105</v>
      </c>
    </row>
    <row r="38" spans="1:4" x14ac:dyDescent="0.3">
      <c r="A38" s="118" t="s">
        <v>286</v>
      </c>
      <c r="B38" s="117" t="s">
        <v>19</v>
      </c>
      <c r="C38" s="117" t="s">
        <v>1392</v>
      </c>
      <c r="D38" s="117" t="s">
        <v>106</v>
      </c>
    </row>
    <row r="39" spans="1:4" x14ac:dyDescent="0.3">
      <c r="A39" s="118" t="s">
        <v>264</v>
      </c>
      <c r="B39" s="117" t="s">
        <v>19</v>
      </c>
      <c r="C39" s="116" t="s">
        <v>285</v>
      </c>
      <c r="D39" s="116" t="s">
        <v>106</v>
      </c>
    </row>
    <row r="40" spans="1:4" x14ac:dyDescent="0.3">
      <c r="A40" s="118" t="s">
        <v>278</v>
      </c>
      <c r="B40" s="117" t="s">
        <v>19</v>
      </c>
      <c r="C40" s="116" t="s">
        <v>263</v>
      </c>
      <c r="D40" s="116" t="s">
        <v>106</v>
      </c>
    </row>
    <row r="41" spans="1:4" x14ac:dyDescent="0.3">
      <c r="A41" s="118" t="s">
        <v>1352</v>
      </c>
      <c r="B41" s="117" t="s">
        <v>19</v>
      </c>
      <c r="C41" s="117" t="s">
        <v>1365</v>
      </c>
      <c r="D41" s="117" t="s">
        <v>105</v>
      </c>
    </row>
    <row r="42" spans="1:4" x14ac:dyDescent="0.3">
      <c r="A42" s="118" t="s">
        <v>266</v>
      </c>
      <c r="B42" s="117" t="s">
        <v>19</v>
      </c>
      <c r="C42" s="116" t="s">
        <v>240</v>
      </c>
      <c r="D42" s="116" t="s">
        <v>106</v>
      </c>
    </row>
    <row r="43" spans="1:4" x14ac:dyDescent="0.3">
      <c r="A43" s="118" t="s">
        <v>639</v>
      </c>
      <c r="B43" s="117" t="s">
        <v>20</v>
      </c>
      <c r="C43" s="117" t="s">
        <v>1366</v>
      </c>
      <c r="D43" s="117" t="s">
        <v>106</v>
      </c>
    </row>
    <row r="44" spans="1:4" x14ac:dyDescent="0.3">
      <c r="A44" s="118" t="s">
        <v>1332</v>
      </c>
      <c r="B44" s="117" t="s">
        <v>18</v>
      </c>
      <c r="C44" s="117" t="s">
        <v>1367</v>
      </c>
      <c r="D44" s="117" t="s">
        <v>492</v>
      </c>
    </row>
    <row r="45" spans="1:4" x14ac:dyDescent="0.3">
      <c r="A45" s="118" t="s">
        <v>1342</v>
      </c>
      <c r="B45" s="117" t="s">
        <v>21</v>
      </c>
      <c r="C45" s="117" t="s">
        <v>1393</v>
      </c>
      <c r="D45" s="117" t="s">
        <v>105</v>
      </c>
    </row>
    <row r="46" spans="1:4" x14ac:dyDescent="0.3">
      <c r="A46" s="118" t="s">
        <v>276</v>
      </c>
      <c r="B46" s="117" t="s">
        <v>19</v>
      </c>
      <c r="C46" s="116" t="s">
        <v>287</v>
      </c>
      <c r="D46" s="117" t="s">
        <v>105</v>
      </c>
    </row>
    <row r="47" spans="1:4" x14ac:dyDescent="0.3">
      <c r="A47" s="118" t="s">
        <v>247</v>
      </c>
      <c r="B47" s="117" t="s">
        <v>19</v>
      </c>
      <c r="C47" s="116" t="s">
        <v>275</v>
      </c>
      <c r="D47" s="116" t="s">
        <v>105</v>
      </c>
    </row>
    <row r="48" spans="1:4" x14ac:dyDescent="0.3">
      <c r="A48" s="118" t="s">
        <v>573</v>
      </c>
      <c r="B48" s="117" t="s">
        <v>19</v>
      </c>
      <c r="C48" s="116" t="s">
        <v>246</v>
      </c>
      <c r="D48" s="117" t="s">
        <v>106</v>
      </c>
    </row>
    <row r="49" spans="1:4" x14ac:dyDescent="0.3">
      <c r="A49" s="118" t="s">
        <v>293</v>
      </c>
      <c r="B49" s="117" t="s">
        <v>19</v>
      </c>
      <c r="C49" s="116" t="s">
        <v>296</v>
      </c>
      <c r="D49" s="116" t="s">
        <v>105</v>
      </c>
    </row>
    <row r="50" spans="1:4" x14ac:dyDescent="0.3">
      <c r="A50" s="118" t="s">
        <v>1335</v>
      </c>
      <c r="B50" s="117" t="s">
        <v>18</v>
      </c>
      <c r="C50" s="117" t="s">
        <v>1370</v>
      </c>
      <c r="D50" s="117" t="s">
        <v>492</v>
      </c>
    </row>
    <row r="51" spans="1:4" x14ac:dyDescent="0.3">
      <c r="A51" s="118" t="s">
        <v>1333</v>
      </c>
      <c r="B51" s="117" t="s">
        <v>18</v>
      </c>
      <c r="C51" s="117" t="s">
        <v>1371</v>
      </c>
      <c r="D51" s="117" t="s">
        <v>492</v>
      </c>
    </row>
    <row r="52" spans="1:4" x14ac:dyDescent="0.3">
      <c r="A52" s="118" t="s">
        <v>260</v>
      </c>
      <c r="B52" s="117" t="s">
        <v>19</v>
      </c>
      <c r="C52" s="117" t="s">
        <v>274</v>
      </c>
      <c r="D52" s="117" t="s">
        <v>106</v>
      </c>
    </row>
    <row r="53" spans="1:4" x14ac:dyDescent="0.3">
      <c r="A53" s="118" t="s">
        <v>256</v>
      </c>
      <c r="B53" s="117" t="s">
        <v>19</v>
      </c>
      <c r="C53" s="116" t="s">
        <v>259</v>
      </c>
      <c r="D53" s="116" t="s">
        <v>106</v>
      </c>
    </row>
    <row r="54" spans="1:4" x14ac:dyDescent="0.3">
      <c r="A54" s="118" t="s">
        <v>1372</v>
      </c>
      <c r="B54" s="117" t="s">
        <v>21</v>
      </c>
      <c r="C54" s="117" t="s">
        <v>1377</v>
      </c>
      <c r="D54" s="117" t="s">
        <v>105</v>
      </c>
    </row>
    <row r="55" spans="1:4" x14ac:dyDescent="0.3">
      <c r="A55" s="118" t="s">
        <v>1373</v>
      </c>
      <c r="B55" s="117" t="s">
        <v>19</v>
      </c>
      <c r="C55" s="117" t="s">
        <v>566</v>
      </c>
      <c r="D55" s="117" t="s">
        <v>105</v>
      </c>
    </row>
    <row r="56" spans="1:4" ht="31.2" x14ac:dyDescent="0.3">
      <c r="A56" s="118" t="s">
        <v>239</v>
      </c>
      <c r="B56" s="117" t="s">
        <v>19</v>
      </c>
      <c r="C56" s="117" t="s">
        <v>1375</v>
      </c>
      <c r="D56" s="116" t="s">
        <v>106</v>
      </c>
    </row>
    <row r="57" spans="1:4" x14ac:dyDescent="0.3">
      <c r="A57" s="118" t="s">
        <v>1388</v>
      </c>
      <c r="B57" s="117" t="s">
        <v>19</v>
      </c>
      <c r="C57" s="117" t="s">
        <v>1395</v>
      </c>
      <c r="D57" s="117" t="s">
        <v>106</v>
      </c>
    </row>
    <row r="58" spans="1:4" x14ac:dyDescent="0.3">
      <c r="A58" s="118" t="s">
        <v>1374</v>
      </c>
      <c r="B58" s="117" t="s">
        <v>19</v>
      </c>
      <c r="C58" s="117" t="s">
        <v>1394</v>
      </c>
      <c r="D58" s="117" t="s">
        <v>105</v>
      </c>
    </row>
    <row r="59" spans="1:4" x14ac:dyDescent="0.3">
      <c r="A59" s="118" t="s">
        <v>271</v>
      </c>
      <c r="B59" s="117" t="s">
        <v>19</v>
      </c>
      <c r="C59" s="117" t="s">
        <v>1376</v>
      </c>
      <c r="D59" s="116" t="s">
        <v>106</v>
      </c>
    </row>
    <row r="60" spans="1:4" x14ac:dyDescent="0.3">
      <c r="A60" s="118" t="s">
        <v>1346</v>
      </c>
      <c r="B60" s="117" t="s">
        <v>21</v>
      </c>
      <c r="C60" s="117" t="s">
        <v>1378</v>
      </c>
      <c r="D60" s="117" t="s">
        <v>106</v>
      </c>
    </row>
    <row r="61" spans="1:4" x14ac:dyDescent="0.3">
      <c r="A61" s="118" t="s">
        <v>280</v>
      </c>
      <c r="B61" s="117" t="s">
        <v>19</v>
      </c>
      <c r="C61" s="117" t="s">
        <v>1386</v>
      </c>
      <c r="D61" s="116" t="s">
        <v>106</v>
      </c>
    </row>
    <row r="62" spans="1:4" x14ac:dyDescent="0.3">
      <c r="A62" s="118" t="s">
        <v>575</v>
      </c>
      <c r="B62" s="117" t="s">
        <v>19</v>
      </c>
      <c r="C62" s="117" t="s">
        <v>1379</v>
      </c>
      <c r="D62" s="116" t="s">
        <v>106</v>
      </c>
    </row>
    <row r="63" spans="1:4" x14ac:dyDescent="0.3">
      <c r="A63" s="118" t="s">
        <v>1348</v>
      </c>
      <c r="B63" s="117" t="s">
        <v>19</v>
      </c>
      <c r="C63" s="117" t="s">
        <v>1349</v>
      </c>
      <c r="D63" s="117" t="s">
        <v>106</v>
      </c>
    </row>
    <row r="64" spans="1:4" x14ac:dyDescent="0.3">
      <c r="A64" s="118" t="s">
        <v>1353</v>
      </c>
      <c r="B64" s="117" t="s">
        <v>19</v>
      </c>
      <c r="C64" s="117" t="s">
        <v>1380</v>
      </c>
      <c r="D64" s="117" t="s">
        <v>105</v>
      </c>
    </row>
    <row r="65" spans="1:4" x14ac:dyDescent="0.3">
      <c r="A65" s="118" t="s">
        <v>1339</v>
      </c>
      <c r="B65" s="117" t="s">
        <v>19</v>
      </c>
      <c r="C65" s="117" t="s">
        <v>1381</v>
      </c>
      <c r="D65" s="117" t="s">
        <v>105</v>
      </c>
    </row>
    <row r="66" spans="1:4" x14ac:dyDescent="0.3">
      <c r="A66" s="118" t="s">
        <v>1350</v>
      </c>
      <c r="B66" s="117" t="s">
        <v>19</v>
      </c>
      <c r="C66" s="117" t="s">
        <v>1383</v>
      </c>
      <c r="D66" s="117" t="s">
        <v>106</v>
      </c>
    </row>
    <row r="67" spans="1:4" ht="31.2" x14ac:dyDescent="0.3">
      <c r="A67" s="118" t="s">
        <v>1343</v>
      </c>
      <c r="B67" s="117" t="s">
        <v>21</v>
      </c>
      <c r="C67" s="117" t="s">
        <v>1384</v>
      </c>
      <c r="D67" s="117" t="s">
        <v>106</v>
      </c>
    </row>
    <row r="68" spans="1:4" x14ac:dyDescent="0.3">
      <c r="A68" s="118" t="s">
        <v>1341</v>
      </c>
      <c r="B68" s="117" t="s">
        <v>21</v>
      </c>
      <c r="C68" s="117" t="s">
        <v>565</v>
      </c>
      <c r="D68" s="117" t="s">
        <v>106</v>
      </c>
    </row>
    <row r="69" spans="1:4" x14ac:dyDescent="0.3">
      <c r="A69" s="118" t="s">
        <v>571</v>
      </c>
      <c r="B69" s="117" t="s">
        <v>20</v>
      </c>
      <c r="C69" s="116" t="s">
        <v>288</v>
      </c>
      <c r="D69" s="117" t="s">
        <v>105</v>
      </c>
    </row>
    <row r="70" spans="1:4" x14ac:dyDescent="0.3">
      <c r="A70" s="118" t="s">
        <v>1387</v>
      </c>
      <c r="B70" s="117" t="s">
        <v>21</v>
      </c>
      <c r="C70" s="117" t="s">
        <v>1354</v>
      </c>
      <c r="D70" s="116" t="s">
        <v>105</v>
      </c>
    </row>
    <row r="71" spans="1:4" x14ac:dyDescent="0.3">
      <c r="A71" s="118" t="s">
        <v>1336</v>
      </c>
      <c r="B71" s="117" t="s">
        <v>18</v>
      </c>
      <c r="C71" s="117" t="s">
        <v>1385</v>
      </c>
      <c r="D71" s="117" t="s">
        <v>492</v>
      </c>
    </row>
    <row r="72" spans="1:4" x14ac:dyDescent="0.3">
      <c r="A72" s="118" t="s">
        <v>243</v>
      </c>
      <c r="B72" s="117" t="s">
        <v>19</v>
      </c>
      <c r="C72" s="117" t="s">
        <v>1391</v>
      </c>
      <c r="D72" s="117" t="s">
        <v>106</v>
      </c>
    </row>
  </sheetData>
  <sortState xmlns:xlrd2="http://schemas.microsoft.com/office/spreadsheetml/2017/richdata2" ref="A2:D72">
    <sortCondition ref="A2:A72"/>
  </sortState>
  <pageMargins left="0.15" right="0.75" top="0.32" bottom="0.33" header="0.25" footer="0.25"/>
  <pageSetup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B7AEB-CA8A-4F15-A866-3FBE04AE761A}">
  <sheetPr>
    <tabColor rgb="FF9900FF"/>
  </sheetPr>
  <dimension ref="A1:C70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9" defaultRowHeight="15.6" x14ac:dyDescent="0.3"/>
  <cols>
    <col min="1" max="1" width="11.8984375" style="167" bestFit="1" customWidth="1"/>
    <col min="2" max="2" width="12" style="197" bestFit="1" customWidth="1"/>
    <col min="3" max="3" width="11" style="198" bestFit="1" customWidth="1"/>
    <col min="4" max="16384" width="9" style="166"/>
  </cols>
  <sheetData>
    <row r="1" spans="1:3" s="167" customFormat="1" x14ac:dyDescent="0.3">
      <c r="A1" s="193" t="s">
        <v>1120</v>
      </c>
      <c r="B1" s="192" t="s">
        <v>1119</v>
      </c>
      <c r="C1" s="191" t="s">
        <v>1118</v>
      </c>
    </row>
    <row r="2" spans="1:3" x14ac:dyDescent="0.3">
      <c r="A2" s="167">
        <v>2</v>
      </c>
      <c r="B2" s="194">
        <v>5</v>
      </c>
      <c r="C2" s="195"/>
    </row>
    <row r="3" spans="1:3" x14ac:dyDescent="0.3">
      <c r="A3" s="167">
        <v>3</v>
      </c>
      <c r="B3" s="194">
        <v>12</v>
      </c>
      <c r="C3" s="196">
        <f t="shared" ref="C3:C34" si="0">B3-B2</f>
        <v>7</v>
      </c>
    </row>
    <row r="4" spans="1:3" x14ac:dyDescent="0.3">
      <c r="A4" s="167">
        <v>4</v>
      </c>
      <c r="B4" s="194">
        <v>20</v>
      </c>
      <c r="C4" s="196">
        <f t="shared" si="0"/>
        <v>8</v>
      </c>
    </row>
    <row r="5" spans="1:3" x14ac:dyDescent="0.3">
      <c r="A5" s="167">
        <v>5</v>
      </c>
      <c r="B5" s="194">
        <v>30</v>
      </c>
      <c r="C5" s="196">
        <f t="shared" si="0"/>
        <v>10</v>
      </c>
    </row>
    <row r="6" spans="1:3" x14ac:dyDescent="0.3">
      <c r="A6" s="167">
        <v>6</v>
      </c>
      <c r="B6" s="194">
        <v>40</v>
      </c>
      <c r="C6" s="196">
        <f t="shared" si="0"/>
        <v>10</v>
      </c>
    </row>
    <row r="7" spans="1:3" x14ac:dyDescent="0.3">
      <c r="A7" s="167">
        <v>7</v>
      </c>
      <c r="B7" s="194">
        <v>55</v>
      </c>
      <c r="C7" s="196">
        <f t="shared" si="0"/>
        <v>15</v>
      </c>
    </row>
    <row r="8" spans="1:3" x14ac:dyDescent="0.3">
      <c r="A8" s="167">
        <v>8</v>
      </c>
      <c r="B8" s="194">
        <v>70</v>
      </c>
      <c r="C8" s="196">
        <f t="shared" si="0"/>
        <v>15</v>
      </c>
    </row>
    <row r="9" spans="1:3" x14ac:dyDescent="0.3">
      <c r="A9" s="167">
        <v>9</v>
      </c>
      <c r="B9" s="194">
        <v>90</v>
      </c>
      <c r="C9" s="196">
        <f t="shared" si="0"/>
        <v>20</v>
      </c>
    </row>
    <row r="10" spans="1:3" x14ac:dyDescent="0.3">
      <c r="A10" s="167">
        <v>10</v>
      </c>
      <c r="B10" s="194">
        <v>120</v>
      </c>
      <c r="C10" s="196">
        <f t="shared" si="0"/>
        <v>30</v>
      </c>
    </row>
    <row r="11" spans="1:3" x14ac:dyDescent="0.3">
      <c r="A11" s="167">
        <v>11</v>
      </c>
      <c r="B11" s="194">
        <v>150</v>
      </c>
      <c r="C11" s="196">
        <f t="shared" si="0"/>
        <v>30</v>
      </c>
    </row>
    <row r="12" spans="1:3" x14ac:dyDescent="0.3">
      <c r="A12" s="167">
        <v>12</v>
      </c>
      <c r="B12" s="194">
        <v>200</v>
      </c>
      <c r="C12" s="196">
        <f t="shared" si="0"/>
        <v>50</v>
      </c>
    </row>
    <row r="13" spans="1:3" x14ac:dyDescent="0.3">
      <c r="A13" s="167">
        <v>13</v>
      </c>
      <c r="B13" s="194">
        <v>275</v>
      </c>
      <c r="C13" s="196">
        <f t="shared" si="0"/>
        <v>75</v>
      </c>
    </row>
    <row r="14" spans="1:3" x14ac:dyDescent="0.3">
      <c r="A14" s="167">
        <v>14</v>
      </c>
      <c r="B14" s="194">
        <v>350</v>
      </c>
      <c r="C14" s="196">
        <f t="shared" si="0"/>
        <v>75</v>
      </c>
    </row>
    <row r="15" spans="1:3" x14ac:dyDescent="0.3">
      <c r="A15" s="167">
        <v>15</v>
      </c>
      <c r="B15" s="194">
        <v>500</v>
      </c>
      <c r="C15" s="196">
        <f t="shared" si="0"/>
        <v>150</v>
      </c>
    </row>
    <row r="16" spans="1:3" x14ac:dyDescent="0.3">
      <c r="A16" s="167">
        <v>16</v>
      </c>
      <c r="B16" s="194">
        <v>650</v>
      </c>
      <c r="C16" s="196">
        <f t="shared" si="0"/>
        <v>150</v>
      </c>
    </row>
    <row r="17" spans="1:3" x14ac:dyDescent="0.3">
      <c r="A17" s="167">
        <v>17</v>
      </c>
      <c r="B17" s="194">
        <v>900</v>
      </c>
      <c r="C17" s="196">
        <f t="shared" si="0"/>
        <v>250</v>
      </c>
    </row>
    <row r="18" spans="1:3" x14ac:dyDescent="0.3">
      <c r="A18" s="167">
        <v>18</v>
      </c>
      <c r="B18" s="194">
        <v>1200</v>
      </c>
      <c r="C18" s="196">
        <f t="shared" si="0"/>
        <v>300</v>
      </c>
    </row>
    <row r="19" spans="1:3" x14ac:dyDescent="0.3">
      <c r="A19" s="167">
        <v>19</v>
      </c>
      <c r="B19" s="194">
        <v>1500</v>
      </c>
      <c r="C19" s="196">
        <f t="shared" si="0"/>
        <v>300</v>
      </c>
    </row>
    <row r="20" spans="1:3" x14ac:dyDescent="0.3">
      <c r="A20" s="167">
        <v>20</v>
      </c>
      <c r="B20" s="194">
        <v>2000</v>
      </c>
      <c r="C20" s="196">
        <f t="shared" si="0"/>
        <v>500</v>
      </c>
    </row>
    <row r="21" spans="1:3" x14ac:dyDescent="0.3">
      <c r="A21" s="167">
        <v>21</v>
      </c>
      <c r="B21" s="194">
        <v>2750</v>
      </c>
      <c r="C21" s="196">
        <f t="shared" si="0"/>
        <v>750</v>
      </c>
    </row>
    <row r="22" spans="1:3" x14ac:dyDescent="0.3">
      <c r="A22" s="167">
        <v>22</v>
      </c>
      <c r="B22" s="194">
        <v>3500</v>
      </c>
      <c r="C22" s="196">
        <f t="shared" si="0"/>
        <v>750</v>
      </c>
    </row>
    <row r="23" spans="1:3" x14ac:dyDescent="0.3">
      <c r="A23" s="167">
        <v>23</v>
      </c>
      <c r="B23" s="194">
        <v>5000</v>
      </c>
      <c r="C23" s="196">
        <f t="shared" si="0"/>
        <v>1500</v>
      </c>
    </row>
    <row r="24" spans="1:3" x14ac:dyDescent="0.3">
      <c r="A24" s="167">
        <v>24</v>
      </c>
      <c r="B24" s="194">
        <v>6500</v>
      </c>
      <c r="C24" s="196">
        <f t="shared" si="0"/>
        <v>1500</v>
      </c>
    </row>
    <row r="25" spans="1:3" x14ac:dyDescent="0.3">
      <c r="A25" s="167">
        <v>25</v>
      </c>
      <c r="B25" s="194">
        <v>9000</v>
      </c>
      <c r="C25" s="196">
        <f t="shared" si="0"/>
        <v>2500</v>
      </c>
    </row>
    <row r="26" spans="1:3" x14ac:dyDescent="0.3">
      <c r="A26" s="167">
        <v>26</v>
      </c>
      <c r="B26" s="194">
        <v>12000</v>
      </c>
      <c r="C26" s="196">
        <f t="shared" si="0"/>
        <v>3000</v>
      </c>
    </row>
    <row r="27" spans="1:3" x14ac:dyDescent="0.3">
      <c r="A27" s="167">
        <v>27</v>
      </c>
      <c r="B27" s="194">
        <v>15000</v>
      </c>
      <c r="C27" s="196">
        <f t="shared" si="0"/>
        <v>3000</v>
      </c>
    </row>
    <row r="28" spans="1:3" x14ac:dyDescent="0.3">
      <c r="A28" s="167">
        <v>28</v>
      </c>
      <c r="B28" s="194">
        <v>20000</v>
      </c>
      <c r="C28" s="196">
        <f t="shared" si="0"/>
        <v>5000</v>
      </c>
    </row>
    <row r="29" spans="1:3" x14ac:dyDescent="0.3">
      <c r="A29" s="167">
        <v>29</v>
      </c>
      <c r="B29" s="194">
        <v>27500</v>
      </c>
      <c r="C29" s="196">
        <f t="shared" si="0"/>
        <v>7500</v>
      </c>
    </row>
    <row r="30" spans="1:3" x14ac:dyDescent="0.3">
      <c r="A30" s="167">
        <v>30</v>
      </c>
      <c r="B30" s="194">
        <v>35000</v>
      </c>
      <c r="C30" s="196">
        <f t="shared" si="0"/>
        <v>7500</v>
      </c>
    </row>
    <row r="31" spans="1:3" x14ac:dyDescent="0.3">
      <c r="A31" s="167">
        <v>31</v>
      </c>
      <c r="B31" s="194">
        <v>50000</v>
      </c>
      <c r="C31" s="196">
        <f t="shared" si="0"/>
        <v>15000</v>
      </c>
    </row>
    <row r="32" spans="1:3" x14ac:dyDescent="0.3">
      <c r="A32" s="167">
        <v>32</v>
      </c>
      <c r="B32" s="194">
        <v>65000</v>
      </c>
      <c r="C32" s="196">
        <f t="shared" si="0"/>
        <v>15000</v>
      </c>
    </row>
    <row r="33" spans="1:3" x14ac:dyDescent="0.3">
      <c r="A33" s="167">
        <v>33</v>
      </c>
      <c r="B33" s="194">
        <v>90000</v>
      </c>
      <c r="C33" s="196">
        <f t="shared" si="0"/>
        <v>25000</v>
      </c>
    </row>
    <row r="34" spans="1:3" x14ac:dyDescent="0.3">
      <c r="A34" s="167">
        <v>34</v>
      </c>
      <c r="B34" s="194">
        <v>120000</v>
      </c>
      <c r="C34" s="196">
        <f t="shared" si="0"/>
        <v>30000</v>
      </c>
    </row>
    <row r="35" spans="1:3" x14ac:dyDescent="0.3">
      <c r="A35" s="167">
        <v>35</v>
      </c>
      <c r="B35" s="194">
        <v>150000</v>
      </c>
      <c r="C35" s="196">
        <f t="shared" ref="C35:C70" si="1">B35-B34</f>
        <v>30000</v>
      </c>
    </row>
    <row r="36" spans="1:3" x14ac:dyDescent="0.3">
      <c r="A36" s="167">
        <v>36</v>
      </c>
      <c r="B36" s="194">
        <v>200000</v>
      </c>
      <c r="C36" s="196">
        <f t="shared" si="1"/>
        <v>50000</v>
      </c>
    </row>
    <row r="37" spans="1:3" x14ac:dyDescent="0.3">
      <c r="A37" s="167">
        <v>37</v>
      </c>
      <c r="B37" s="194">
        <v>275000</v>
      </c>
      <c r="C37" s="196">
        <f t="shared" si="1"/>
        <v>75000</v>
      </c>
    </row>
    <row r="38" spans="1:3" x14ac:dyDescent="0.3">
      <c r="A38" s="167">
        <v>38</v>
      </c>
      <c r="B38" s="194">
        <v>350000</v>
      </c>
      <c r="C38" s="196">
        <f t="shared" si="1"/>
        <v>75000</v>
      </c>
    </row>
    <row r="39" spans="1:3" x14ac:dyDescent="0.3">
      <c r="A39" s="167">
        <v>39</v>
      </c>
      <c r="B39" s="194">
        <v>500000</v>
      </c>
      <c r="C39" s="196">
        <f t="shared" si="1"/>
        <v>150000</v>
      </c>
    </row>
    <row r="40" spans="1:3" x14ac:dyDescent="0.3">
      <c r="A40" s="167">
        <v>40</v>
      </c>
      <c r="B40" s="194">
        <v>650000</v>
      </c>
      <c r="C40" s="196">
        <f t="shared" si="1"/>
        <v>150000</v>
      </c>
    </row>
    <row r="41" spans="1:3" x14ac:dyDescent="0.3">
      <c r="A41" s="167">
        <v>41</v>
      </c>
      <c r="B41" s="194">
        <v>900000</v>
      </c>
      <c r="C41" s="196">
        <f t="shared" si="1"/>
        <v>250000</v>
      </c>
    </row>
    <row r="42" spans="1:3" x14ac:dyDescent="0.3">
      <c r="A42" s="167">
        <v>42</v>
      </c>
      <c r="B42" s="194">
        <v>1200000</v>
      </c>
      <c r="C42" s="196">
        <f t="shared" si="1"/>
        <v>300000</v>
      </c>
    </row>
    <row r="43" spans="1:3" x14ac:dyDescent="0.3">
      <c r="A43" s="167">
        <v>43</v>
      </c>
      <c r="B43" s="194">
        <v>1500000</v>
      </c>
      <c r="C43" s="196">
        <f t="shared" si="1"/>
        <v>300000</v>
      </c>
    </row>
    <row r="44" spans="1:3" x14ac:dyDescent="0.3">
      <c r="A44" s="167">
        <v>44</v>
      </c>
      <c r="B44" s="194">
        <v>2000000</v>
      </c>
      <c r="C44" s="196">
        <f t="shared" si="1"/>
        <v>500000</v>
      </c>
    </row>
    <row r="45" spans="1:3" x14ac:dyDescent="0.3">
      <c r="A45" s="167">
        <v>45</v>
      </c>
      <c r="B45" s="194">
        <v>2750000</v>
      </c>
      <c r="C45" s="196">
        <f t="shared" si="1"/>
        <v>750000</v>
      </c>
    </row>
    <row r="46" spans="1:3" x14ac:dyDescent="0.3">
      <c r="A46" s="167">
        <v>46</v>
      </c>
      <c r="B46" s="194">
        <v>3500000</v>
      </c>
      <c r="C46" s="196">
        <f t="shared" si="1"/>
        <v>750000</v>
      </c>
    </row>
    <row r="47" spans="1:3" x14ac:dyDescent="0.3">
      <c r="A47" s="167">
        <v>47</v>
      </c>
      <c r="B47" s="194">
        <v>5000000</v>
      </c>
      <c r="C47" s="196">
        <f t="shared" si="1"/>
        <v>1500000</v>
      </c>
    </row>
    <row r="48" spans="1:3" x14ac:dyDescent="0.3">
      <c r="A48" s="167">
        <v>48</v>
      </c>
      <c r="B48" s="194">
        <v>6500000</v>
      </c>
      <c r="C48" s="196">
        <f t="shared" si="1"/>
        <v>1500000</v>
      </c>
    </row>
    <row r="49" spans="1:3" x14ac:dyDescent="0.3">
      <c r="A49" s="167">
        <v>49</v>
      </c>
      <c r="B49" s="194">
        <v>9000000</v>
      </c>
      <c r="C49" s="196">
        <f t="shared" si="1"/>
        <v>2500000</v>
      </c>
    </row>
    <row r="50" spans="1:3" x14ac:dyDescent="0.3">
      <c r="A50" s="167">
        <v>50</v>
      </c>
      <c r="B50" s="194">
        <v>12000000</v>
      </c>
      <c r="C50" s="196">
        <f t="shared" si="1"/>
        <v>3000000</v>
      </c>
    </row>
    <row r="51" spans="1:3" x14ac:dyDescent="0.3">
      <c r="A51" s="167">
        <v>51</v>
      </c>
      <c r="B51" s="194">
        <v>15000000</v>
      </c>
      <c r="C51" s="196">
        <f t="shared" si="1"/>
        <v>3000000</v>
      </c>
    </row>
    <row r="52" spans="1:3" x14ac:dyDescent="0.3">
      <c r="A52" s="167">
        <v>52</v>
      </c>
      <c r="B52" s="194">
        <v>20000000</v>
      </c>
      <c r="C52" s="196">
        <f t="shared" si="1"/>
        <v>5000000</v>
      </c>
    </row>
    <row r="53" spans="1:3" x14ac:dyDescent="0.3">
      <c r="A53" s="167">
        <f t="shared" ref="A53:A70" si="2">A52+1</f>
        <v>53</v>
      </c>
      <c r="B53" s="194">
        <v>25000000</v>
      </c>
      <c r="C53" s="196">
        <f t="shared" si="1"/>
        <v>5000000</v>
      </c>
    </row>
    <row r="54" spans="1:3" x14ac:dyDescent="0.3">
      <c r="A54" s="167">
        <f t="shared" si="2"/>
        <v>54</v>
      </c>
      <c r="B54" s="194">
        <v>30000000</v>
      </c>
      <c r="C54" s="196">
        <f t="shared" si="1"/>
        <v>5000000</v>
      </c>
    </row>
    <row r="55" spans="1:3" x14ac:dyDescent="0.3">
      <c r="A55" s="167">
        <f t="shared" si="2"/>
        <v>55</v>
      </c>
      <c r="B55" s="194">
        <v>35000000</v>
      </c>
      <c r="C55" s="196">
        <f t="shared" si="1"/>
        <v>5000000</v>
      </c>
    </row>
    <row r="56" spans="1:3" x14ac:dyDescent="0.3">
      <c r="A56" s="167">
        <f t="shared" si="2"/>
        <v>56</v>
      </c>
      <c r="B56" s="194">
        <v>42500000</v>
      </c>
      <c r="C56" s="196">
        <f t="shared" si="1"/>
        <v>7500000</v>
      </c>
    </row>
    <row r="57" spans="1:3" x14ac:dyDescent="0.3">
      <c r="A57" s="167">
        <f t="shared" si="2"/>
        <v>57</v>
      </c>
      <c r="B57" s="194">
        <v>50000000</v>
      </c>
      <c r="C57" s="196">
        <f t="shared" si="1"/>
        <v>7500000</v>
      </c>
    </row>
    <row r="58" spans="1:3" x14ac:dyDescent="0.3">
      <c r="A58" s="167">
        <f t="shared" si="2"/>
        <v>58</v>
      </c>
      <c r="B58" s="194">
        <v>57500000</v>
      </c>
      <c r="C58" s="196">
        <f t="shared" si="1"/>
        <v>7500000</v>
      </c>
    </row>
    <row r="59" spans="1:3" x14ac:dyDescent="0.3">
      <c r="A59" s="167">
        <f t="shared" si="2"/>
        <v>59</v>
      </c>
      <c r="B59" s="194">
        <v>65000000</v>
      </c>
      <c r="C59" s="196">
        <f t="shared" si="1"/>
        <v>7500000</v>
      </c>
    </row>
    <row r="60" spans="1:3" x14ac:dyDescent="0.3">
      <c r="A60" s="167">
        <f t="shared" si="2"/>
        <v>60</v>
      </c>
      <c r="B60" s="194">
        <v>72500000</v>
      </c>
      <c r="C60" s="196">
        <f t="shared" si="1"/>
        <v>7500000</v>
      </c>
    </row>
    <row r="61" spans="1:3" x14ac:dyDescent="0.3">
      <c r="A61" s="167">
        <f t="shared" si="2"/>
        <v>61</v>
      </c>
      <c r="B61" s="194">
        <v>82500000</v>
      </c>
      <c r="C61" s="196">
        <f t="shared" si="1"/>
        <v>10000000</v>
      </c>
    </row>
    <row r="62" spans="1:3" x14ac:dyDescent="0.3">
      <c r="A62" s="167">
        <f t="shared" si="2"/>
        <v>62</v>
      </c>
      <c r="B62" s="194">
        <v>92500000</v>
      </c>
      <c r="C62" s="196">
        <f t="shared" si="1"/>
        <v>10000000</v>
      </c>
    </row>
    <row r="63" spans="1:3" x14ac:dyDescent="0.3">
      <c r="A63" s="167">
        <f t="shared" si="2"/>
        <v>63</v>
      </c>
      <c r="B63" s="194">
        <v>102500000</v>
      </c>
      <c r="C63" s="196">
        <f t="shared" si="1"/>
        <v>10000000</v>
      </c>
    </row>
    <row r="64" spans="1:3" x14ac:dyDescent="0.3">
      <c r="A64" s="167">
        <f t="shared" si="2"/>
        <v>64</v>
      </c>
      <c r="B64" s="194">
        <v>112500000</v>
      </c>
      <c r="C64" s="196">
        <f t="shared" si="1"/>
        <v>10000000</v>
      </c>
    </row>
    <row r="65" spans="1:3" x14ac:dyDescent="0.3">
      <c r="A65" s="167">
        <f t="shared" si="2"/>
        <v>65</v>
      </c>
      <c r="B65" s="194">
        <v>122500000</v>
      </c>
      <c r="C65" s="196">
        <f t="shared" si="1"/>
        <v>10000000</v>
      </c>
    </row>
    <row r="66" spans="1:3" x14ac:dyDescent="0.3">
      <c r="A66" s="167">
        <f t="shared" si="2"/>
        <v>66</v>
      </c>
      <c r="B66" s="194">
        <v>137500000</v>
      </c>
      <c r="C66" s="196">
        <f t="shared" si="1"/>
        <v>15000000</v>
      </c>
    </row>
    <row r="67" spans="1:3" x14ac:dyDescent="0.3">
      <c r="A67" s="167">
        <f t="shared" si="2"/>
        <v>67</v>
      </c>
      <c r="B67" s="194">
        <v>152500000</v>
      </c>
      <c r="C67" s="196">
        <f t="shared" si="1"/>
        <v>15000000</v>
      </c>
    </row>
    <row r="68" spans="1:3" x14ac:dyDescent="0.3">
      <c r="A68" s="167">
        <f t="shared" si="2"/>
        <v>68</v>
      </c>
      <c r="B68" s="194">
        <v>167500000</v>
      </c>
      <c r="C68" s="196">
        <f t="shared" si="1"/>
        <v>15000000</v>
      </c>
    </row>
    <row r="69" spans="1:3" x14ac:dyDescent="0.3">
      <c r="A69" s="167">
        <f t="shared" si="2"/>
        <v>69</v>
      </c>
      <c r="B69" s="194">
        <v>182500000</v>
      </c>
      <c r="C69" s="196">
        <f t="shared" si="1"/>
        <v>15000000</v>
      </c>
    </row>
    <row r="70" spans="1:3" x14ac:dyDescent="0.3">
      <c r="A70" s="167">
        <f t="shared" si="2"/>
        <v>70</v>
      </c>
      <c r="B70" s="194">
        <v>197500000</v>
      </c>
      <c r="C70" s="196">
        <f t="shared" si="1"/>
        <v>15000000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DFAC-CE5A-42C9-8235-6AE94D68CBB6}">
  <dimension ref="A1:R32"/>
  <sheetViews>
    <sheetView workbookViewId="0"/>
  </sheetViews>
  <sheetFormatPr defaultRowHeight="15.6" x14ac:dyDescent="0.3"/>
  <cols>
    <col min="1" max="1" width="4.296875" style="1" bestFit="1" customWidth="1"/>
    <col min="2" max="2" width="14.69921875" style="1" bestFit="1" customWidth="1"/>
    <col min="3" max="3" width="3.296875" style="1" customWidth="1"/>
    <col min="4" max="4" width="4.296875" style="1" bestFit="1" customWidth="1"/>
    <col min="5" max="5" width="17.19921875" style="1" bestFit="1" customWidth="1"/>
    <col min="6" max="6" width="3.296875" style="1" customWidth="1"/>
    <col min="7" max="7" width="19.19921875" style="1" bestFit="1" customWidth="1"/>
    <col min="8" max="8" width="3.69921875" style="1" bestFit="1" customWidth="1"/>
    <col min="9" max="9" width="4.59765625" style="1" bestFit="1" customWidth="1"/>
    <col min="10" max="10" width="4.796875" style="1" bestFit="1" customWidth="1"/>
    <col min="11" max="11" width="3.69921875" style="1" bestFit="1" customWidth="1"/>
    <col min="12" max="12" width="4.59765625" style="1" bestFit="1" customWidth="1"/>
    <col min="13" max="13" width="4.796875" style="1" bestFit="1" customWidth="1"/>
    <col min="14" max="14" width="3.296875" style="1" customWidth="1"/>
    <col min="15" max="15" width="9.69921875" style="1" bestFit="1" customWidth="1"/>
    <col min="16" max="16" width="3.296875" style="1" customWidth="1"/>
    <col min="17" max="17" width="8.19921875" style="1" bestFit="1" customWidth="1"/>
    <col min="18" max="18" width="12" style="1" bestFit="1" customWidth="1"/>
    <col min="19" max="19" width="3.296875" style="1" customWidth="1"/>
    <col min="20" max="16384" width="8.796875" style="1"/>
  </cols>
  <sheetData>
    <row r="1" spans="1:18" s="7" customFormat="1" ht="17.399999999999999" thickBot="1" x14ac:dyDescent="0.35">
      <c r="A1" s="23" t="s">
        <v>50</v>
      </c>
      <c r="B1" s="41" t="s">
        <v>22</v>
      </c>
      <c r="D1" s="23" t="s">
        <v>50</v>
      </c>
      <c r="E1" s="41" t="s">
        <v>111</v>
      </c>
      <c r="G1" s="23" t="s">
        <v>17</v>
      </c>
      <c r="H1" s="18" t="s">
        <v>7</v>
      </c>
      <c r="I1" s="19" t="s">
        <v>8</v>
      </c>
      <c r="J1" s="20" t="s">
        <v>9</v>
      </c>
      <c r="K1" s="21" t="s">
        <v>4</v>
      </c>
      <c r="L1" s="22" t="s">
        <v>5</v>
      </c>
      <c r="M1" s="17" t="s">
        <v>6</v>
      </c>
      <c r="O1" s="23" t="s">
        <v>56</v>
      </c>
      <c r="Q1" s="249" t="s">
        <v>62</v>
      </c>
      <c r="R1" s="245" t="s">
        <v>1279</v>
      </c>
    </row>
    <row r="2" spans="1:18" ht="16.8" x14ac:dyDescent="0.3">
      <c r="A2" s="24">
        <v>1</v>
      </c>
      <c r="B2" s="3" t="s">
        <v>23</v>
      </c>
      <c r="D2" s="24">
        <v>1</v>
      </c>
      <c r="E2" s="86" t="s">
        <v>112</v>
      </c>
      <c r="G2" s="24" t="s">
        <v>18</v>
      </c>
      <c r="I2" s="1">
        <v>-2</v>
      </c>
      <c r="J2" s="1">
        <v>2</v>
      </c>
      <c r="M2" s="42"/>
      <c r="O2" s="24" t="s">
        <v>52</v>
      </c>
      <c r="Q2" s="250">
        <v>1</v>
      </c>
      <c r="R2" s="246" t="s">
        <v>1278</v>
      </c>
    </row>
    <row r="3" spans="1:18" ht="16.8" x14ac:dyDescent="0.3">
      <c r="A3" s="24">
        <v>2</v>
      </c>
      <c r="B3" s="3" t="s">
        <v>24</v>
      </c>
      <c r="D3" s="24">
        <v>2</v>
      </c>
      <c r="E3" s="86" t="s">
        <v>113</v>
      </c>
      <c r="G3" s="24" t="s">
        <v>19</v>
      </c>
      <c r="M3" s="42"/>
      <c r="O3" s="24" t="s">
        <v>53</v>
      </c>
      <c r="Q3" s="250">
        <v>2</v>
      </c>
      <c r="R3" s="246" t="s">
        <v>1277</v>
      </c>
    </row>
    <row r="4" spans="1:18" ht="17.399999999999999" thickBot="1" x14ac:dyDescent="0.35">
      <c r="A4" s="24">
        <v>3</v>
      </c>
      <c r="B4" s="3" t="s">
        <v>25</v>
      </c>
      <c r="D4" s="24">
        <v>3</v>
      </c>
      <c r="E4" s="86" t="s">
        <v>114</v>
      </c>
      <c r="G4" s="24" t="s">
        <v>20</v>
      </c>
      <c r="H4" s="1">
        <v>-2</v>
      </c>
      <c r="K4" s="1">
        <v>2</v>
      </c>
      <c r="L4" s="1">
        <v>2</v>
      </c>
      <c r="M4" s="42"/>
      <c r="O4" s="25" t="s">
        <v>54</v>
      </c>
      <c r="Q4" s="250">
        <v>3</v>
      </c>
      <c r="R4" s="246" t="s">
        <v>1276</v>
      </c>
    </row>
    <row r="5" spans="1:18" ht="17.399999999999999" thickBot="1" x14ac:dyDescent="0.35">
      <c r="A5" s="24">
        <v>4</v>
      </c>
      <c r="B5" s="3" t="s">
        <v>26</v>
      </c>
      <c r="D5" s="24">
        <v>4</v>
      </c>
      <c r="E5" s="86" t="s">
        <v>115</v>
      </c>
      <c r="G5" s="25" t="s">
        <v>21</v>
      </c>
      <c r="H5" s="4"/>
      <c r="I5" s="4">
        <v>2</v>
      </c>
      <c r="J5" s="4"/>
      <c r="K5" s="4">
        <v>-2</v>
      </c>
      <c r="L5" s="4"/>
      <c r="M5" s="43">
        <v>-2</v>
      </c>
      <c r="Q5" s="250">
        <v>4</v>
      </c>
      <c r="R5" s="246" t="s">
        <v>1275</v>
      </c>
    </row>
    <row r="6" spans="1:18" ht="17.399999999999999" thickBot="1" x14ac:dyDescent="0.35">
      <c r="A6" s="24">
        <v>5</v>
      </c>
      <c r="B6" s="3" t="s">
        <v>27</v>
      </c>
      <c r="D6" s="24">
        <v>5</v>
      </c>
      <c r="E6" s="86" t="s">
        <v>116</v>
      </c>
      <c r="Q6" s="250">
        <v>5</v>
      </c>
      <c r="R6" s="246" t="s">
        <v>1274</v>
      </c>
    </row>
    <row r="7" spans="1:18" ht="17.399999999999999" thickBot="1" x14ac:dyDescent="0.35">
      <c r="A7" s="24">
        <v>6</v>
      </c>
      <c r="B7" s="3" t="s">
        <v>28</v>
      </c>
      <c r="D7" s="24">
        <v>6</v>
      </c>
      <c r="E7" s="86" t="s">
        <v>117</v>
      </c>
      <c r="G7" s="218" t="s">
        <v>81</v>
      </c>
      <c r="H7" s="41" t="s">
        <v>88</v>
      </c>
      <c r="Q7" s="250">
        <v>6</v>
      </c>
      <c r="R7" s="246" t="s">
        <v>1273</v>
      </c>
    </row>
    <row r="8" spans="1:18" ht="16.8" x14ac:dyDescent="0.3">
      <c r="A8" s="24">
        <v>7</v>
      </c>
      <c r="B8" s="3" t="s">
        <v>29</v>
      </c>
      <c r="D8" s="24">
        <v>7</v>
      </c>
      <c r="E8" s="86" t="s">
        <v>118</v>
      </c>
      <c r="G8" s="216" t="s">
        <v>176</v>
      </c>
      <c r="H8" s="42">
        <v>0</v>
      </c>
      <c r="Q8" s="250">
        <v>7</v>
      </c>
      <c r="R8" s="246" t="s">
        <v>1272</v>
      </c>
    </row>
    <row r="9" spans="1:18" ht="16.8" x14ac:dyDescent="0.3">
      <c r="A9" s="24">
        <v>8</v>
      </c>
      <c r="B9" s="3" t="s">
        <v>30</v>
      </c>
      <c r="D9" s="24">
        <v>8</v>
      </c>
      <c r="E9" s="86" t="s">
        <v>119</v>
      </c>
      <c r="G9" s="216" t="s">
        <v>1181</v>
      </c>
      <c r="H9" s="42">
        <v>1</v>
      </c>
      <c r="Q9" s="250">
        <v>8</v>
      </c>
      <c r="R9" s="246" t="s">
        <v>1271</v>
      </c>
    </row>
    <row r="10" spans="1:18" ht="16.8" x14ac:dyDescent="0.3">
      <c r="A10" s="24">
        <v>9</v>
      </c>
      <c r="B10" s="3" t="s">
        <v>31</v>
      </c>
      <c r="D10" s="24">
        <v>9</v>
      </c>
      <c r="E10" s="86" t="s">
        <v>120</v>
      </c>
      <c r="G10" s="216" t="s">
        <v>1182</v>
      </c>
      <c r="H10" s="42">
        <v>2</v>
      </c>
      <c r="Q10" s="250">
        <v>9</v>
      </c>
      <c r="R10" s="246" t="s">
        <v>1270</v>
      </c>
    </row>
    <row r="11" spans="1:18" ht="16.8" x14ac:dyDescent="0.3">
      <c r="A11" s="24">
        <v>10</v>
      </c>
      <c r="B11" s="3" t="s">
        <v>32</v>
      </c>
      <c r="D11" s="24">
        <v>10</v>
      </c>
      <c r="E11" s="86" t="s">
        <v>121</v>
      </c>
      <c r="G11" s="216" t="s">
        <v>1183</v>
      </c>
      <c r="H11" s="42">
        <v>2</v>
      </c>
      <c r="Q11" s="250">
        <v>10</v>
      </c>
      <c r="R11" s="246" t="s">
        <v>1269</v>
      </c>
    </row>
    <row r="12" spans="1:18" ht="16.8" x14ac:dyDescent="0.3">
      <c r="A12" s="24">
        <v>11</v>
      </c>
      <c r="B12" s="3" t="s">
        <v>33</v>
      </c>
      <c r="D12" s="24">
        <v>11</v>
      </c>
      <c r="E12" s="86" t="s">
        <v>122</v>
      </c>
      <c r="G12" s="216" t="s">
        <v>1184</v>
      </c>
      <c r="H12" s="42">
        <v>2</v>
      </c>
      <c r="Q12" s="250">
        <v>11</v>
      </c>
      <c r="R12" s="246" t="s">
        <v>1268</v>
      </c>
    </row>
    <row r="13" spans="1:18" ht="16.8" x14ac:dyDescent="0.3">
      <c r="A13" s="24">
        <v>12</v>
      </c>
      <c r="B13" s="3" t="s">
        <v>34</v>
      </c>
      <c r="D13" s="24">
        <v>12</v>
      </c>
      <c r="E13" s="86" t="s">
        <v>123</v>
      </c>
      <c r="G13" s="216" t="s">
        <v>1193</v>
      </c>
      <c r="H13" s="42">
        <v>2</v>
      </c>
      <c r="Q13" s="250">
        <v>12</v>
      </c>
      <c r="R13" s="247" t="s">
        <v>1267</v>
      </c>
    </row>
    <row r="14" spans="1:18" ht="16.8" x14ac:dyDescent="0.3">
      <c r="A14" s="24">
        <v>13</v>
      </c>
      <c r="B14" s="44" t="s">
        <v>35</v>
      </c>
      <c r="D14" s="24">
        <v>13</v>
      </c>
      <c r="E14" s="86" t="s">
        <v>124</v>
      </c>
      <c r="G14" s="216" t="s">
        <v>1185</v>
      </c>
      <c r="H14" s="42">
        <v>3</v>
      </c>
      <c r="Q14" s="250">
        <v>13</v>
      </c>
      <c r="R14" s="246" t="s">
        <v>1266</v>
      </c>
    </row>
    <row r="15" spans="1:18" ht="16.8" x14ac:dyDescent="0.3">
      <c r="A15" s="24">
        <v>14</v>
      </c>
      <c r="B15" s="44" t="s">
        <v>36</v>
      </c>
      <c r="D15" s="24">
        <v>14</v>
      </c>
      <c r="E15" s="86" t="s">
        <v>125</v>
      </c>
      <c r="G15" s="216" t="s">
        <v>1186</v>
      </c>
      <c r="H15" s="42">
        <v>4</v>
      </c>
      <c r="Q15" s="250">
        <v>14</v>
      </c>
      <c r="R15" s="246" t="s">
        <v>1265</v>
      </c>
    </row>
    <row r="16" spans="1:18" ht="16.8" x14ac:dyDescent="0.3">
      <c r="A16" s="24">
        <v>15</v>
      </c>
      <c r="B16" s="44" t="s">
        <v>37</v>
      </c>
      <c r="D16" s="24">
        <v>15</v>
      </c>
      <c r="E16" s="86" t="s">
        <v>126</v>
      </c>
      <c r="G16" s="216" t="s">
        <v>1187</v>
      </c>
      <c r="H16" s="42">
        <v>5</v>
      </c>
      <c r="Q16" s="250">
        <v>15</v>
      </c>
      <c r="R16" s="246" t="s">
        <v>1264</v>
      </c>
    </row>
    <row r="17" spans="1:18" ht="16.8" x14ac:dyDescent="0.3">
      <c r="A17" s="24">
        <v>16</v>
      </c>
      <c r="B17" s="44" t="s">
        <v>38</v>
      </c>
      <c r="D17" s="24">
        <v>16</v>
      </c>
      <c r="E17" s="86" t="s">
        <v>127</v>
      </c>
      <c r="G17" s="216" t="s">
        <v>1188</v>
      </c>
      <c r="H17" s="42">
        <v>5</v>
      </c>
      <c r="Q17" s="250">
        <v>16</v>
      </c>
      <c r="R17" s="246" t="s">
        <v>1263</v>
      </c>
    </row>
    <row r="18" spans="1:18" ht="16.8" x14ac:dyDescent="0.3">
      <c r="A18" s="24">
        <v>17</v>
      </c>
      <c r="B18" s="44" t="s">
        <v>39</v>
      </c>
      <c r="D18" s="24">
        <v>17</v>
      </c>
      <c r="E18" s="86" t="s">
        <v>128</v>
      </c>
      <c r="G18" s="216" t="s">
        <v>1189</v>
      </c>
      <c r="H18" s="42">
        <v>6</v>
      </c>
      <c r="Q18" s="250">
        <v>17</v>
      </c>
      <c r="R18" s="246" t="s">
        <v>1262</v>
      </c>
    </row>
    <row r="19" spans="1:18" ht="16.8" x14ac:dyDescent="0.3">
      <c r="A19" s="24">
        <v>18</v>
      </c>
      <c r="B19" s="44" t="s">
        <v>40</v>
      </c>
      <c r="D19" s="24">
        <v>18</v>
      </c>
      <c r="E19" s="86" t="s">
        <v>129</v>
      </c>
      <c r="G19" s="216" t="s">
        <v>1194</v>
      </c>
      <c r="H19" s="42">
        <v>6</v>
      </c>
      <c r="Q19" s="250">
        <v>18</v>
      </c>
      <c r="R19" s="246" t="s">
        <v>1258</v>
      </c>
    </row>
    <row r="20" spans="1:18" ht="16.8" x14ac:dyDescent="0.3">
      <c r="A20" s="24">
        <v>19</v>
      </c>
      <c r="B20" s="44" t="s">
        <v>41</v>
      </c>
      <c r="D20" s="24">
        <v>19</v>
      </c>
      <c r="E20" s="86" t="s">
        <v>130</v>
      </c>
      <c r="G20" s="216" t="s">
        <v>1190</v>
      </c>
      <c r="H20" s="42">
        <v>7</v>
      </c>
      <c r="Q20" s="250">
        <v>19</v>
      </c>
      <c r="R20" s="246" t="s">
        <v>1261</v>
      </c>
    </row>
    <row r="21" spans="1:18" ht="16.8" x14ac:dyDescent="0.3">
      <c r="A21" s="24">
        <v>20</v>
      </c>
      <c r="B21" s="44" t="s">
        <v>42</v>
      </c>
      <c r="D21" s="24">
        <v>20</v>
      </c>
      <c r="E21" s="86" t="s">
        <v>131</v>
      </c>
      <c r="G21" s="216" t="s">
        <v>1191</v>
      </c>
      <c r="H21" s="42">
        <v>8</v>
      </c>
      <c r="Q21" s="250">
        <v>20</v>
      </c>
      <c r="R21" s="246" t="s">
        <v>1260</v>
      </c>
    </row>
    <row r="22" spans="1:18" ht="17.399999999999999" thickBot="1" x14ac:dyDescent="0.35">
      <c r="A22" s="24">
        <v>21</v>
      </c>
      <c r="B22" s="44" t="s">
        <v>43</v>
      </c>
      <c r="D22" s="24">
        <v>21</v>
      </c>
      <c r="E22" s="86" t="s">
        <v>132</v>
      </c>
      <c r="G22" s="217" t="s">
        <v>1192</v>
      </c>
      <c r="H22" s="43">
        <v>9</v>
      </c>
      <c r="Q22" s="250">
        <v>21</v>
      </c>
      <c r="R22" s="246" t="s">
        <v>1259</v>
      </c>
    </row>
    <row r="23" spans="1:18" ht="17.399999999999999" thickBot="1" x14ac:dyDescent="0.35">
      <c r="A23" s="24">
        <v>22</v>
      </c>
      <c r="B23" s="44" t="s">
        <v>44</v>
      </c>
      <c r="D23" s="24">
        <v>22</v>
      </c>
      <c r="E23" s="86" t="s">
        <v>133</v>
      </c>
      <c r="Q23" s="251">
        <v>22</v>
      </c>
      <c r="R23" s="248" t="s">
        <v>1258</v>
      </c>
    </row>
    <row r="24" spans="1:18" x14ac:dyDescent="0.3">
      <c r="A24" s="24">
        <v>23</v>
      </c>
      <c r="B24" s="44" t="s">
        <v>45</v>
      </c>
      <c r="D24" s="24">
        <v>23</v>
      </c>
      <c r="E24" s="86" t="s">
        <v>134</v>
      </c>
    </row>
    <row r="25" spans="1:18" x14ac:dyDescent="0.3">
      <c r="A25" s="24">
        <v>24</v>
      </c>
      <c r="B25" s="44" t="s">
        <v>46</v>
      </c>
      <c r="D25" s="24">
        <v>24</v>
      </c>
      <c r="E25" s="86" t="s">
        <v>135</v>
      </c>
    </row>
    <row r="26" spans="1:18" x14ac:dyDescent="0.3">
      <c r="A26" s="24">
        <v>25</v>
      </c>
      <c r="B26" s="44" t="s">
        <v>108</v>
      </c>
      <c r="D26" s="24">
        <v>25</v>
      </c>
      <c r="E26" s="86" t="s">
        <v>136</v>
      </c>
    </row>
    <row r="27" spans="1:18" x14ac:dyDescent="0.3">
      <c r="A27" s="24">
        <v>26</v>
      </c>
      <c r="B27" s="44" t="s">
        <v>109</v>
      </c>
      <c r="D27" s="24">
        <v>26</v>
      </c>
      <c r="E27" s="86" t="s">
        <v>137</v>
      </c>
    </row>
    <row r="28" spans="1:18" x14ac:dyDescent="0.3">
      <c r="A28" s="24">
        <v>27</v>
      </c>
      <c r="B28" s="44" t="s">
        <v>110</v>
      </c>
      <c r="D28" s="24">
        <v>27</v>
      </c>
      <c r="E28" s="86" t="s">
        <v>138</v>
      </c>
    </row>
    <row r="29" spans="1:18" x14ac:dyDescent="0.3">
      <c r="A29" s="24">
        <v>28</v>
      </c>
      <c r="B29" s="45" t="s">
        <v>47</v>
      </c>
      <c r="D29" s="24">
        <v>28</v>
      </c>
      <c r="E29" s="86" t="s">
        <v>139</v>
      </c>
    </row>
    <row r="30" spans="1:18" x14ac:dyDescent="0.3">
      <c r="A30" s="24">
        <v>29</v>
      </c>
      <c r="B30" s="45" t="s">
        <v>48</v>
      </c>
      <c r="D30" s="24">
        <v>29</v>
      </c>
      <c r="E30" s="86" t="s">
        <v>140</v>
      </c>
    </row>
    <row r="31" spans="1:18" x14ac:dyDescent="0.3">
      <c r="A31" s="24">
        <v>30</v>
      </c>
      <c r="B31" s="45" t="s">
        <v>49</v>
      </c>
      <c r="D31" s="24">
        <v>30</v>
      </c>
      <c r="E31" s="86" t="s">
        <v>141</v>
      </c>
    </row>
    <row r="32" spans="1:18" ht="16.2" thickBot="1" x14ac:dyDescent="0.35">
      <c r="A32" s="25">
        <v>31</v>
      </c>
      <c r="B32" s="85" t="s">
        <v>51</v>
      </c>
      <c r="D32" s="25">
        <v>31</v>
      </c>
      <c r="E32" s="85" t="s">
        <v>142</v>
      </c>
    </row>
  </sheetData>
  <sortState xmlns:xlrd2="http://schemas.microsoft.com/office/spreadsheetml/2017/richdata2" ref="G8:H22">
    <sortCondition ref="H8:H22"/>
  </sortState>
  <conditionalFormatting sqref="H2:M5">
    <cfRule type="cellIs" dxfId="0" priority="1" operator="equal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showGridLines="0" workbookViewId="0"/>
  </sheetViews>
  <sheetFormatPr defaultRowHeight="15.6" x14ac:dyDescent="0.3"/>
  <cols>
    <col min="1" max="1" width="5.8984375" style="1" bestFit="1" customWidth="1"/>
    <col min="2" max="4" width="2.8984375" bestFit="1" customWidth="1"/>
    <col min="5" max="5" width="9" style="1" customWidth="1"/>
    <col min="6" max="7" width="4.5" customWidth="1"/>
    <col min="8" max="11" width="2.8984375" bestFit="1" customWidth="1"/>
    <col min="12" max="12" width="3.8984375" bestFit="1" customWidth="1"/>
    <col min="13" max="13" width="7.5" bestFit="1" customWidth="1"/>
    <col min="14" max="14" width="4.5" customWidth="1"/>
    <col min="15" max="15" width="5.09765625" bestFit="1" customWidth="1"/>
    <col min="16" max="20" width="2.8984375" bestFit="1" customWidth="1"/>
    <col min="21" max="21" width="3.8984375" bestFit="1" customWidth="1"/>
    <col min="22" max="22" width="8.19921875" bestFit="1" customWidth="1"/>
  </cols>
  <sheetData>
    <row r="1" spans="1:22" s="15" customFormat="1" ht="16.2" thickBot="1" x14ac:dyDescent="0.35">
      <c r="A1" s="2" t="s">
        <v>15</v>
      </c>
      <c r="B1" s="2"/>
      <c r="C1" s="2"/>
      <c r="D1" s="2"/>
      <c r="E1" s="7"/>
      <c r="G1" s="2" t="s">
        <v>14</v>
      </c>
      <c r="H1" s="2"/>
      <c r="I1" s="2"/>
      <c r="J1" s="2"/>
      <c r="K1" s="2"/>
      <c r="L1" s="2"/>
      <c r="M1" s="2"/>
      <c r="O1" s="2" t="s">
        <v>13</v>
      </c>
      <c r="P1" s="2"/>
      <c r="Q1" s="2"/>
      <c r="R1" s="2"/>
      <c r="S1" s="2"/>
      <c r="T1" s="2"/>
      <c r="U1" s="2"/>
      <c r="V1" s="2"/>
    </row>
    <row r="2" spans="1:22" s="1" customFormat="1" ht="18.600000000000001" thickBot="1" x14ac:dyDescent="0.45">
      <c r="A2" s="8" t="s">
        <v>3</v>
      </c>
      <c r="B2" s="16" t="s">
        <v>0</v>
      </c>
      <c r="C2" s="16" t="s">
        <v>0</v>
      </c>
      <c r="D2" s="16" t="s">
        <v>0</v>
      </c>
      <c r="E2" s="8" t="s">
        <v>12</v>
      </c>
      <c r="G2" s="8" t="s">
        <v>3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1</v>
      </c>
      <c r="M2" s="8" t="s">
        <v>2</v>
      </c>
      <c r="O2" s="8" t="s">
        <v>3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10</v>
      </c>
      <c r="V2" s="8" t="s">
        <v>11</v>
      </c>
    </row>
    <row r="3" spans="1:22" ht="16.8" x14ac:dyDescent="0.3">
      <c r="A3" s="9" t="s">
        <v>7</v>
      </c>
      <c r="B3" s="1">
        <f t="shared" ref="B3:D8" ca="1" si="0">RANDBETWEEN(1,6)</f>
        <v>1</v>
      </c>
      <c r="C3" s="1">
        <f t="shared" ca="1" si="0"/>
        <v>4</v>
      </c>
      <c r="D3" s="1">
        <f t="shared" ca="1" si="0"/>
        <v>1</v>
      </c>
      <c r="E3" s="5">
        <f t="shared" ref="E3:E8" ca="1" si="1">SUM(B3:D3)</f>
        <v>6</v>
      </c>
      <c r="G3" s="9" t="s">
        <v>7</v>
      </c>
      <c r="H3" s="1">
        <f t="shared" ref="H3:K8" ca="1" si="2">RANDBETWEEN(1,6)</f>
        <v>6</v>
      </c>
      <c r="I3" s="1">
        <f t="shared" ca="1" si="2"/>
        <v>1</v>
      </c>
      <c r="J3" s="1">
        <f t="shared" ca="1" si="2"/>
        <v>1</v>
      </c>
      <c r="K3" s="1">
        <f t="shared" ca="1" si="2"/>
        <v>1</v>
      </c>
      <c r="L3" s="1">
        <f t="shared" ref="L3:L8" ca="1" si="3">SUM(H3:K3)</f>
        <v>9</v>
      </c>
      <c r="M3" s="5">
        <f t="shared" ref="M3:M8" ca="1" si="4">L3-SMALL(H3:K3,1)</f>
        <v>8</v>
      </c>
      <c r="O3" s="9" t="s">
        <v>7</v>
      </c>
      <c r="P3" s="1">
        <f t="shared" ref="P3:T8" ca="1" si="5">RANDBETWEEN(1,6)</f>
        <v>3</v>
      </c>
      <c r="Q3" s="1">
        <f t="shared" ca="1" si="5"/>
        <v>1</v>
      </c>
      <c r="R3" s="1">
        <f t="shared" ca="1" si="5"/>
        <v>6</v>
      </c>
      <c r="S3" s="1">
        <f t="shared" ca="1" si="5"/>
        <v>6</v>
      </c>
      <c r="T3" s="1">
        <f t="shared" ca="1" si="5"/>
        <v>1</v>
      </c>
      <c r="U3" s="1">
        <f t="shared" ref="U3:U8" ca="1" si="6">SUM(P3:T3)</f>
        <v>17</v>
      </c>
      <c r="V3" s="5">
        <f t="shared" ref="V3:V8" ca="1" si="7">U3-SMALL(P3:T3,1)-SMALL(P3:T3,2)</f>
        <v>15</v>
      </c>
    </row>
    <row r="4" spans="1:22" ht="16.8" x14ac:dyDescent="0.3">
      <c r="A4" s="10" t="s">
        <v>8</v>
      </c>
      <c r="B4" s="1">
        <f t="shared" ca="1" si="0"/>
        <v>2</v>
      </c>
      <c r="C4" s="1">
        <f t="shared" ca="1" si="0"/>
        <v>3</v>
      </c>
      <c r="D4" s="1">
        <f t="shared" ca="1" si="0"/>
        <v>3</v>
      </c>
      <c r="E4" s="5">
        <f t="shared" ca="1" si="1"/>
        <v>8</v>
      </c>
      <c r="G4" s="10" t="s">
        <v>8</v>
      </c>
      <c r="H4" s="1">
        <f t="shared" ca="1" si="2"/>
        <v>5</v>
      </c>
      <c r="I4" s="1">
        <f t="shared" ca="1" si="2"/>
        <v>5</v>
      </c>
      <c r="J4" s="1">
        <f t="shared" ca="1" si="2"/>
        <v>6</v>
      </c>
      <c r="K4" s="1">
        <f t="shared" ca="1" si="2"/>
        <v>2</v>
      </c>
      <c r="L4" s="1">
        <f t="shared" ca="1" si="3"/>
        <v>18</v>
      </c>
      <c r="M4" s="5">
        <f t="shared" ca="1" si="4"/>
        <v>16</v>
      </c>
      <c r="O4" s="10" t="s">
        <v>8</v>
      </c>
      <c r="P4" s="1">
        <f t="shared" ca="1" si="5"/>
        <v>2</v>
      </c>
      <c r="Q4" s="1">
        <f t="shared" ca="1" si="5"/>
        <v>4</v>
      </c>
      <c r="R4" s="1">
        <f t="shared" ca="1" si="5"/>
        <v>1</v>
      </c>
      <c r="S4" s="1">
        <f t="shared" ca="1" si="5"/>
        <v>1</v>
      </c>
      <c r="T4" s="1">
        <f t="shared" ca="1" si="5"/>
        <v>6</v>
      </c>
      <c r="U4" s="1">
        <f t="shared" ca="1" si="6"/>
        <v>14</v>
      </c>
      <c r="V4" s="5">
        <f t="shared" ca="1" si="7"/>
        <v>12</v>
      </c>
    </row>
    <row r="5" spans="1:22" ht="16.8" x14ac:dyDescent="0.3">
      <c r="A5" s="11" t="s">
        <v>9</v>
      </c>
      <c r="B5" s="1">
        <f t="shared" ca="1" si="0"/>
        <v>3</v>
      </c>
      <c r="C5" s="1">
        <f t="shared" ca="1" si="0"/>
        <v>2</v>
      </c>
      <c r="D5" s="1">
        <f t="shared" ca="1" si="0"/>
        <v>2</v>
      </c>
      <c r="E5" s="5">
        <f t="shared" ca="1" si="1"/>
        <v>7</v>
      </c>
      <c r="G5" s="11" t="s">
        <v>9</v>
      </c>
      <c r="H5" s="1">
        <f t="shared" ca="1" si="2"/>
        <v>3</v>
      </c>
      <c r="I5" s="1">
        <f t="shared" ca="1" si="2"/>
        <v>5</v>
      </c>
      <c r="J5" s="1">
        <f t="shared" ca="1" si="2"/>
        <v>5</v>
      </c>
      <c r="K5" s="1">
        <f t="shared" ca="1" si="2"/>
        <v>4</v>
      </c>
      <c r="L5" s="1">
        <f t="shared" ca="1" si="3"/>
        <v>17</v>
      </c>
      <c r="M5" s="5">
        <f t="shared" ca="1" si="4"/>
        <v>14</v>
      </c>
      <c r="O5" s="11" t="s">
        <v>9</v>
      </c>
      <c r="P5" s="1">
        <f t="shared" ca="1" si="5"/>
        <v>5</v>
      </c>
      <c r="Q5" s="1">
        <f t="shared" ca="1" si="5"/>
        <v>2</v>
      </c>
      <c r="R5" s="1">
        <f t="shared" ca="1" si="5"/>
        <v>6</v>
      </c>
      <c r="S5" s="1">
        <f t="shared" ca="1" si="5"/>
        <v>3</v>
      </c>
      <c r="T5" s="1">
        <f t="shared" ca="1" si="5"/>
        <v>2</v>
      </c>
      <c r="U5" s="1">
        <f t="shared" ca="1" si="6"/>
        <v>18</v>
      </c>
      <c r="V5" s="5">
        <f t="shared" ca="1" si="7"/>
        <v>14</v>
      </c>
    </row>
    <row r="6" spans="1:22" ht="16.8" x14ac:dyDescent="0.3">
      <c r="A6" s="12" t="s">
        <v>4</v>
      </c>
      <c r="B6" s="1">
        <f t="shared" ca="1" si="0"/>
        <v>2</v>
      </c>
      <c r="C6" s="1">
        <f t="shared" ca="1" si="0"/>
        <v>3</v>
      </c>
      <c r="D6" s="1">
        <f t="shared" ca="1" si="0"/>
        <v>1</v>
      </c>
      <c r="E6" s="5">
        <f t="shared" ca="1" si="1"/>
        <v>6</v>
      </c>
      <c r="G6" s="12" t="s">
        <v>4</v>
      </c>
      <c r="H6" s="1">
        <f t="shared" ca="1" si="2"/>
        <v>3</v>
      </c>
      <c r="I6" s="1">
        <f t="shared" ca="1" si="2"/>
        <v>5</v>
      </c>
      <c r="J6" s="1">
        <f t="shared" ca="1" si="2"/>
        <v>4</v>
      </c>
      <c r="K6" s="1">
        <f t="shared" ca="1" si="2"/>
        <v>2</v>
      </c>
      <c r="L6" s="1">
        <f t="shared" ca="1" si="3"/>
        <v>14</v>
      </c>
      <c r="M6" s="5">
        <f t="shared" ca="1" si="4"/>
        <v>12</v>
      </c>
      <c r="O6" s="12" t="s">
        <v>4</v>
      </c>
      <c r="P6" s="1">
        <f t="shared" ca="1" si="5"/>
        <v>2</v>
      </c>
      <c r="Q6" s="1">
        <f t="shared" ca="1" si="5"/>
        <v>5</v>
      </c>
      <c r="R6" s="1">
        <f t="shared" ca="1" si="5"/>
        <v>6</v>
      </c>
      <c r="S6" s="1">
        <f t="shared" ca="1" si="5"/>
        <v>6</v>
      </c>
      <c r="T6" s="1">
        <f t="shared" ca="1" si="5"/>
        <v>4</v>
      </c>
      <c r="U6" s="1">
        <f t="shared" ca="1" si="6"/>
        <v>23</v>
      </c>
      <c r="V6" s="5">
        <f t="shared" ca="1" si="7"/>
        <v>17</v>
      </c>
    </row>
    <row r="7" spans="1:22" ht="16.8" x14ac:dyDescent="0.3">
      <c r="A7" s="13" t="s">
        <v>5</v>
      </c>
      <c r="B7" s="1">
        <f t="shared" ca="1" si="0"/>
        <v>6</v>
      </c>
      <c r="C7" s="1">
        <f t="shared" ca="1" si="0"/>
        <v>1</v>
      </c>
      <c r="D7" s="1">
        <f t="shared" ca="1" si="0"/>
        <v>6</v>
      </c>
      <c r="E7" s="5">
        <f t="shared" ca="1" si="1"/>
        <v>13</v>
      </c>
      <c r="G7" s="13" t="s">
        <v>5</v>
      </c>
      <c r="H7" s="1">
        <f t="shared" ca="1" si="2"/>
        <v>6</v>
      </c>
      <c r="I7" s="1">
        <f t="shared" ca="1" si="2"/>
        <v>4</v>
      </c>
      <c r="J7" s="1">
        <f t="shared" ca="1" si="2"/>
        <v>1</v>
      </c>
      <c r="K7" s="1">
        <f t="shared" ca="1" si="2"/>
        <v>4</v>
      </c>
      <c r="L7" s="1">
        <f t="shared" ca="1" si="3"/>
        <v>15</v>
      </c>
      <c r="M7" s="5">
        <f t="shared" ca="1" si="4"/>
        <v>14</v>
      </c>
      <c r="O7" s="13" t="s">
        <v>5</v>
      </c>
      <c r="P7" s="1">
        <f t="shared" ca="1" si="5"/>
        <v>4</v>
      </c>
      <c r="Q7" s="1">
        <f t="shared" ca="1" si="5"/>
        <v>6</v>
      </c>
      <c r="R7" s="1">
        <f t="shared" ca="1" si="5"/>
        <v>2</v>
      </c>
      <c r="S7" s="1">
        <f t="shared" ca="1" si="5"/>
        <v>5</v>
      </c>
      <c r="T7" s="1">
        <f t="shared" ca="1" si="5"/>
        <v>2</v>
      </c>
      <c r="U7" s="1">
        <f t="shared" ca="1" si="6"/>
        <v>19</v>
      </c>
      <c r="V7" s="5">
        <f t="shared" ca="1" si="7"/>
        <v>15</v>
      </c>
    </row>
    <row r="8" spans="1:22" ht="17.399999999999999" thickBot="1" x14ac:dyDescent="0.35">
      <c r="A8" s="14" t="s">
        <v>6</v>
      </c>
      <c r="B8" s="4">
        <f t="shared" ca="1" si="0"/>
        <v>6</v>
      </c>
      <c r="C8" s="4">
        <f t="shared" ca="1" si="0"/>
        <v>6</v>
      </c>
      <c r="D8" s="4">
        <f t="shared" ca="1" si="0"/>
        <v>4</v>
      </c>
      <c r="E8" s="6">
        <f t="shared" ca="1" si="1"/>
        <v>16</v>
      </c>
      <c r="G8" s="14" t="s">
        <v>6</v>
      </c>
      <c r="H8" s="4">
        <f t="shared" ca="1" si="2"/>
        <v>5</v>
      </c>
      <c r="I8" s="4">
        <f t="shared" ca="1" si="2"/>
        <v>3</v>
      </c>
      <c r="J8" s="4">
        <f t="shared" ca="1" si="2"/>
        <v>3</v>
      </c>
      <c r="K8" s="4">
        <f t="shared" ca="1" si="2"/>
        <v>2</v>
      </c>
      <c r="L8" s="4">
        <f t="shared" ca="1" si="3"/>
        <v>13</v>
      </c>
      <c r="M8" s="6">
        <f t="shared" ca="1" si="4"/>
        <v>11</v>
      </c>
      <c r="O8" s="14" t="s">
        <v>6</v>
      </c>
      <c r="P8" s="4">
        <f t="shared" ca="1" si="5"/>
        <v>3</v>
      </c>
      <c r="Q8" s="4">
        <f t="shared" ca="1" si="5"/>
        <v>2</v>
      </c>
      <c r="R8" s="4">
        <f t="shared" ca="1" si="5"/>
        <v>1</v>
      </c>
      <c r="S8" s="4">
        <f t="shared" ca="1" si="5"/>
        <v>4</v>
      </c>
      <c r="T8" s="4">
        <f t="shared" ca="1" si="5"/>
        <v>3</v>
      </c>
      <c r="U8" s="4">
        <f t="shared" ca="1" si="6"/>
        <v>13</v>
      </c>
      <c r="V8" s="6">
        <f t="shared" ca="1" si="7"/>
        <v>10</v>
      </c>
    </row>
    <row r="9" spans="1:22" x14ac:dyDescent="0.3">
      <c r="C9" s="1"/>
      <c r="D9" s="1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Factions</vt:lpstr>
      <vt:lpstr>Vehicles</vt:lpstr>
      <vt:lpstr>Weapons</vt:lpstr>
      <vt:lpstr>NPC Generator</vt:lpstr>
      <vt:lpstr>Port Loren regulars</vt:lpstr>
      <vt:lpstr>Purchase DCs</vt:lpstr>
      <vt:lpstr>¡RefTables</vt:lpstr>
      <vt:lpstr>¡RefAbilities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 Alexis Álvarez 2020</dc:creator>
  <cp:lastModifiedBy>Alexis Álvarez</cp:lastModifiedBy>
  <cp:lastPrinted>2020-06-27T19:35:33Z</cp:lastPrinted>
  <dcterms:created xsi:type="dcterms:W3CDTF">2012-06-06T16:11:39Z</dcterms:created>
  <dcterms:modified xsi:type="dcterms:W3CDTF">2023-09-25T16:25:56Z</dcterms:modified>
</cp:coreProperties>
</file>