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"/>
    </mc:Choice>
  </mc:AlternateContent>
  <xr:revisionPtr revIDLastSave="0" documentId="13_ncr:1_{A1AF4A35-E67F-4174-9582-D24B37891BF1}" xr6:coauthVersionLast="47" xr6:coauthVersionMax="47" xr10:uidLastSave="{00000000-0000-0000-0000-000000000000}"/>
  <bookViews>
    <workbookView xWindow="-108" yWindow="-108" windowWidth="23256" windowHeight="13176" tabRatio="494" xr2:uid="{00000000-000D-0000-FFFF-FFFF00000000}"/>
  </bookViews>
  <sheets>
    <sheet name="Initiative" sheetId="1" r:id="rId1"/>
    <sheet name="Members" sheetId="12" r:id="rId2"/>
    <sheet name="Skills" sheetId="13" r:id="rId3"/>
    <sheet name="Spells" sheetId="10" r:id="rId4"/>
    <sheet name="Attacks" sheetId="9" r:id="rId5"/>
    <sheet name="Saves" sheetId="7" r:id="rId6"/>
    <sheet name="hps" sheetId="5" r:id="rId7"/>
    <sheet name="Rolls" sheetId="11" r:id="rId8"/>
  </sheets>
  <externalReferences>
    <externalReference r:id="rId9"/>
  </externalReferences>
  <definedNames>
    <definedName name="_xlnm._FilterDatabase" localSheetId="1" hidden="1">Members!$A$1:$AO$1</definedName>
    <definedName name="NoShade">'[1]Spell Sheet'!$FH$1</definedName>
    <definedName name="_xlnm.Print_Area" localSheetId="2">Skills!$A$1:$V$35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9" l="1"/>
  <c r="K2" i="9"/>
  <c r="N2" i="9" s="1"/>
  <c r="J3" i="9"/>
  <c r="K3" i="9"/>
  <c r="N3" i="9" s="1"/>
  <c r="J4" i="9"/>
  <c r="K4" i="9"/>
  <c r="L4" i="9" s="1"/>
  <c r="J5" i="9"/>
  <c r="K5" i="9"/>
  <c r="N5" i="9" s="1"/>
  <c r="L3" i="9" l="1"/>
  <c r="N4" i="9"/>
  <c r="L5" i="9"/>
  <c r="L2" i="9"/>
  <c r="V12" i="5"/>
  <c r="AA12" i="5" s="1"/>
  <c r="AB12" i="5" s="1"/>
  <c r="V11" i="5"/>
  <c r="AA11" i="5" s="1"/>
  <c r="AB11" i="5" s="1"/>
  <c r="V10" i="5"/>
  <c r="AA10" i="5" s="1"/>
  <c r="AB10" i="5" s="1"/>
  <c r="V13" i="5"/>
  <c r="AA13" i="5" s="1"/>
  <c r="AB13" i="5" s="1"/>
  <c r="D9" i="1" l="1"/>
  <c r="D8" i="1"/>
  <c r="D7" i="1"/>
  <c r="D6" i="1"/>
  <c r="D5" i="1"/>
  <c r="D4" i="1"/>
  <c r="D3" i="1"/>
  <c r="E3" i="1" s="1"/>
  <c r="D2" i="1"/>
  <c r="K11" i="9"/>
  <c r="N11" i="9" s="1"/>
  <c r="J11" i="9"/>
  <c r="J6" i="9"/>
  <c r="K6" i="9"/>
  <c r="N6" i="9" s="1"/>
  <c r="K9" i="9"/>
  <c r="N9" i="9" s="1"/>
  <c r="J9" i="9"/>
  <c r="K8" i="9"/>
  <c r="N8" i="9" s="1"/>
  <c r="J8" i="9"/>
  <c r="Z5" i="5"/>
  <c r="D8" i="7"/>
  <c r="E8" i="7" s="1"/>
  <c r="D2" i="7"/>
  <c r="E2" i="7" s="1"/>
  <c r="D3" i="7"/>
  <c r="E3" i="7" s="1"/>
  <c r="D4" i="7"/>
  <c r="E4" i="7" s="1"/>
  <c r="D5" i="7"/>
  <c r="E5" i="7" s="1"/>
  <c r="D6" i="7"/>
  <c r="E6" i="7" s="1"/>
  <c r="K10" i="9"/>
  <c r="N10" i="9" s="1"/>
  <c r="J10" i="9"/>
  <c r="L11" i="9" l="1"/>
  <c r="L9" i="9"/>
  <c r="L6" i="9"/>
  <c r="L8" i="9"/>
  <c r="L10" i="9"/>
  <c r="K14" i="9"/>
  <c r="N14" i="9" s="1"/>
  <c r="J14" i="9"/>
  <c r="J7" i="9"/>
  <c r="K7" i="9"/>
  <c r="X4" i="12"/>
  <c r="W4" i="12"/>
  <c r="V4" i="12"/>
  <c r="T4" i="12"/>
  <c r="R4" i="12"/>
  <c r="P4" i="12"/>
  <c r="N4" i="12"/>
  <c r="L4" i="12"/>
  <c r="X3" i="12"/>
  <c r="W3" i="12"/>
  <c r="V3" i="12"/>
  <c r="T3" i="12"/>
  <c r="R3" i="12"/>
  <c r="P3" i="12"/>
  <c r="N3" i="12"/>
  <c r="L3" i="12"/>
  <c r="X2" i="12"/>
  <c r="W2" i="12"/>
  <c r="V2" i="12"/>
  <c r="T2" i="12"/>
  <c r="R2" i="12"/>
  <c r="P2" i="12"/>
  <c r="N2" i="12"/>
  <c r="L2" i="12"/>
  <c r="J13" i="9"/>
  <c r="D2" i="5"/>
  <c r="C2" i="5"/>
  <c r="V4" i="5"/>
  <c r="AA4" i="5" s="1"/>
  <c r="AB4" i="5" s="1"/>
  <c r="V5" i="5"/>
  <c r="AA5" i="5" s="1"/>
  <c r="AB5" i="5" s="1"/>
  <c r="L7" i="9" l="1"/>
  <c r="L14" i="9"/>
  <c r="N7" i="9"/>
  <c r="E5" i="1"/>
  <c r="D11" i="1"/>
  <c r="V3" i="5" l="1"/>
  <c r="AA3" i="5" s="1"/>
  <c r="AB3" i="5" s="1"/>
  <c r="J12" i="9"/>
  <c r="K12" i="9"/>
  <c r="N12" i="9" s="1"/>
  <c r="L12" i="9" l="1"/>
  <c r="M7" i="1"/>
  <c r="M6" i="1"/>
  <c r="AP3" i="12"/>
  <c r="AP2" i="12"/>
  <c r="AP4" i="12"/>
  <c r="AD7" i="12"/>
  <c r="K17" i="9"/>
  <c r="N17" i="9" s="1"/>
  <c r="L17" i="9" l="1"/>
  <c r="J20" i="10"/>
  <c r="K20" i="10" s="1"/>
  <c r="M20" i="10" s="1"/>
  <c r="J21" i="10"/>
  <c r="K21" i="10" s="1"/>
  <c r="M21" i="10" s="1"/>
  <c r="J22" i="10"/>
  <c r="K22" i="10" s="1"/>
  <c r="M22" i="10" s="1"/>
  <c r="N8" i="12" l="1"/>
  <c r="AF8" i="12" s="1"/>
  <c r="AG8" i="12"/>
  <c r="V8" i="5"/>
  <c r="J5" i="7"/>
  <c r="K5" i="7" s="1"/>
  <c r="J6" i="7"/>
  <c r="K6" i="7" s="1"/>
  <c r="J7" i="7"/>
  <c r="K7" i="7" s="1"/>
  <c r="J8" i="7"/>
  <c r="K8" i="7" s="1"/>
  <c r="J9" i="7"/>
  <c r="K9" i="7" s="1"/>
  <c r="J10" i="7"/>
  <c r="K10" i="7" s="1"/>
  <c r="AJ4" i="12"/>
  <c r="D51" i="13" s="1"/>
  <c r="M51" i="13"/>
  <c r="L51" i="13"/>
  <c r="K51" i="13"/>
  <c r="J51" i="13"/>
  <c r="I51" i="13"/>
  <c r="H51" i="13"/>
  <c r="G51" i="13"/>
  <c r="F51" i="13"/>
  <c r="E1" i="13"/>
  <c r="D1" i="13"/>
  <c r="C1" i="13"/>
  <c r="B1" i="13"/>
  <c r="AD8" i="12"/>
  <c r="Z8" i="12"/>
  <c r="X8" i="12"/>
  <c r="AB8" i="12" s="1"/>
  <c r="W8" i="12"/>
  <c r="V8" i="12"/>
  <c r="T8" i="12"/>
  <c r="R8" i="12"/>
  <c r="P8" i="12"/>
  <c r="L8" i="12"/>
  <c r="E51" i="13" l="1"/>
  <c r="AH8" i="12"/>
  <c r="D10" i="7"/>
  <c r="E10" i="7" s="1"/>
  <c r="D9" i="7"/>
  <c r="E9" i="7" s="1"/>
  <c r="D7" i="7"/>
  <c r="E7" i="7" s="1"/>
  <c r="E8" i="1"/>
  <c r="E7" i="1"/>
  <c r="E2" i="1"/>
  <c r="K16" i="9"/>
  <c r="N16" i="9" s="1"/>
  <c r="L16" i="9" l="1"/>
  <c r="V9" i="5" l="1"/>
  <c r="AA9" i="5" s="1"/>
  <c r="AB9" i="5" s="1"/>
  <c r="K15" i="9"/>
  <c r="N15" i="9" s="1"/>
  <c r="J15" i="9"/>
  <c r="K13" i="9"/>
  <c r="N13" i="9" s="1"/>
  <c r="L15" i="9" l="1"/>
  <c r="L13" i="9"/>
  <c r="V7" i="5" l="1"/>
  <c r="AA7" i="5" s="1"/>
  <c r="AB7" i="5" s="1"/>
  <c r="M16" i="10"/>
  <c r="J16" i="10"/>
  <c r="K16" i="10" s="1"/>
  <c r="M15" i="10"/>
  <c r="J15" i="10"/>
  <c r="K15" i="10" s="1"/>
  <c r="M14" i="10"/>
  <c r="J14" i="10"/>
  <c r="K14" i="10" s="1"/>
  <c r="J3" i="10" l="1"/>
  <c r="K3" i="10" s="1"/>
  <c r="M3" i="10" s="1"/>
  <c r="J6" i="10"/>
  <c r="K6" i="10" s="1"/>
  <c r="M6" i="10" s="1"/>
  <c r="J4" i="7" l="1"/>
  <c r="K4" i="7" s="1"/>
  <c r="J3" i="7"/>
  <c r="K3" i="7" s="1"/>
  <c r="J2" i="7"/>
  <c r="K2" i="7" s="1"/>
  <c r="J11" i="10" l="1"/>
  <c r="K11" i="10" s="1"/>
  <c r="M11" i="10" s="1"/>
  <c r="J9" i="10" l="1"/>
  <c r="K9" i="10" s="1"/>
  <c r="M9" i="10" s="1"/>
  <c r="J10" i="10"/>
  <c r="K10" i="10" s="1"/>
  <c r="M10" i="10" s="1"/>
  <c r="J12" i="10"/>
  <c r="K12" i="10" s="1"/>
  <c r="M12" i="10" s="1"/>
  <c r="J13" i="10"/>
  <c r="K13" i="10" s="1"/>
  <c r="M13" i="10"/>
  <c r="J19" i="10"/>
  <c r="K19" i="10" s="1"/>
  <c r="M19" i="10" s="1"/>
  <c r="J23" i="10"/>
  <c r="K23" i="10" s="1"/>
  <c r="M23" i="10"/>
  <c r="J24" i="10"/>
  <c r="K24" i="10" s="1"/>
  <c r="M24" i="10"/>
  <c r="J25" i="10"/>
  <c r="K25" i="10" s="1"/>
  <c r="M25" i="10"/>
  <c r="J8" i="10" l="1"/>
  <c r="K8" i="10" s="1"/>
  <c r="M8" i="10" s="1"/>
  <c r="O49" i="13" l="1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M4" i="13" l="1"/>
  <c r="L4" i="13"/>
  <c r="K4" i="13"/>
  <c r="J4" i="13"/>
  <c r="I4" i="13"/>
  <c r="H4" i="13"/>
  <c r="D4" i="13"/>
  <c r="M3" i="13"/>
  <c r="L3" i="13"/>
  <c r="K3" i="13"/>
  <c r="J3" i="13"/>
  <c r="I3" i="13"/>
  <c r="H3" i="13"/>
  <c r="D3" i="13"/>
  <c r="M2" i="13"/>
  <c r="L2" i="13"/>
  <c r="K2" i="13"/>
  <c r="J2" i="13"/>
  <c r="I2" i="13"/>
  <c r="H2" i="13"/>
  <c r="D2" i="13"/>
  <c r="AI3" i="12"/>
  <c r="AG5" i="12"/>
  <c r="Z3" i="12"/>
  <c r="F2" i="13" s="1"/>
  <c r="X5" i="12"/>
  <c r="AB5" i="12" s="1"/>
  <c r="B3" i="13" s="1"/>
  <c r="AB4" i="12"/>
  <c r="X7" i="12"/>
  <c r="AB7" i="12" s="1"/>
  <c r="X6" i="12"/>
  <c r="AB6" i="12" s="1"/>
  <c r="E3" i="13" s="1"/>
  <c r="AB3" i="12"/>
  <c r="F3" i="13" s="1"/>
  <c r="AG3" i="12"/>
  <c r="AD3" i="12"/>
  <c r="F4" i="13" s="1"/>
  <c r="AJ3" i="12"/>
  <c r="C51" i="13" s="1"/>
  <c r="AG6" i="12"/>
  <c r="AD6" i="12"/>
  <c r="E4" i="13" s="1"/>
  <c r="Z6" i="12"/>
  <c r="E2" i="13" s="1"/>
  <c r="W6" i="12"/>
  <c r="V6" i="12"/>
  <c r="T6" i="12"/>
  <c r="R6" i="12"/>
  <c r="P6" i="12"/>
  <c r="N6" i="12"/>
  <c r="AF6" i="12" s="1"/>
  <c r="AH6" i="12" s="1"/>
  <c r="L6" i="12"/>
  <c r="AG7" i="12"/>
  <c r="Z7" i="12"/>
  <c r="W7" i="12"/>
  <c r="V7" i="12"/>
  <c r="T7" i="12"/>
  <c r="R7" i="12"/>
  <c r="P7" i="12"/>
  <c r="N7" i="12"/>
  <c r="AF7" i="12" s="1"/>
  <c r="AH7" i="12" s="1"/>
  <c r="L7" i="12"/>
  <c r="AG4" i="12"/>
  <c r="AD4" i="12"/>
  <c r="C4" i="13" s="1"/>
  <c r="Z4" i="12"/>
  <c r="C2" i="13" s="1"/>
  <c r="AI4" i="12"/>
  <c r="AD5" i="12"/>
  <c r="Z5" i="12"/>
  <c r="W5" i="12"/>
  <c r="V5" i="12"/>
  <c r="T5" i="12"/>
  <c r="R5" i="12"/>
  <c r="P5" i="12"/>
  <c r="N5" i="12"/>
  <c r="AF5" i="12" s="1"/>
  <c r="AH5" i="12" s="1"/>
  <c r="L5" i="12"/>
  <c r="AG2" i="12"/>
  <c r="AD2" i="12"/>
  <c r="G4" i="13" s="1"/>
  <c r="Z2" i="12"/>
  <c r="G2" i="13" s="1"/>
  <c r="AB2" i="12"/>
  <c r="G3" i="13" s="1"/>
  <c r="AJ2" i="12"/>
  <c r="B51" i="13" s="1"/>
  <c r="AI2" i="12"/>
  <c r="AA8" i="5" s="1"/>
  <c r="AB8" i="5" s="1"/>
  <c r="B2" i="13" l="1"/>
  <c r="AF4" i="12"/>
  <c r="AF3" i="12"/>
  <c r="C3" i="13"/>
  <c r="B4" i="13"/>
  <c r="AF2" i="12"/>
  <c r="C50" i="13"/>
  <c r="M50" i="13"/>
  <c r="L50" i="13"/>
  <c r="K50" i="13"/>
  <c r="J50" i="13"/>
  <c r="I50" i="13"/>
  <c r="H50" i="13"/>
  <c r="G50" i="13"/>
  <c r="F50" i="13"/>
  <c r="E50" i="13"/>
  <c r="D50" i="13"/>
  <c r="B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P30" i="13"/>
  <c r="R14" i="13"/>
  <c r="R40" i="13"/>
  <c r="R46" i="13"/>
  <c r="AH4" i="12" l="1"/>
  <c r="AH3" i="12"/>
  <c r="AH2" i="12"/>
  <c r="R24" i="13"/>
  <c r="T24" i="13" s="1"/>
  <c r="R25" i="13"/>
  <c r="T25" i="13" s="1"/>
  <c r="P2" i="13"/>
  <c r="R45" i="13"/>
  <c r="T45" i="13" s="1"/>
  <c r="R39" i="13"/>
  <c r="T39" i="13" s="1"/>
  <c r="R38" i="13"/>
  <c r="T38" i="13" s="1"/>
  <c r="R23" i="13"/>
  <c r="T23" i="13" s="1"/>
  <c r="R7" i="13"/>
  <c r="T7" i="13" s="1"/>
  <c r="R31" i="13"/>
  <c r="T31" i="13" s="1"/>
  <c r="R17" i="13"/>
  <c r="T17" i="13" s="1"/>
  <c r="R48" i="13"/>
  <c r="T48" i="13" s="1"/>
  <c r="R15" i="13"/>
  <c r="T15" i="13" s="1"/>
  <c r="R32" i="13"/>
  <c r="T32" i="13" s="1"/>
  <c r="R18" i="13"/>
  <c r="T18" i="13" s="1"/>
  <c r="R16" i="13"/>
  <c r="T16" i="13" s="1"/>
  <c r="R33" i="13"/>
  <c r="T33" i="13" s="1"/>
  <c r="R47" i="13"/>
  <c r="T47" i="13" s="1"/>
  <c r="R9" i="13"/>
  <c r="T9" i="13" s="1"/>
  <c r="R26" i="13"/>
  <c r="T26" i="13" s="1"/>
  <c r="R3" i="13"/>
  <c r="T3" i="13" s="1"/>
  <c r="R19" i="13"/>
  <c r="T19" i="13" s="1"/>
  <c r="R43" i="13"/>
  <c r="T43" i="13" s="1"/>
  <c r="P4" i="13"/>
  <c r="P12" i="13"/>
  <c r="R20" i="13"/>
  <c r="T20" i="13" s="1"/>
  <c r="R28" i="13"/>
  <c r="T28" i="13" s="1"/>
  <c r="R36" i="13"/>
  <c r="T36" i="13" s="1"/>
  <c r="R44" i="13"/>
  <c r="T44" i="13" s="1"/>
  <c r="R49" i="13"/>
  <c r="T49" i="13" s="1"/>
  <c r="R10" i="13"/>
  <c r="T10" i="13" s="1"/>
  <c r="R34" i="13"/>
  <c r="T34" i="13" s="1"/>
  <c r="P11" i="13"/>
  <c r="R35" i="13"/>
  <c r="T35" i="13" s="1"/>
  <c r="R5" i="13"/>
  <c r="T5" i="13" s="1"/>
  <c r="P13" i="13"/>
  <c r="P21" i="13"/>
  <c r="R29" i="13"/>
  <c r="T29" i="13" s="1"/>
  <c r="R37" i="13"/>
  <c r="T37" i="13" s="1"/>
  <c r="R8" i="13"/>
  <c r="T8" i="13" s="1"/>
  <c r="R41" i="13"/>
  <c r="T41" i="13" s="1"/>
  <c r="R42" i="13"/>
  <c r="T42" i="13" s="1"/>
  <c r="R27" i="13"/>
  <c r="T27" i="13" s="1"/>
  <c r="P6" i="13"/>
  <c r="R22" i="13"/>
  <c r="T22" i="13" s="1"/>
  <c r="T40" i="13"/>
  <c r="P46" i="13"/>
  <c r="R30" i="13"/>
  <c r="T30" i="13" s="1"/>
  <c r="P14" i="13"/>
  <c r="P45" i="13"/>
  <c r="T14" i="13"/>
  <c r="T46" i="13"/>
  <c r="P40" i="13"/>
  <c r="P23" i="13" l="1"/>
  <c r="P39" i="13"/>
  <c r="R2" i="13"/>
  <c r="T2" i="13" s="1"/>
  <c r="P17" i="13"/>
  <c r="P24" i="13"/>
  <c r="P25" i="13"/>
  <c r="P38" i="13"/>
  <c r="P9" i="13"/>
  <c r="P28" i="13"/>
  <c r="P5" i="13"/>
  <c r="P27" i="13"/>
  <c r="P48" i="13"/>
  <c r="P36" i="13"/>
  <c r="P33" i="13"/>
  <c r="P7" i="13"/>
  <c r="P26" i="13"/>
  <c r="P47" i="13"/>
  <c r="P35" i="13"/>
  <c r="P3" i="13"/>
  <c r="P22" i="13"/>
  <c r="P31" i="13"/>
  <c r="P16" i="13"/>
  <c r="P20" i="13"/>
  <c r="P49" i="13"/>
  <c r="P15" i="13"/>
  <c r="P18" i="13"/>
  <c r="R6" i="13"/>
  <c r="T6" i="13" s="1"/>
  <c r="P32" i="13"/>
  <c r="P10" i="13"/>
  <c r="P42" i="13"/>
  <c r="P44" i="13"/>
  <c r="R13" i="13"/>
  <c r="T13" i="13" s="1"/>
  <c r="R4" i="13"/>
  <c r="T4" i="13" s="1"/>
  <c r="P43" i="13"/>
  <c r="R21" i="13"/>
  <c r="T21" i="13" s="1"/>
  <c r="R11" i="13"/>
  <c r="T11" i="13" s="1"/>
  <c r="R12" i="13"/>
  <c r="T12" i="13" s="1"/>
  <c r="P41" i="13"/>
  <c r="P8" i="13"/>
  <c r="P34" i="13"/>
  <c r="P37" i="13"/>
  <c r="P29" i="13"/>
  <c r="P19" i="13"/>
  <c r="E4" i="1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E6" i="1" l="1"/>
  <c r="E9" i="1"/>
  <c r="V2" i="5" l="1"/>
  <c r="V6" i="5"/>
  <c r="J5" i="10" l="1"/>
  <c r="K5" i="10" s="1"/>
  <c r="M5" i="10" s="1"/>
  <c r="J7" i="10" l="1"/>
  <c r="K7" i="10" s="1"/>
  <c r="M7" i="10" s="1"/>
  <c r="M8" i="1" l="1"/>
  <c r="M31" i="1" l="1"/>
  <c r="I9" i="1" l="1"/>
  <c r="T1" i="10" l="1"/>
  <c r="AA2" i="5" l="1"/>
  <c r="AB2" i="5" s="1"/>
  <c r="J2" i="10" l="1"/>
  <c r="K2" i="10" s="1"/>
  <c r="M2" i="10" s="1"/>
  <c r="J4" i="10"/>
  <c r="K4" i="10" s="1"/>
  <c r="M4" i="10" s="1"/>
  <c r="I8" i="1" l="1"/>
  <c r="I10" i="1" s="1"/>
  <c r="M10" i="1" s="1"/>
  <c r="I11" i="1" l="1"/>
  <c r="M11" i="1" s="1"/>
  <c r="M12" i="1" l="1"/>
  <c r="M13" i="1" l="1"/>
  <c r="AA6" i="5"/>
  <c r="AB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3DBC7938-17B4-4E79-9BA3-10C3AEE58586}">
      <text>
        <r>
          <rPr>
            <sz val="12"/>
            <color indexed="81"/>
            <rFont val="Times New Roman"/>
            <family val="1"/>
          </rPr>
          <t>Mage Armor +4</t>
        </r>
      </text>
    </comment>
    <comment ref="D2" authorId="0" shapeId="0" xr:uid="{4B967EC4-E2E9-4C5E-B754-21C848711D94}">
      <text>
        <r>
          <rPr>
            <sz val="12"/>
            <color indexed="81"/>
            <rFont val="Times New Roman"/>
            <family val="1"/>
          </rPr>
          <t>Mage Armor +4</t>
        </r>
      </text>
    </comment>
  </commentList>
</comments>
</file>

<file path=xl/sharedStrings.xml><?xml version="1.0" encoding="utf-8"?>
<sst xmlns="http://schemas.openxmlformats.org/spreadsheetml/2006/main" count="605" uniqueCount="253">
  <si>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</si>
  <si>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</si>
  <si>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</si>
  <si>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</si>
  <si>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</si>
  <si>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</si>
  <si>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</si>
  <si>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</si>
  <si>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</si>
  <si>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</si>
  <si>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</si>
  <si>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</si>
  <si>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</si>
  <si>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</si>
  <si>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</si>
  <si>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</si>
  <si>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</si>
  <si>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</si>
  <si>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</si>
  <si>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</si>
  <si>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</si>
  <si>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</si>
  <si>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</si>
  <si>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</si>
  <si>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</si>
  <si>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</si>
  <si>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</si>
  <si>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</si>
  <si>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</si>
  <si>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</si>
  <si>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</si>
  <si>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</si>
  <si>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</si>
  <si>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</si>
  <si>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</si>
  <si>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</si>
  <si>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</si>
  <si>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</si>
  <si>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</si>
  <si>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</si>
  <si>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</si>
  <si>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</si>
  <si>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</si>
  <si>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</si>
  <si>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</si>
  <si>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</si>
  <si>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</si>
  <si>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</si>
  <si>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</si>
  <si>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</si>
  <si>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</si>
  <si>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</si>
  <si>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</si>
  <si>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</si>
  <si>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</si>
  <si>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</si>
  <si>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</si>
  <si>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</si>
  <si>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</si>
  <si>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</si>
  <si>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</si>
  <si>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</si>
  <si>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</si>
  <si>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</si>
  <si>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</si>
  <si>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</si>
  <si>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</si>
  <si>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</si>
  <si>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</si>
  <si>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</si>
  <si>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</si>
  <si>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</si>
  <si>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</si>
  <si>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</si>
  <si>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</si>
  <si>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</si>
  <si>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</si>
  <si>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</si>
  <si>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</si>
  <si>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</si>
  <si>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</si>
  <si>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</si>
  <si>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</si>
  <si>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</si>
  <si>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</si>
  <si>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</si>
  <si>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</si>
  <si>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</si>
  <si>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</si>
  <si>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</si>
  <si>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</si>
  <si>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</si>
  <si>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</si>
  <si>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</si>
  <si>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</si>
  <si>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</si>
  <si>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</si>
  <si>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</si>
  <si>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</si>
  <si>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Speed</t>
  </si>
  <si>
    <t>DR</t>
  </si>
  <si>
    <t>7d</t>
  </si>
  <si>
    <t>8d</t>
  </si>
  <si>
    <t>9d</t>
  </si>
  <si>
    <t>10d</t>
  </si>
  <si>
    <t>Nihm</t>
  </si>
  <si>
    <t>Kassuq</t>
  </si>
  <si>
    <t>Hound Archon</t>
  </si>
  <si>
    <t>Baldoor</t>
  </si>
  <si>
    <t>Cleric of Moradin</t>
  </si>
  <si>
    <t>þ</t>
  </si>
  <si>
    <t>Use Magic Device</t>
  </si>
  <si>
    <t>Disable Device</t>
  </si>
  <si>
    <t>Survival</t>
  </si>
  <si>
    <t>First</t>
  </si>
  <si>
    <t>Last</t>
  </si>
  <si>
    <t>Race</t>
  </si>
  <si>
    <t>Class</t>
  </si>
  <si>
    <t>Sex</t>
  </si>
  <si>
    <t>Age</t>
  </si>
  <si>
    <t>Alignment</t>
  </si>
  <si>
    <t>Str</t>
  </si>
  <si>
    <t>Strength</t>
  </si>
  <si>
    <t>Dex</t>
  </si>
  <si>
    <t>Dexterity</t>
  </si>
  <si>
    <t>Con</t>
  </si>
  <si>
    <t>Constitution</t>
  </si>
  <si>
    <t>Int</t>
  </si>
  <si>
    <t>Intelligence</t>
  </si>
  <si>
    <t>Wis</t>
  </si>
  <si>
    <t>Wisdom</t>
  </si>
  <si>
    <t>Cha</t>
  </si>
  <si>
    <t>Charisma</t>
  </si>
  <si>
    <t>m</t>
  </si>
  <si>
    <t>Init</t>
  </si>
  <si>
    <t>Fort</t>
  </si>
  <si>
    <t>Ref</t>
  </si>
  <si>
    <t>Wil</t>
  </si>
  <si>
    <t>FF</t>
  </si>
  <si>
    <t>HP</t>
  </si>
  <si>
    <t>Skill Ranks</t>
  </si>
  <si>
    <t>Spells Known</t>
  </si>
  <si>
    <t>Spells Prepared / Cast</t>
  </si>
  <si>
    <t>Weapons</t>
  </si>
  <si>
    <t>Armor</t>
  </si>
  <si>
    <t>Armor Bonus</t>
  </si>
  <si>
    <t>Notable Equipment</t>
  </si>
  <si>
    <t>Max</t>
  </si>
  <si>
    <t>Skill/Save</t>
  </si>
  <si>
    <t>Ability</t>
  </si>
  <si>
    <t>Mod.</t>
  </si>
  <si>
    <t>Ability &amp; Mod.</t>
  </si>
  <si>
    <t>Misc. Mods.</t>
  </si>
  <si>
    <t>Active Character</t>
  </si>
  <si>
    <t>Appraise</t>
  </si>
  <si>
    <t>0</t>
  </si>
  <si>
    <t>Balance</t>
  </si>
  <si>
    <t>Bluff</t>
  </si>
  <si>
    <t>Climb</t>
  </si>
  <si>
    <t>Concentration</t>
  </si>
  <si>
    <t>Decipher Script</t>
  </si>
  <si>
    <t>Diplomacy</t>
  </si>
  <si>
    <t>Disguise</t>
  </si>
  <si>
    <t>Escape Artist</t>
  </si>
  <si>
    <t>Forgery</t>
  </si>
  <si>
    <t>Gather Information</t>
  </si>
  <si>
    <t>Handle Animal</t>
  </si>
  <si>
    <t>Heal</t>
  </si>
  <si>
    <t>Hide</t>
  </si>
  <si>
    <t>Intimidate</t>
  </si>
  <si>
    <t>Jump</t>
  </si>
  <si>
    <t>Knowledge:  Arcana</t>
  </si>
  <si>
    <t>Knowledge:  Arch. &amp; Eng.</t>
  </si>
  <si>
    <t>Knowledge:  Dungeoneering</t>
  </si>
  <si>
    <t>Knowledge:  Geography</t>
  </si>
  <si>
    <t>Knowledge:  History</t>
  </si>
  <si>
    <t>Knowledge:  Local</t>
  </si>
  <si>
    <t>Knowledge:  Nature</t>
  </si>
  <si>
    <t>Knowledge:  Nobility &amp; Royalty</t>
  </si>
  <si>
    <t>Knowledge:  Religion</t>
  </si>
  <si>
    <t>Knowledge:  The Planes</t>
  </si>
  <si>
    <t>Listen</t>
  </si>
  <si>
    <t>Move Silently</t>
  </si>
  <si>
    <t>Open Lock</t>
  </si>
  <si>
    <t>Perform</t>
  </si>
  <si>
    <t>Ride</t>
  </si>
  <si>
    <t>Search</t>
  </si>
  <si>
    <t>Sense Motive</t>
  </si>
  <si>
    <t>Sleight of Hand</t>
  </si>
  <si>
    <t>Speak Language</t>
  </si>
  <si>
    <t>Spellcraft</t>
  </si>
  <si>
    <t>Spot</t>
  </si>
  <si>
    <t>Swim</t>
  </si>
  <si>
    <t>Tumble</t>
  </si>
  <si>
    <t>Use Rope</t>
  </si>
  <si>
    <t>Region</t>
  </si>
  <si>
    <t>Current Effects</t>
  </si>
  <si>
    <t>Abilities / Feats</t>
  </si>
  <si>
    <t>Haal</t>
  </si>
  <si>
    <t>Detect Evil</t>
  </si>
  <si>
    <t>Detect Thoughts</t>
  </si>
  <si>
    <t>Summon Monster I</t>
  </si>
  <si>
    <t>Spiritual Weapon</t>
  </si>
  <si>
    <t>Aid</t>
  </si>
  <si>
    <t>Grapple</t>
  </si>
  <si>
    <t>Ranger-Druid</t>
  </si>
  <si>
    <t>Cloistered Cleric of Lathander-Fighter</t>
  </si>
  <si>
    <t>Entangle</t>
  </si>
  <si>
    <t>Bite</t>
  </si>
  <si>
    <t>1d6+3</t>
  </si>
  <si>
    <t>Lucky</t>
  </si>
  <si>
    <t>40’ - 60’</t>
  </si>
  <si>
    <t>Craft:  []</t>
  </si>
  <si>
    <t>Profession:  []</t>
  </si>
  <si>
    <t>Delia</t>
  </si>
  <si>
    <t>Sorceress</t>
  </si>
  <si>
    <r>
      <t xml:space="preserve">x / x / x / x
</t>
    </r>
    <r>
      <rPr>
        <sz val="10"/>
        <color rgb="FFFF0000"/>
        <rFont val="Times New Roman"/>
        <family val="1"/>
      </rPr>
      <t>0 / 0 / 0 / 0</t>
    </r>
  </si>
  <si>
    <r>
      <t xml:space="preserve">x
</t>
    </r>
    <r>
      <rPr>
        <sz val="10"/>
        <color rgb="FFFF0000"/>
        <rFont val="Times New Roman"/>
        <family val="1"/>
      </rPr>
      <t>0</t>
    </r>
  </si>
  <si>
    <t>Protection from Evil</t>
  </si>
  <si>
    <t>Detect Snares &amp; Pits</t>
  </si>
  <si>
    <t>Nimbus of Light</t>
  </si>
  <si>
    <r>
      <t xml:space="preserve">x / </t>
    </r>
    <r>
      <rPr>
        <b/>
        <sz val="10"/>
        <color rgb="FFFF0000"/>
        <rFont val="Times New Roman"/>
        <family val="1"/>
      </rPr>
      <t>detect evil</t>
    </r>
    <r>
      <rPr>
        <sz val="10"/>
        <rFont val="Times New Roman"/>
        <family val="1"/>
      </rPr>
      <t xml:space="preserve"> / </t>
    </r>
    <r>
      <rPr>
        <i/>
        <sz val="10"/>
        <rFont val="Times New Roman"/>
        <family val="1"/>
      </rPr>
      <t>detect aberration</t>
    </r>
    <r>
      <rPr>
        <sz val="10"/>
        <rFont val="Times New Roman"/>
        <family val="1"/>
      </rPr>
      <t xml:space="preserve"> / </t>
    </r>
    <r>
      <rPr>
        <b/>
        <i/>
        <sz val="10"/>
        <rFont val="Times New Roman"/>
        <family val="1"/>
      </rPr>
      <t>speak with plants</t>
    </r>
  </si>
  <si>
    <t>Amara</t>
  </si>
  <si>
    <t>Big Z</t>
  </si>
  <si>
    <t>20’</t>
  </si>
  <si>
    <t>Horse</t>
  </si>
  <si>
    <t>Flaming Sphere</t>
  </si>
  <si>
    <t>Trip</t>
  </si>
  <si>
    <t>Escape</t>
  </si>
  <si>
    <t>Blackscale Lizardfolk Warrior</t>
  </si>
  <si>
    <t>Blackscale Lizardfolk Adept</t>
  </si>
  <si>
    <t>Blackscale Lizardfolk</t>
  </si>
  <si>
    <t>Claw 1</t>
  </si>
  <si>
    <t>Claw 2</t>
  </si>
  <si>
    <t>Greatclub</t>
  </si>
  <si>
    <t>1d6+4</t>
  </si>
  <si>
    <t>1d6+2</t>
  </si>
  <si>
    <t>2d8+6</t>
  </si>
  <si>
    <t>Javelin</t>
  </si>
  <si>
    <t>Staff +2</t>
  </si>
  <si>
    <t>1d6+1+2</t>
  </si>
  <si>
    <t>Sling +1</t>
  </si>
  <si>
    <t>1d4+1+1</t>
  </si>
  <si>
    <t>Touch Attack</t>
  </si>
  <si>
    <t>varies</t>
  </si>
  <si>
    <t>Ranged Touch Attack</t>
  </si>
  <si>
    <t>40’</t>
  </si>
  <si>
    <t>Ranged / Finesse</t>
  </si>
  <si>
    <t>Blackscale Warrior 1</t>
  </si>
  <si>
    <t>Blackscale Warrior 2</t>
  </si>
  <si>
    <t>Blackscale Warrior 3</t>
  </si>
  <si>
    <t>Blackscale Warrior 4</t>
  </si>
  <si>
    <t>Blackscale Adept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</si>
</sst>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3"/>
      <color indexed="10"/>
      <name val="Times New Roman"/>
      <family val="1"/>
    </font>
    <font>
      <b/>
      <sz val="13"/>
      <color theme="0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52"/>
      <name val="Times New Roman"/>
      <family val="1"/>
    </font>
    <font>
      <sz val="12"/>
      <name val="Times New Roman"/>
      <family val="1"/>
    </font>
    <font>
      <b/>
      <sz val="13"/>
      <name val="Symbol"/>
      <family val="1"/>
      <charset val="2"/>
    </font>
    <font>
      <b/>
      <sz val="13"/>
      <color rgb="FFFFC000"/>
      <name val="Times New Roman"/>
      <family val="1"/>
    </font>
    <font>
      <b/>
      <sz val="13"/>
      <color rgb="FF00FF00"/>
      <name val="Times New Roman"/>
      <family val="1"/>
    </font>
    <font>
      <sz val="13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FFC000"/>
      <name val="Times New Roman"/>
      <family val="1"/>
    </font>
    <font>
      <sz val="10"/>
      <name val="Times New Roman"/>
      <family val="1"/>
    </font>
    <font>
      <b/>
      <sz val="13"/>
      <color indexed="9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sz val="13"/>
      <color rgb="FFFFC000"/>
      <name val="Times New Roman"/>
      <family val="1"/>
    </font>
    <font>
      <b/>
      <sz val="13"/>
      <color rgb="FF7030A0"/>
      <name val="Times New Roman"/>
      <family val="1"/>
    </font>
    <font>
      <sz val="13"/>
      <color indexed="17"/>
      <name val="Times New Roman"/>
      <family val="1"/>
    </font>
    <font>
      <sz val="12"/>
      <color indexed="17"/>
      <name val="Times New Roman"/>
      <family val="1"/>
    </font>
    <font>
      <sz val="13"/>
      <color indexed="46"/>
      <name val="Times New Roman"/>
      <family val="1"/>
    </font>
    <font>
      <sz val="12"/>
      <color indexed="51"/>
      <name val="Times New Roman"/>
      <family val="1"/>
    </font>
    <font>
      <sz val="13"/>
      <color indexed="52"/>
      <name val="Times New Roman"/>
      <family val="1"/>
    </font>
    <font>
      <sz val="12"/>
      <color indexed="52"/>
      <name val="Times New Roman"/>
      <family val="1"/>
    </font>
    <font>
      <sz val="13"/>
      <color indexed="10"/>
      <name val="Times New Roman"/>
      <family val="1"/>
    </font>
    <font>
      <sz val="12"/>
      <color indexed="46"/>
      <name val="Times New Roman"/>
      <family val="1"/>
    </font>
    <font>
      <sz val="13"/>
      <color indexed="12"/>
      <name val="Times New Roman"/>
      <family val="1"/>
    </font>
    <font>
      <sz val="12"/>
      <color indexed="10"/>
      <name val="Times New Roman"/>
      <family val="1"/>
    </font>
    <font>
      <sz val="13"/>
      <color indexed="51"/>
      <name val="Times New Roman"/>
      <family val="1"/>
    </font>
    <font>
      <sz val="10"/>
      <color rgb="FFFF0000"/>
      <name val="Times New Roman"/>
      <family val="1"/>
    </font>
    <font>
      <b/>
      <i/>
      <sz val="12"/>
      <color theme="1"/>
      <name val="Wingdings"/>
      <charset val="2"/>
    </font>
    <font>
      <sz val="12"/>
      <color indexed="81"/>
      <name val="Times New Roman"/>
      <family val="1"/>
    </font>
    <font>
      <b/>
      <sz val="10"/>
      <color rgb="FFFF000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indexed="17"/>
        <bgColor indexed="64"/>
      </patternFill>
    </fill>
  </fills>
  <borders count="7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4" fillId="0" borderId="0"/>
  </cellStyleXfs>
  <cellXfs count="31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48" xfId="0" applyFont="1" applyFill="1" applyBorder="1" applyAlignment="1">
      <alignment horizontal="center" vertical="center"/>
    </xf>
    <xf numFmtId="0" fontId="15" fillId="19" borderId="48" xfId="0" applyFont="1" applyFill="1" applyBorder="1" applyAlignment="1">
      <alignment horizontal="center" vertical="center"/>
    </xf>
    <xf numFmtId="0" fontId="15" fillId="25" borderId="48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14" fillId="5" borderId="48" xfId="0" applyFont="1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0" fillId="13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4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49" xfId="0" applyNumberFormat="1" applyFont="1" applyBorder="1" applyAlignment="1">
      <alignment horizontal="center" vertical="center"/>
    </xf>
    <xf numFmtId="0" fontId="2" fillId="19" borderId="50" xfId="0" applyFont="1" applyFill="1" applyBorder="1" applyAlignment="1">
      <alignment horizontal="center" vertical="center" wrapText="1"/>
    </xf>
    <xf numFmtId="0" fontId="6" fillId="28" borderId="50" xfId="0" applyFont="1" applyFill="1" applyBorder="1" applyAlignment="1">
      <alignment horizontal="center" vertical="center" wrapText="1"/>
    </xf>
    <xf numFmtId="0" fontId="2" fillId="29" borderId="50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48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5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6" xfId="1" applyBorder="1" applyAlignment="1">
      <alignment horizontal="center" vertical="center"/>
    </xf>
    <xf numFmtId="0" fontId="3" fillId="2" borderId="57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6" fillId="0" borderId="59" xfId="2" applyFont="1" applyBorder="1" applyAlignment="1">
      <alignment horizontal="center" vertical="center"/>
    </xf>
    <xf numFmtId="0" fontId="4" fillId="0" borderId="59" xfId="2" applyFont="1" applyBorder="1" applyAlignment="1">
      <alignment horizontal="center" vertical="center"/>
    </xf>
    <xf numFmtId="0" fontId="4" fillId="0" borderId="60" xfId="2" applyFont="1" applyBorder="1" applyAlignment="1">
      <alignment horizontal="center" vertical="center"/>
    </xf>
    <xf numFmtId="0" fontId="27" fillId="0" borderId="59" xfId="2" applyFont="1" applyBorder="1" applyAlignment="1">
      <alignment horizontal="center" vertical="center"/>
    </xf>
    <xf numFmtId="0" fontId="28" fillId="0" borderId="59" xfId="2" applyFont="1" applyBorder="1" applyAlignment="1">
      <alignment horizontal="center" vertical="center"/>
    </xf>
    <xf numFmtId="0" fontId="29" fillId="0" borderId="59" xfId="2" applyFont="1" applyBorder="1" applyAlignment="1">
      <alignment horizontal="center" vertical="center"/>
    </xf>
    <xf numFmtId="0" fontId="30" fillId="0" borderId="59" xfId="2" applyFont="1" applyBorder="1" applyAlignment="1">
      <alignment horizontal="center" vertical="center"/>
    </xf>
    <xf numFmtId="0" fontId="31" fillId="0" borderId="59" xfId="2" applyFont="1" applyBorder="1" applyAlignment="1">
      <alignment horizontal="center" vertical="center"/>
    </xf>
    <xf numFmtId="0" fontId="32" fillId="0" borderId="59" xfId="2" applyFont="1" applyBorder="1" applyAlignment="1">
      <alignment horizontal="center" vertical="center"/>
    </xf>
    <xf numFmtId="0" fontId="33" fillId="0" borderId="59" xfId="2" applyFont="1" applyBorder="1" applyAlignment="1">
      <alignment horizontal="center" vertical="center"/>
    </xf>
    <xf numFmtId="0" fontId="35" fillId="0" borderId="59" xfId="13" applyFont="1" applyBorder="1" applyAlignment="1">
      <alignment horizontal="center" vertical="center"/>
    </xf>
    <xf numFmtId="0" fontId="30" fillId="0" borderId="59" xfId="2" applyFont="1" applyBorder="1" applyAlignment="1">
      <alignment horizontal="centerContinuous" vertical="center"/>
    </xf>
    <xf numFmtId="0" fontId="28" fillId="0" borderId="59" xfId="2" applyFont="1" applyBorder="1" applyAlignment="1">
      <alignment horizontal="centerContinuous" vertical="center"/>
    </xf>
    <xf numFmtId="0" fontId="29" fillId="0" borderId="59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7" fillId="0" borderId="59" xfId="2" applyFont="1" applyBorder="1" applyAlignment="1">
      <alignment horizontal="center" vertical="center"/>
    </xf>
    <xf numFmtId="49" fontId="4" fillId="0" borderId="59" xfId="2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38" fillId="0" borderId="25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/>
    </xf>
    <xf numFmtId="0" fontId="3" fillId="0" borderId="14" xfId="13" applyFont="1" applyBorder="1" applyAlignment="1">
      <alignment horizontal="center" vertical="center" wrapText="1"/>
    </xf>
    <xf numFmtId="0" fontId="3" fillId="0" borderId="56" xfId="13" applyFont="1" applyBorder="1" applyAlignment="1">
      <alignment horizontal="center" vertical="center" wrapText="1"/>
    </xf>
    <xf numFmtId="0" fontId="3" fillId="0" borderId="61" xfId="13" applyFont="1" applyBorder="1" applyAlignment="1">
      <alignment horizontal="center" vertical="center" wrapText="1"/>
    </xf>
    <xf numFmtId="0" fontId="34" fillId="0" borderId="8" xfId="13" applyBorder="1" applyAlignment="1">
      <alignment horizontal="center" vertical="center" wrapText="1"/>
    </xf>
    <xf numFmtId="0" fontId="34" fillId="0" borderId="56" xfId="13" applyBorder="1" applyAlignment="1">
      <alignment horizontal="center" vertical="center" wrapText="1"/>
    </xf>
    <xf numFmtId="164" fontId="34" fillId="0" borderId="63" xfId="13" applyNumberFormat="1" applyBorder="1" applyAlignment="1">
      <alignment horizontal="center" vertical="center" wrapText="1"/>
    </xf>
    <xf numFmtId="0" fontId="34" fillId="0" borderId="63" xfId="13" applyBorder="1" applyAlignment="1">
      <alignment horizontal="center" vertical="center" wrapText="1"/>
    </xf>
    <xf numFmtId="0" fontId="39" fillId="0" borderId="14" xfId="13" applyFont="1" applyBorder="1" applyAlignment="1">
      <alignment horizontal="center" vertical="center" wrapText="1"/>
    </xf>
    <xf numFmtId="0" fontId="40" fillId="0" borderId="28" xfId="13" applyFont="1" applyBorder="1" applyAlignment="1">
      <alignment horizontal="center" vertical="center" wrapText="1"/>
    </xf>
    <xf numFmtId="0" fontId="39" fillId="0" borderId="18" xfId="13" applyFont="1" applyBorder="1" applyAlignment="1">
      <alignment horizontal="center" vertical="center" wrapText="1"/>
    </xf>
    <xf numFmtId="0" fontId="41" fillId="0" borderId="21" xfId="13" applyFont="1" applyBorder="1" applyAlignment="1">
      <alignment horizontal="center" vertical="center" wrapText="1"/>
    </xf>
    <xf numFmtId="0" fontId="39" fillId="0" borderId="28" xfId="13" applyFont="1" applyBorder="1" applyAlignment="1">
      <alignment horizontal="center" vertical="center" wrapText="1"/>
    </xf>
    <xf numFmtId="0" fontId="42" fillId="0" borderId="56" xfId="13" applyFont="1" applyBorder="1" applyAlignment="1">
      <alignment horizontal="center" vertical="center" wrapText="1"/>
    </xf>
    <xf numFmtId="0" fontId="34" fillId="0" borderId="62" xfId="13" quotePrefix="1" applyBorder="1" applyAlignment="1">
      <alignment horizontal="center" vertical="center" wrapText="1"/>
    </xf>
    <xf numFmtId="0" fontId="34" fillId="0" borderId="64" xfId="13" quotePrefix="1" applyBorder="1" applyAlignment="1">
      <alignment horizontal="center" vertical="center" wrapText="1"/>
    </xf>
    <xf numFmtId="0" fontId="43" fillId="0" borderId="63" xfId="13" quotePrefix="1" applyFont="1" applyBorder="1" applyAlignment="1">
      <alignment horizontal="center" vertical="center" wrapText="1"/>
    </xf>
    <xf numFmtId="0" fontId="26" fillId="0" borderId="0" xfId="2" applyFont="1" applyAlignment="1">
      <alignment horizontal="right" vertical="center"/>
    </xf>
    <xf numFmtId="0" fontId="3" fillId="0" borderId="0" xfId="2" applyAlignment="1">
      <alignment horizontal="center" vertical="center"/>
    </xf>
    <xf numFmtId="0" fontId="44" fillId="31" borderId="65" xfId="12" applyFont="1" applyFill="1" applyBorder="1" applyAlignment="1">
      <alignment horizontal="centerContinuous" vertical="center"/>
    </xf>
    <xf numFmtId="0" fontId="44" fillId="5" borderId="49" xfId="12" applyFont="1" applyFill="1" applyBorder="1" applyAlignment="1">
      <alignment horizontal="center" vertical="center"/>
    </xf>
    <xf numFmtId="0" fontId="44" fillId="31" borderId="49" xfId="12" applyFont="1" applyFill="1" applyBorder="1" applyAlignment="1">
      <alignment horizontal="center" vertical="center"/>
    </xf>
    <xf numFmtId="0" fontId="44" fillId="31" borderId="49" xfId="12" applyFont="1" applyFill="1" applyBorder="1" applyAlignment="1">
      <alignment horizontal="center" vertical="center" wrapText="1"/>
    </xf>
    <xf numFmtId="0" fontId="36" fillId="9" borderId="50" xfId="12" applyFont="1" applyFill="1" applyBorder="1" applyAlignment="1">
      <alignment horizontal="center" vertical="center" wrapText="1"/>
    </xf>
    <xf numFmtId="0" fontId="44" fillId="31" borderId="66" xfId="12" applyFont="1" applyFill="1" applyBorder="1" applyAlignment="1">
      <alignment horizontal="center" vertical="center"/>
    </xf>
    <xf numFmtId="0" fontId="4" fillId="0" borderId="0" xfId="12" applyFont="1" applyAlignment="1">
      <alignment vertical="center"/>
    </xf>
    <xf numFmtId="0" fontId="44" fillId="28" borderId="67" xfId="12" applyFont="1" applyFill="1" applyBorder="1" applyAlignment="1">
      <alignment horizontal="center" vertical="center" wrapText="1"/>
    </xf>
    <xf numFmtId="0" fontId="45" fillId="0" borderId="36" xfId="12" applyFont="1" applyBorder="1" applyAlignment="1">
      <alignment vertical="center"/>
    </xf>
    <xf numFmtId="0" fontId="38" fillId="0" borderId="30" xfId="12" applyFont="1" applyBorder="1" applyAlignment="1">
      <alignment horizontal="center" vertical="center"/>
    </xf>
    <xf numFmtId="0" fontId="46" fillId="0" borderId="30" xfId="12" applyFont="1" applyBorder="1" applyAlignment="1">
      <alignment horizontal="center" vertical="center" wrapText="1"/>
    </xf>
    <xf numFmtId="0" fontId="38" fillId="0" borderId="30" xfId="12" applyFont="1" applyBorder="1" applyAlignment="1">
      <alignment horizontal="center" vertical="center" wrapText="1"/>
    </xf>
    <xf numFmtId="1" fontId="38" fillId="0" borderId="30" xfId="12" applyNumberFormat="1" applyFont="1" applyBorder="1" applyAlignment="1">
      <alignment horizontal="center" vertical="center" wrapText="1"/>
    </xf>
    <xf numFmtId="0" fontId="47" fillId="9" borderId="58" xfId="12" applyFont="1" applyFill="1" applyBorder="1" applyAlignment="1">
      <alignment horizontal="center" vertical="center"/>
    </xf>
    <xf numFmtId="0" fontId="38" fillId="0" borderId="68" xfId="12" quotePrefix="1" applyFont="1" applyBorder="1" applyAlignment="1">
      <alignment horizontal="center" vertical="center"/>
    </xf>
    <xf numFmtId="0" fontId="3" fillId="0" borderId="0" xfId="12" applyAlignment="1">
      <alignment vertical="center"/>
    </xf>
    <xf numFmtId="0" fontId="38" fillId="0" borderId="69" xfId="12" quotePrefix="1" applyFont="1" applyBorder="1" applyAlignment="1">
      <alignment horizontal="center" vertical="center"/>
    </xf>
    <xf numFmtId="0" fontId="48" fillId="0" borderId="36" xfId="12" applyFont="1" applyBorder="1" applyAlignment="1">
      <alignment vertical="center"/>
    </xf>
    <xf numFmtId="0" fontId="29" fillId="0" borderId="58" xfId="12" applyFont="1" applyBorder="1" applyAlignment="1">
      <alignment horizontal="center" vertical="center"/>
    </xf>
    <xf numFmtId="0" fontId="46" fillId="0" borderId="70" xfId="12" applyFont="1" applyBorder="1" applyAlignment="1">
      <alignment vertical="center"/>
    </xf>
    <xf numFmtId="0" fontId="38" fillId="0" borderId="32" xfId="12" applyFont="1" applyBorder="1" applyAlignment="1">
      <alignment horizontal="center" vertical="center"/>
    </xf>
    <xf numFmtId="0" fontId="36" fillId="0" borderId="32" xfId="12" applyFont="1" applyBorder="1" applyAlignment="1">
      <alignment horizontal="center" vertical="center" wrapText="1"/>
    </xf>
    <xf numFmtId="0" fontId="38" fillId="0" borderId="32" xfId="12" applyFont="1" applyBorder="1" applyAlignment="1">
      <alignment horizontal="center" vertical="center" wrapText="1"/>
    </xf>
    <xf numFmtId="1" fontId="38" fillId="0" borderId="32" xfId="12" applyNumberFormat="1" applyFont="1" applyBorder="1" applyAlignment="1">
      <alignment horizontal="center" vertical="center" wrapText="1"/>
    </xf>
    <xf numFmtId="0" fontId="38" fillId="0" borderId="71" xfId="12" quotePrefix="1" applyFont="1" applyBorder="1" applyAlignment="1">
      <alignment horizontal="center" vertical="center"/>
    </xf>
    <xf numFmtId="0" fontId="31" fillId="0" borderId="36" xfId="12" applyFont="1" applyBorder="1" applyAlignment="1">
      <alignment vertical="center"/>
    </xf>
    <xf numFmtId="49" fontId="49" fillId="0" borderId="30" xfId="12" applyNumberFormat="1" applyFont="1" applyBorder="1" applyAlignment="1">
      <alignment horizontal="center" vertical="center"/>
    </xf>
    <xf numFmtId="0" fontId="49" fillId="0" borderId="58" xfId="12" applyFont="1" applyBorder="1" applyAlignment="1">
      <alignment horizontal="center" vertical="center"/>
    </xf>
    <xf numFmtId="0" fontId="31" fillId="0" borderId="58" xfId="12" applyFont="1" applyBorder="1" applyAlignment="1">
      <alignment horizontal="center" vertical="center"/>
    </xf>
    <xf numFmtId="0" fontId="38" fillId="0" borderId="58" xfId="12" applyFont="1" applyBorder="1" applyAlignment="1">
      <alignment horizontal="center" vertical="center"/>
    </xf>
    <xf numFmtId="49" fontId="38" fillId="0" borderId="58" xfId="12" applyNumberFormat="1" applyFont="1" applyBorder="1" applyAlignment="1">
      <alignment horizontal="center" vertical="center"/>
    </xf>
    <xf numFmtId="0" fontId="50" fillId="0" borderId="0" xfId="12" applyFont="1" applyAlignment="1">
      <alignment vertical="center"/>
    </xf>
    <xf numFmtId="0" fontId="29" fillId="0" borderId="36" xfId="12" applyFont="1" applyBorder="1" applyAlignment="1">
      <alignment vertical="center"/>
    </xf>
    <xf numFmtId="49" fontId="51" fillId="0" borderId="30" xfId="12" applyNumberFormat="1" applyFont="1" applyBorder="1" applyAlignment="1">
      <alignment horizontal="center" vertical="center"/>
    </xf>
    <xf numFmtId="0" fontId="51" fillId="0" borderId="58" xfId="12" applyFont="1" applyBorder="1" applyAlignment="1">
      <alignment horizontal="center" vertical="center"/>
    </xf>
    <xf numFmtId="0" fontId="52" fillId="0" borderId="0" xfId="12" applyFont="1" applyAlignment="1">
      <alignment vertical="center"/>
    </xf>
    <xf numFmtId="0" fontId="33" fillId="0" borderId="36" xfId="12" applyFont="1" applyBorder="1" applyAlignment="1">
      <alignment vertical="center"/>
    </xf>
    <xf numFmtId="49" fontId="53" fillId="0" borderId="30" xfId="12" applyNumberFormat="1" applyFont="1" applyBorder="1" applyAlignment="1">
      <alignment horizontal="center" vertical="center"/>
    </xf>
    <xf numFmtId="0" fontId="53" fillId="0" borderId="58" xfId="12" applyFont="1" applyBorder="1" applyAlignment="1">
      <alignment horizontal="center" vertical="center"/>
    </xf>
    <xf numFmtId="0" fontId="33" fillId="0" borderId="58" xfId="12" applyFont="1" applyBorder="1" applyAlignment="1">
      <alignment horizontal="center" vertical="center"/>
    </xf>
    <xf numFmtId="0" fontId="54" fillId="0" borderId="0" xfId="12" applyFont="1" applyAlignment="1">
      <alignment vertical="center"/>
    </xf>
    <xf numFmtId="0" fontId="27" fillId="0" borderId="36" xfId="12" applyFont="1" applyBorder="1" applyAlignment="1">
      <alignment vertical="center"/>
    </xf>
    <xf numFmtId="49" fontId="55" fillId="0" borderId="30" xfId="12" applyNumberFormat="1" applyFont="1" applyBorder="1" applyAlignment="1">
      <alignment horizontal="center" vertical="center"/>
    </xf>
    <xf numFmtId="0" fontId="55" fillId="0" borderId="58" xfId="12" applyFont="1" applyBorder="1" applyAlignment="1">
      <alignment horizontal="center" vertical="center"/>
    </xf>
    <xf numFmtId="0" fontId="27" fillId="0" borderId="58" xfId="12" applyFont="1" applyBorder="1" applyAlignment="1">
      <alignment horizontal="center" vertical="center"/>
    </xf>
    <xf numFmtId="0" fontId="56" fillId="0" borderId="0" xfId="12" applyFont="1" applyAlignment="1">
      <alignment vertical="center"/>
    </xf>
    <xf numFmtId="0" fontId="30" fillId="0" borderId="36" xfId="12" applyFont="1" applyBorder="1" applyAlignment="1">
      <alignment vertical="center"/>
    </xf>
    <xf numFmtId="49" fontId="57" fillId="0" borderId="30" xfId="12" applyNumberFormat="1" applyFont="1" applyBorder="1" applyAlignment="1">
      <alignment horizontal="center" vertical="center"/>
    </xf>
    <xf numFmtId="0" fontId="57" fillId="0" borderId="58" xfId="12" applyFont="1" applyBorder="1" applyAlignment="1">
      <alignment horizontal="center" vertical="center"/>
    </xf>
    <xf numFmtId="0" fontId="30" fillId="0" borderId="58" xfId="12" applyFont="1" applyBorder="1" applyAlignment="1">
      <alignment horizontal="center" vertical="center"/>
    </xf>
    <xf numFmtId="0" fontId="58" fillId="0" borderId="0" xfId="12" applyFont="1" applyAlignment="1">
      <alignment vertical="center"/>
    </xf>
    <xf numFmtId="0" fontId="32" fillId="0" borderId="36" xfId="12" applyFont="1" applyBorder="1" applyAlignment="1">
      <alignment vertical="center"/>
    </xf>
    <xf numFmtId="49" fontId="59" fillId="0" borderId="30" xfId="12" applyNumberFormat="1" applyFont="1" applyBorder="1" applyAlignment="1">
      <alignment horizontal="center" vertical="center"/>
    </xf>
    <xf numFmtId="0" fontId="59" fillId="0" borderId="58" xfId="12" applyFont="1" applyBorder="1" applyAlignment="1">
      <alignment horizontal="center" vertical="center"/>
    </xf>
    <xf numFmtId="0" fontId="32" fillId="0" borderId="58" xfId="12" applyFont="1" applyBorder="1" applyAlignment="1">
      <alignment horizontal="center" vertical="center"/>
    </xf>
    <xf numFmtId="0" fontId="29" fillId="0" borderId="38" xfId="12" applyFont="1" applyBorder="1" applyAlignment="1">
      <alignment vertical="center"/>
    </xf>
    <xf numFmtId="0" fontId="38" fillId="0" borderId="72" xfId="12" applyFont="1" applyBorder="1" applyAlignment="1">
      <alignment horizontal="center" vertical="center"/>
    </xf>
    <xf numFmtId="49" fontId="51" fillId="0" borderId="72" xfId="12" applyNumberFormat="1" applyFont="1" applyBorder="1" applyAlignment="1">
      <alignment horizontal="center" vertical="center"/>
    </xf>
    <xf numFmtId="0" fontId="51" fillId="0" borderId="73" xfId="12" applyFont="1" applyBorder="1" applyAlignment="1">
      <alignment horizontal="center" vertical="center"/>
    </xf>
    <xf numFmtId="0" fontId="29" fillId="0" borderId="73" xfId="12" applyFont="1" applyBorder="1" applyAlignment="1">
      <alignment horizontal="center" vertical="center"/>
    </xf>
    <xf numFmtId="49" fontId="38" fillId="0" borderId="73" xfId="12" applyNumberFormat="1" applyFont="1" applyBorder="1" applyAlignment="1">
      <alignment horizontal="center" vertical="center"/>
    </xf>
    <xf numFmtId="0" fontId="47" fillId="9" borderId="72" xfId="12" applyFont="1" applyFill="1" applyBorder="1" applyAlignment="1">
      <alignment horizontal="center" vertical="center"/>
    </xf>
    <xf numFmtId="0" fontId="38" fillId="0" borderId="74" xfId="12" quotePrefix="1" applyFont="1" applyBorder="1" applyAlignment="1">
      <alignment horizontal="center" vertical="center"/>
    </xf>
    <xf numFmtId="0" fontId="4" fillId="0" borderId="0" xfId="12" applyFont="1" applyAlignment="1">
      <alignment horizontal="right" vertical="center"/>
    </xf>
    <xf numFmtId="0" fontId="4" fillId="0" borderId="0" xfId="12" applyFont="1" applyAlignment="1">
      <alignment horizontal="center" vertical="center"/>
    </xf>
    <xf numFmtId="0" fontId="3" fillId="0" borderId="0" xfId="12" applyAlignment="1">
      <alignment horizontal="left" vertical="center"/>
    </xf>
    <xf numFmtId="0" fontId="4" fillId="0" borderId="0" xfId="12" applyFont="1" applyAlignment="1">
      <alignment horizontal="left" vertical="center"/>
    </xf>
    <xf numFmtId="0" fontId="4" fillId="0" borderId="59" xfId="2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43" fillId="13" borderId="62" xfId="13" applyFont="1" applyFill="1" applyBorder="1" applyAlignment="1">
      <alignment horizontal="center" vertical="center" wrapText="1"/>
    </xf>
    <xf numFmtId="49" fontId="43" fillId="13" borderId="61" xfId="13" applyNumberFormat="1" applyFont="1" applyFill="1" applyBorder="1" applyAlignment="1">
      <alignment horizontal="center" vertical="center" wrapText="1"/>
    </xf>
    <xf numFmtId="0" fontId="38" fillId="13" borderId="30" xfId="12" applyFont="1" applyFill="1" applyBorder="1" applyAlignment="1">
      <alignment horizontal="center" vertical="center"/>
    </xf>
    <xf numFmtId="0" fontId="38" fillId="13" borderId="32" xfId="12" applyFont="1" applyFill="1" applyBorder="1" applyAlignment="1">
      <alignment horizontal="center" vertical="center"/>
    </xf>
    <xf numFmtId="1" fontId="0" fillId="26" borderId="30" xfId="0" applyNumberFormat="1" applyFill="1" applyBorder="1" applyAlignment="1">
      <alignment horizontal="center" vertical="center"/>
    </xf>
    <xf numFmtId="1" fontId="0" fillId="26" borderId="32" xfId="0" applyNumberFormat="1" applyFill="1" applyBorder="1" applyAlignment="1">
      <alignment horizontal="center" vertical="center"/>
    </xf>
    <xf numFmtId="0" fontId="25" fillId="0" borderId="28" xfId="13" applyFont="1" applyBorder="1" applyAlignment="1">
      <alignment horizontal="right" vertical="center" wrapText="1"/>
    </xf>
    <xf numFmtId="0" fontId="34" fillId="0" borderId="62" xfId="13" applyBorder="1" applyAlignment="1">
      <alignment horizontal="center" vertical="center" wrapText="1"/>
    </xf>
    <xf numFmtId="0" fontId="15" fillId="4" borderId="48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right" vertical="center"/>
    </xf>
    <xf numFmtId="0" fontId="2" fillId="0" borderId="75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7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7" fillId="5" borderId="76" xfId="0" applyFont="1" applyFill="1" applyBorder="1" applyAlignment="1">
      <alignment horizontal="center" vertical="center"/>
    </xf>
    <xf numFmtId="0" fontId="7" fillId="5" borderId="77" xfId="0" applyFont="1" applyFill="1" applyBorder="1" applyAlignment="1">
      <alignment horizontal="center" vertical="center"/>
    </xf>
    <xf numFmtId="0" fontId="7" fillId="5" borderId="7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61" fillId="0" borderId="28" xfId="13" applyFont="1" applyBorder="1" applyAlignment="1">
      <alignment horizontal="right" vertical="center" wrapText="1"/>
    </xf>
    <xf numFmtId="0" fontId="26" fillId="0" borderId="0" xfId="2" applyFont="1" applyAlignment="1">
      <alignment horizontal="center" vertical="center"/>
    </xf>
    <xf numFmtId="0" fontId="3" fillId="0" borderId="14" xfId="13" quotePrefix="1" applyFont="1" applyBorder="1" applyAlignment="1">
      <alignment horizontal="center" vertical="center" wrapText="1"/>
    </xf>
    <xf numFmtId="0" fontId="43" fillId="6" borderId="62" xfId="13" applyFont="1" applyFill="1" applyBorder="1" applyAlignment="1">
      <alignment horizontal="center" vertical="center" wrapText="1"/>
    </xf>
    <xf numFmtId="49" fontId="43" fillId="6" borderId="61" xfId="13" applyNumberFormat="1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3" xr:uid="{D88DB2AA-1F3A-420D-A729-E8F807CE83F6}"/>
    <cellStyle name="Percent" xfId="11" builtinId="5"/>
    <cellStyle name="Percent 2" xfId="6" xr:uid="{00000000-0005-0000-0000-00000B000000}"/>
    <cellStyle name="Percent 2 2" xfId="8" xr:uid="{00000000-0005-0000-0000-00000C000000}"/>
  </cellStyles>
  <dxfs count="30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theme="1"/>
      </font>
      <fill>
        <gradientFill type="path" left="0.5" right="0.5" top="0.5" bottom="0.5">
          <stop position="0">
            <color rgb="FFFFFF00"/>
          </stop>
          <stop position="1">
            <color rgb="FFFFC000"/>
          </stop>
        </gradient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FFFF"/>
      <color rgb="FF99FF99"/>
      <color rgb="FF00CCFF"/>
      <color rgb="FFFF00FF"/>
      <color rgb="FF3333FF"/>
      <color rgb="FF0033CC"/>
      <color rgb="FF9900FF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12</c:v>
                </c:pt>
                <c:pt idx="7">
                  <c:v>13</c:v>
                </c:pt>
                <c:pt idx="8">
                  <c:v>15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8</c:v>
                </c:pt>
                <c:pt idx="2">
                  <c:v>5</c:v>
                </c:pt>
                <c:pt idx="3">
                  <c:v>9</c:v>
                </c:pt>
                <c:pt idx="4">
                  <c:v>12</c:v>
                </c:pt>
                <c:pt idx="5">
                  <c:v>13</c:v>
                </c:pt>
                <c:pt idx="6">
                  <c:v>20</c:v>
                </c:pt>
                <c:pt idx="7">
                  <c:v>21</c:v>
                </c:pt>
                <c:pt idx="8">
                  <c:v>23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14</c:v>
                </c:pt>
                <c:pt idx="5">
                  <c:v>25</c:v>
                </c:pt>
                <c:pt idx="6">
                  <c:v>24</c:v>
                </c:pt>
                <c:pt idx="7">
                  <c:v>26</c:v>
                </c:pt>
                <c:pt idx="8">
                  <c:v>32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16</c:v>
                </c:pt>
                <c:pt idx="3">
                  <c:v>23</c:v>
                </c:pt>
                <c:pt idx="4">
                  <c:v>18</c:v>
                </c:pt>
                <c:pt idx="5">
                  <c:v>32</c:v>
                </c:pt>
                <c:pt idx="6">
                  <c:v>21</c:v>
                </c:pt>
                <c:pt idx="7">
                  <c:v>36</c:v>
                </c:pt>
                <c:pt idx="8">
                  <c:v>39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7</c:v>
                </c:pt>
                <c:pt idx="1">
                  <c:v>10</c:v>
                </c:pt>
                <c:pt idx="2">
                  <c:v>16</c:v>
                </c:pt>
                <c:pt idx="3">
                  <c:v>33</c:v>
                </c:pt>
                <c:pt idx="4">
                  <c:v>16</c:v>
                </c:pt>
                <c:pt idx="5">
                  <c:v>35</c:v>
                </c:pt>
                <c:pt idx="6">
                  <c:v>37</c:v>
                </c:pt>
                <c:pt idx="7">
                  <c:v>48</c:v>
                </c:pt>
                <c:pt idx="8">
                  <c:v>40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11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25</c:v>
                </c:pt>
                <c:pt idx="5">
                  <c:v>31</c:v>
                </c:pt>
                <c:pt idx="6">
                  <c:v>54</c:v>
                </c:pt>
                <c:pt idx="7">
                  <c:v>38</c:v>
                </c:pt>
                <c:pt idx="8">
                  <c:v>67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8</c:v>
                </c:pt>
                <c:pt idx="1">
                  <c:v>19</c:v>
                </c:pt>
                <c:pt idx="2">
                  <c:v>35</c:v>
                </c:pt>
                <c:pt idx="3">
                  <c:v>57</c:v>
                </c:pt>
                <c:pt idx="4">
                  <c:v>33</c:v>
                </c:pt>
                <c:pt idx="5">
                  <c:v>90</c:v>
                </c:pt>
                <c:pt idx="6">
                  <c:v>60</c:v>
                </c:pt>
                <c:pt idx="7">
                  <c:v>89</c:v>
                </c:pt>
                <c:pt idx="8">
                  <c:v>73</c:v>
                </c:pt>
                <c:pt idx="9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12</c:v>
                </c:pt>
                <c:pt idx="7">
                  <c:v>13</c:v>
                </c:pt>
                <c:pt idx="8">
                  <c:v>15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8</c:v>
                </c:pt>
                <c:pt idx="2">
                  <c:v>5</c:v>
                </c:pt>
                <c:pt idx="3">
                  <c:v>9</c:v>
                </c:pt>
                <c:pt idx="4">
                  <c:v>12</c:v>
                </c:pt>
                <c:pt idx="5">
                  <c:v>13</c:v>
                </c:pt>
                <c:pt idx="6">
                  <c:v>20</c:v>
                </c:pt>
                <c:pt idx="7">
                  <c:v>21</c:v>
                </c:pt>
                <c:pt idx="8">
                  <c:v>23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14</c:v>
                </c:pt>
                <c:pt idx="5">
                  <c:v>25</c:v>
                </c:pt>
                <c:pt idx="6">
                  <c:v>24</c:v>
                </c:pt>
                <c:pt idx="7">
                  <c:v>26</c:v>
                </c:pt>
                <c:pt idx="8">
                  <c:v>32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16</c:v>
                </c:pt>
                <c:pt idx="3">
                  <c:v>23</c:v>
                </c:pt>
                <c:pt idx="4">
                  <c:v>18</c:v>
                </c:pt>
                <c:pt idx="5">
                  <c:v>32</c:v>
                </c:pt>
                <c:pt idx="6">
                  <c:v>21</c:v>
                </c:pt>
                <c:pt idx="7">
                  <c:v>36</c:v>
                </c:pt>
                <c:pt idx="8">
                  <c:v>39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7</c:v>
                </c:pt>
                <c:pt idx="1">
                  <c:v>10</c:v>
                </c:pt>
                <c:pt idx="2">
                  <c:v>16</c:v>
                </c:pt>
                <c:pt idx="3">
                  <c:v>33</c:v>
                </c:pt>
                <c:pt idx="4">
                  <c:v>16</c:v>
                </c:pt>
                <c:pt idx="5">
                  <c:v>35</c:v>
                </c:pt>
                <c:pt idx="6">
                  <c:v>37</c:v>
                </c:pt>
                <c:pt idx="7">
                  <c:v>48</c:v>
                </c:pt>
                <c:pt idx="8">
                  <c:v>40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11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25</c:v>
                </c:pt>
                <c:pt idx="5">
                  <c:v>31</c:v>
                </c:pt>
                <c:pt idx="6">
                  <c:v>54</c:v>
                </c:pt>
                <c:pt idx="7">
                  <c:v>38</c:v>
                </c:pt>
                <c:pt idx="8">
                  <c:v>67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8</c:v>
                </c:pt>
                <c:pt idx="1">
                  <c:v>19</c:v>
                </c:pt>
                <c:pt idx="2">
                  <c:v>35</c:v>
                </c:pt>
                <c:pt idx="3">
                  <c:v>57</c:v>
                </c:pt>
                <c:pt idx="4">
                  <c:v>33</c:v>
                </c:pt>
                <c:pt idx="5">
                  <c:v>90</c:v>
                </c:pt>
                <c:pt idx="6">
                  <c:v>60</c:v>
                </c:pt>
                <c:pt idx="7">
                  <c:v>89</c:v>
                </c:pt>
                <c:pt idx="8">
                  <c:v>73</c:v>
                </c:pt>
                <c:pt idx="9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11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16</c:v>
                </c:pt>
                <c:pt idx="4">
                  <c:v>16</c:v>
                </c:pt>
                <c:pt idx="5">
                  <c:v>17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17</c:v>
                </c:pt>
                <c:pt idx="3">
                  <c:v>23</c:v>
                </c:pt>
                <c:pt idx="4">
                  <c:v>33</c:v>
                </c:pt>
                <c:pt idx="5">
                  <c:v>22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12</c:v>
                </c:pt>
                <c:pt idx="2">
                  <c:v>14</c:v>
                </c:pt>
                <c:pt idx="3">
                  <c:v>18</c:v>
                </c:pt>
                <c:pt idx="4">
                  <c:v>16</c:v>
                </c:pt>
                <c:pt idx="5">
                  <c:v>25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8</c:v>
                </c:pt>
                <c:pt idx="1">
                  <c:v>13</c:v>
                </c:pt>
                <c:pt idx="2">
                  <c:v>25</c:v>
                </c:pt>
                <c:pt idx="3">
                  <c:v>32</c:v>
                </c:pt>
                <c:pt idx="4">
                  <c:v>35</c:v>
                </c:pt>
                <c:pt idx="5">
                  <c:v>31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12</c:v>
                </c:pt>
                <c:pt idx="1">
                  <c:v>20</c:v>
                </c:pt>
                <c:pt idx="2">
                  <c:v>24</c:v>
                </c:pt>
                <c:pt idx="3">
                  <c:v>21</c:v>
                </c:pt>
                <c:pt idx="4">
                  <c:v>37</c:v>
                </c:pt>
                <c:pt idx="5">
                  <c:v>54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13</c:v>
                </c:pt>
                <c:pt idx="1">
                  <c:v>21</c:v>
                </c:pt>
                <c:pt idx="2">
                  <c:v>26</c:v>
                </c:pt>
                <c:pt idx="3">
                  <c:v>36</c:v>
                </c:pt>
                <c:pt idx="4">
                  <c:v>48</c:v>
                </c:pt>
                <c:pt idx="5">
                  <c:v>38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15</c:v>
                </c:pt>
                <c:pt idx="1">
                  <c:v>23</c:v>
                </c:pt>
                <c:pt idx="2">
                  <c:v>32</c:v>
                </c:pt>
                <c:pt idx="3">
                  <c:v>39</c:v>
                </c:pt>
                <c:pt idx="4">
                  <c:v>40</c:v>
                </c:pt>
                <c:pt idx="5">
                  <c:v>67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21</c:v>
                </c:pt>
                <c:pt idx="1">
                  <c:v>26</c:v>
                </c:pt>
                <c:pt idx="2">
                  <c:v>26</c:v>
                </c:pt>
                <c:pt idx="3">
                  <c:v>46</c:v>
                </c:pt>
                <c:pt idx="4">
                  <c:v>52</c:v>
                </c:pt>
                <c:pt idx="5">
                  <c:v>54</c:v>
                </c:pt>
                <c:pt idx="6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E828ED8-E7DB-4C12-BAC5-AE96C3A5E4E6}"/>
            </a:ext>
          </a:extLst>
        </xdr:cNvPr>
        <xdr:cNvSpPr>
          <a:spLocks noChangeArrowheads="1"/>
        </xdr:cNvSpPr>
      </xdr:nvSpPr>
      <xdr:spPr bwMode="auto">
        <a:xfrm>
          <a:off x="13068300" y="0"/>
          <a:ext cx="24384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14</xdr:row>
      <xdr:rowOff>106681</xdr:rowOff>
    </xdr:from>
    <xdr:to>
      <xdr:col>19</xdr:col>
      <xdr:colOff>238126</xdr:colOff>
      <xdr:row>32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showGridLines="0" tabSelected="1" zoomScaleNormal="100" workbookViewId="0">
      <selection activeCell="N3" sqref="N3"/>
    </sheetView>
  </sheetViews>
  <sheetFormatPr defaultRowHeight="15.6" x14ac:dyDescent="0.3"/>
  <cols>
    <col min="1" max="1" width="18.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8" style="48" bestFit="1" customWidth="1"/>
    <col min="7" max="7" width="4.19921875" style="43" customWidth="1"/>
    <col min="8" max="8" width="14.09765625" style="43" bestFit="1" customWidth="1"/>
    <col min="9" max="9" width="4.8984375" style="43" bestFit="1" customWidth="1"/>
    <col min="10" max="10" width="31.8984375" style="43" bestFit="1" customWidth="1"/>
    <col min="11" max="11" width="4.19921875" style="43" customWidth="1"/>
    <col min="12" max="12" width="19.59765625" style="43" bestFit="1" customWidth="1"/>
    <col min="13" max="13" width="7.3984375" style="43" bestFit="1" customWidth="1"/>
    <col min="14" max="14" width="14.5" style="43" bestFit="1" customWidth="1"/>
    <col min="15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99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70" t="s">
        <v>198</v>
      </c>
      <c r="B2" s="70">
        <v>1</v>
      </c>
      <c r="C2" s="44">
        <v>0</v>
      </c>
      <c r="D2" s="45">
        <f t="shared" ref="D2:D9" ca="1" si="0">RANDBETWEEN(1,20)</f>
        <v>17</v>
      </c>
      <c r="E2" s="44">
        <f t="shared" ref="E2:E9" ca="1" si="1">SUM(C2:D2)</f>
        <v>17</v>
      </c>
      <c r="F2" s="44" t="s">
        <v>5</v>
      </c>
      <c r="H2" s="71" t="s">
        <v>0</v>
      </c>
      <c r="I2" s="72" t="s">
        <v>21</v>
      </c>
      <c r="J2" s="73" t="s">
        <v>22</v>
      </c>
      <c r="L2" s="119" t="s">
        <v>0</v>
      </c>
      <c r="M2" s="120" t="s">
        <v>82</v>
      </c>
      <c r="N2" s="121" t="s">
        <v>64</v>
      </c>
    </row>
    <row r="3" spans="1:14" x14ac:dyDescent="0.3">
      <c r="A3" s="111"/>
      <c r="B3" s="111">
        <v>2</v>
      </c>
      <c r="C3" s="44"/>
      <c r="D3" s="45">
        <f t="shared" ca="1" si="0"/>
        <v>7</v>
      </c>
      <c r="E3" s="44">
        <f t="shared" ca="1" si="1"/>
        <v>7</v>
      </c>
      <c r="F3" s="44"/>
      <c r="H3" s="304" t="s">
        <v>222</v>
      </c>
      <c r="I3" s="70">
        <v>6</v>
      </c>
      <c r="J3" s="74" t="s">
        <v>215</v>
      </c>
      <c r="L3" s="305" t="s">
        <v>231</v>
      </c>
      <c r="M3" s="306">
        <v>6</v>
      </c>
      <c r="N3" s="307"/>
    </row>
    <row r="4" spans="1:14" x14ac:dyDescent="0.3">
      <c r="A4" s="64" t="s">
        <v>223</v>
      </c>
      <c r="B4" s="64">
        <v>1</v>
      </c>
      <c r="C4" s="44">
        <v>3</v>
      </c>
      <c r="D4" s="45">
        <f t="shared" ca="1" si="0"/>
        <v>4</v>
      </c>
      <c r="E4" s="44">
        <f t="shared" ca="1" si="1"/>
        <v>7</v>
      </c>
      <c r="F4" s="44" t="s">
        <v>224</v>
      </c>
      <c r="H4" s="304" t="s">
        <v>108</v>
      </c>
      <c r="I4" s="70">
        <v>6</v>
      </c>
      <c r="J4" s="74" t="s">
        <v>109</v>
      </c>
      <c r="L4" s="308"/>
      <c r="M4" s="111"/>
      <c r="N4" s="122"/>
    </row>
    <row r="5" spans="1:14" ht="16.2" thickBot="1" x14ac:dyDescent="0.35">
      <c r="A5" s="70" t="s">
        <v>222</v>
      </c>
      <c r="B5" s="70">
        <v>1</v>
      </c>
      <c r="C5" s="44">
        <v>4</v>
      </c>
      <c r="D5" s="45">
        <f t="shared" ca="1" si="0"/>
        <v>12</v>
      </c>
      <c r="E5" s="44">
        <f t="shared" ca="1" si="1"/>
        <v>16</v>
      </c>
      <c r="F5" s="44" t="s">
        <v>5</v>
      </c>
      <c r="H5" s="304" t="s">
        <v>198</v>
      </c>
      <c r="I5" s="70">
        <v>6</v>
      </c>
      <c r="J5" s="74" t="s">
        <v>206</v>
      </c>
      <c r="L5" s="123"/>
      <c r="M5" s="124"/>
      <c r="N5" s="125"/>
    </row>
    <row r="6" spans="1:14" x14ac:dyDescent="0.3">
      <c r="A6" s="70" t="s">
        <v>108</v>
      </c>
      <c r="B6" s="70">
        <v>1</v>
      </c>
      <c r="C6" s="44">
        <v>7</v>
      </c>
      <c r="D6" s="45">
        <f t="shared" ca="1" si="0"/>
        <v>4</v>
      </c>
      <c r="E6" s="44">
        <f t="shared" ca="1" si="1"/>
        <v>11</v>
      </c>
      <c r="F6" s="44" t="s">
        <v>5</v>
      </c>
      <c r="H6" s="304" t="s">
        <v>106</v>
      </c>
      <c r="I6" s="70">
        <v>6</v>
      </c>
      <c r="J6" s="74" t="s">
        <v>107</v>
      </c>
      <c r="L6" s="126" t="s">
        <v>23</v>
      </c>
      <c r="M6" s="127">
        <f>SUM(M3:M5)</f>
        <v>6</v>
      </c>
      <c r="N6" s="122"/>
    </row>
    <row r="7" spans="1:14" ht="16.2" thickBot="1" x14ac:dyDescent="0.35">
      <c r="A7" s="70" t="s">
        <v>106</v>
      </c>
      <c r="B7" s="70">
        <v>1</v>
      </c>
      <c r="C7" s="44">
        <v>6</v>
      </c>
      <c r="D7" s="45">
        <f t="shared" ca="1" si="0"/>
        <v>12</v>
      </c>
      <c r="E7" s="44">
        <f t="shared" ca="1" si="1"/>
        <v>18</v>
      </c>
      <c r="F7" s="44" t="s">
        <v>211</v>
      </c>
      <c r="H7" s="158" t="s">
        <v>105</v>
      </c>
      <c r="I7" s="159">
        <v>6</v>
      </c>
      <c r="J7" s="160" t="s">
        <v>205</v>
      </c>
      <c r="L7" s="126" t="s">
        <v>94</v>
      </c>
      <c r="M7" s="127">
        <f>AVERAGE(M3:M5)</f>
        <v>6</v>
      </c>
      <c r="N7" s="122"/>
    </row>
    <row r="8" spans="1:14" ht="16.2" thickBot="1" x14ac:dyDescent="0.35">
      <c r="A8" s="70" t="s">
        <v>105</v>
      </c>
      <c r="B8" s="70">
        <v>1</v>
      </c>
      <c r="C8" s="44">
        <v>4</v>
      </c>
      <c r="D8" s="45">
        <f t="shared" ca="1" si="0"/>
        <v>9</v>
      </c>
      <c r="E8" s="44">
        <f t="shared" ca="1" si="1"/>
        <v>13</v>
      </c>
      <c r="F8" s="44" t="s">
        <v>5</v>
      </c>
      <c r="H8" s="75" t="s">
        <v>23</v>
      </c>
      <c r="I8" s="76">
        <f>SUM(I3:I7)</f>
        <v>30</v>
      </c>
      <c r="J8" s="74"/>
      <c r="L8" s="128" t="s">
        <v>24</v>
      </c>
      <c r="M8" s="152">
        <f>COUNT(M5:M5)</f>
        <v>0</v>
      </c>
      <c r="N8" s="129"/>
    </row>
    <row r="9" spans="1:14" ht="16.2" thickTop="1" x14ac:dyDescent="0.3">
      <c r="A9" s="111" t="s">
        <v>231</v>
      </c>
      <c r="B9" s="111">
        <v>2</v>
      </c>
      <c r="C9" s="44">
        <v>0</v>
      </c>
      <c r="D9" s="45">
        <f t="shared" ca="1" si="0"/>
        <v>16</v>
      </c>
      <c r="E9" s="44">
        <f t="shared" ca="1" si="1"/>
        <v>16</v>
      </c>
      <c r="F9" s="44" t="s">
        <v>246</v>
      </c>
      <c r="H9" s="75" t="s">
        <v>24</v>
      </c>
      <c r="I9" s="76">
        <f>COUNT(I3:I7)</f>
        <v>5</v>
      </c>
      <c r="J9" s="77"/>
    </row>
    <row r="10" spans="1:14" x14ac:dyDescent="0.3">
      <c r="B10" s="43"/>
      <c r="C10" s="43"/>
      <c r="E10" s="43"/>
      <c r="F10" s="43"/>
      <c r="H10" s="75" t="s">
        <v>26</v>
      </c>
      <c r="I10" s="78">
        <f>I8/4</f>
        <v>7.5</v>
      </c>
      <c r="J10" s="74" t="s">
        <v>27</v>
      </c>
      <c r="L10" s="83" t="s">
        <v>30</v>
      </c>
      <c r="M10" s="84">
        <f>I10</f>
        <v>7.5</v>
      </c>
      <c r="N10" s="82"/>
    </row>
    <row r="11" spans="1:14" ht="16.2" thickBot="1" x14ac:dyDescent="0.35">
      <c r="B11" s="43"/>
      <c r="C11" s="43"/>
      <c r="D11" s="45">
        <f t="shared" ref="D11" ca="1" si="2">RANDBETWEEN(1,20)</f>
        <v>10</v>
      </c>
      <c r="E11" s="43"/>
      <c r="F11" s="43"/>
      <c r="H11" s="79" t="s">
        <v>28</v>
      </c>
      <c r="I11" s="80">
        <f>I10*2</f>
        <v>15</v>
      </c>
      <c r="J11" s="81" t="s">
        <v>29</v>
      </c>
      <c r="L11" s="83" t="s">
        <v>31</v>
      </c>
      <c r="M11" s="84">
        <f>I11</f>
        <v>15</v>
      </c>
      <c r="N11" s="82"/>
    </row>
    <row r="12" spans="1:14" ht="16.2" thickTop="1" x14ac:dyDescent="0.3">
      <c r="B12" s="43"/>
      <c r="C12" s="43"/>
      <c r="D12" s="43"/>
      <c r="E12" s="43"/>
      <c r="F12" s="43"/>
      <c r="H12" s="82"/>
      <c r="I12" s="82"/>
      <c r="J12" s="82"/>
      <c r="L12" s="83" t="s">
        <v>32</v>
      </c>
      <c r="M12" s="84">
        <f>I8</f>
        <v>30</v>
      </c>
      <c r="N12" s="82"/>
    </row>
    <row r="13" spans="1:14" x14ac:dyDescent="0.3">
      <c r="B13" s="43"/>
      <c r="C13" s="43"/>
      <c r="D13" s="43"/>
      <c r="E13" s="43"/>
      <c r="F13" s="43"/>
      <c r="H13" s="82"/>
      <c r="I13" s="82"/>
      <c r="J13" s="82"/>
      <c r="L13" s="85" t="s">
        <v>33</v>
      </c>
      <c r="M13" s="84">
        <f>M6</f>
        <v>6</v>
      </c>
      <c r="N13" s="82"/>
    </row>
    <row r="14" spans="1:14" x14ac:dyDescent="0.3">
      <c r="H14" s="82"/>
      <c r="I14" s="82"/>
      <c r="J14" s="82"/>
    </row>
    <row r="15" spans="1:14" x14ac:dyDescent="0.3">
      <c r="H15" s="82"/>
      <c r="I15" s="82"/>
      <c r="J15" s="82"/>
    </row>
    <row r="16" spans="1:14" x14ac:dyDescent="0.3">
      <c r="H16" s="82"/>
      <c r="I16" s="82"/>
      <c r="J16" s="82"/>
    </row>
    <row r="17" spans="8:14" x14ac:dyDescent="0.3">
      <c r="H17" s="82"/>
      <c r="I17" s="82"/>
      <c r="J17" s="82"/>
    </row>
    <row r="18" spans="8:14" x14ac:dyDescent="0.3">
      <c r="H18" s="82"/>
      <c r="I18" s="82"/>
      <c r="J18" s="82"/>
    </row>
    <row r="19" spans="8:14" x14ac:dyDescent="0.3">
      <c r="H19" s="82"/>
      <c r="I19" s="82"/>
      <c r="J19" s="82"/>
    </row>
    <row r="20" spans="8:14" x14ac:dyDescent="0.3">
      <c r="H20" s="82"/>
      <c r="I20" s="82"/>
      <c r="J20" s="82"/>
    </row>
    <row r="21" spans="8:14" x14ac:dyDescent="0.3">
      <c r="H21" s="82"/>
      <c r="I21" s="82"/>
      <c r="J21" s="82"/>
    </row>
    <row r="22" spans="8:14" x14ac:dyDescent="0.3">
      <c r="H22" s="82"/>
      <c r="I22" s="82"/>
      <c r="J22" s="82"/>
    </row>
    <row r="23" spans="8:14" x14ac:dyDescent="0.3">
      <c r="H23" s="82"/>
      <c r="I23" s="82"/>
      <c r="J23" s="82"/>
    </row>
    <row r="24" spans="8:14" x14ac:dyDescent="0.3">
      <c r="H24" s="82"/>
      <c r="I24" s="82"/>
      <c r="J24" s="82"/>
    </row>
    <row r="25" spans="8:14" x14ac:dyDescent="0.3">
      <c r="H25" s="82"/>
      <c r="I25" s="82"/>
      <c r="J25" s="82"/>
    </row>
    <row r="26" spans="8:14" x14ac:dyDescent="0.3">
      <c r="H26" s="82"/>
      <c r="I26" s="82"/>
      <c r="J26" s="82"/>
    </row>
    <row r="27" spans="8:14" x14ac:dyDescent="0.3">
      <c r="H27" s="82"/>
      <c r="I27" s="82"/>
      <c r="J27" s="82"/>
      <c r="L27" s="83"/>
      <c r="M27" s="84"/>
      <c r="N27" s="82"/>
    </row>
    <row r="28" spans="8:14" x14ac:dyDescent="0.3">
      <c r="H28" s="82"/>
      <c r="I28" s="82"/>
      <c r="J28" s="82"/>
      <c r="L28" s="83"/>
      <c r="M28" s="84"/>
      <c r="N28" s="82"/>
    </row>
    <row r="29" spans="8:14" x14ac:dyDescent="0.3">
      <c r="H29" s="82"/>
      <c r="I29" s="82"/>
      <c r="J29" s="82"/>
      <c r="L29" s="83"/>
      <c r="M29" s="84"/>
      <c r="N29" s="82"/>
    </row>
    <row r="30" spans="8:14" x14ac:dyDescent="0.3">
      <c r="H30" s="82"/>
      <c r="I30" s="82"/>
      <c r="J30" s="82"/>
      <c r="N30" s="82"/>
    </row>
    <row r="31" spans="8:14" x14ac:dyDescent="0.3">
      <c r="H31" s="82"/>
      <c r="I31" s="82"/>
      <c r="J31" s="82"/>
      <c r="L31" s="85" t="s">
        <v>33</v>
      </c>
      <c r="M31" s="84">
        <f>M23</f>
        <v>0</v>
      </c>
    </row>
    <row r="32" spans="8:14" x14ac:dyDescent="0.3">
      <c r="H32" s="82"/>
      <c r="I32" s="82"/>
      <c r="J32" s="82"/>
    </row>
  </sheetData>
  <sortState xmlns:xlrd2="http://schemas.microsoft.com/office/spreadsheetml/2017/richdata2" ref="A2:F9">
    <sortCondition descending="1" ref="E2:E9"/>
    <sortCondition descending="1" ref="C2:C9"/>
  </sortState>
  <conditionalFormatting sqref="M13">
    <cfRule type="cellIs" dxfId="29" priority="1438" operator="greaterThan">
      <formula>$M$12</formula>
    </cfRule>
    <cfRule type="cellIs" dxfId="28" priority="1439" operator="between">
      <formula>$M$11</formula>
      <formula>$M$12</formula>
    </cfRule>
    <cfRule type="cellIs" dxfId="27" priority="1440" operator="between">
      <formula>$M$10</formula>
      <formula>$M$11</formula>
    </cfRule>
    <cfRule type="cellIs" dxfId="26" priority="1441" operator="lessThan">
      <formula>$M$10</formula>
    </cfRule>
  </conditionalFormatting>
  <conditionalFormatting sqref="M31">
    <cfRule type="cellIs" dxfId="25" priority="1" operator="greaterThan">
      <formula>$M$12</formula>
    </cfRule>
    <cfRule type="cellIs" dxfId="24" priority="2" operator="between">
      <formula>$M$11</formula>
      <formula>$M$12</formula>
    </cfRule>
    <cfRule type="cellIs" dxfId="23" priority="3" operator="between">
      <formula>$M$10</formula>
      <formula>$M$11</formula>
    </cfRule>
    <cfRule type="cellIs" dxfId="22" priority="4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487F-B656-4CD8-9C45-984CE0BF48EF}">
  <dimension ref="A1:AV8"/>
  <sheetViews>
    <sheetView showGridLines="0" zoomScaleNormal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G2" sqref="G2"/>
    </sheetView>
  </sheetViews>
  <sheetFormatPr defaultColWidth="8.5" defaultRowHeight="16.2" x14ac:dyDescent="0.3"/>
  <cols>
    <col min="1" max="1" width="14.09765625" style="213" customWidth="1"/>
    <col min="2" max="2" width="16.296875" style="213" customWidth="1"/>
    <col min="3" max="3" width="10.09765625" style="310" bestFit="1" customWidth="1"/>
    <col min="4" max="4" width="11.19921875" style="193" customWidth="1"/>
    <col min="5" max="5" width="12" style="193" bestFit="1" customWidth="1"/>
    <col min="6" max="6" width="5" style="214" bestFit="1" customWidth="1"/>
    <col min="7" max="7" width="4" style="214" bestFit="1" customWidth="1"/>
    <col min="8" max="8" width="4.296875" style="214" bestFit="1" customWidth="1"/>
    <col min="9" max="9" width="10.19921875" style="193" bestFit="1" customWidth="1"/>
    <col min="10" max="10" width="10.8984375" style="214" bestFit="1" customWidth="1"/>
    <col min="11" max="11" width="3.69921875" style="214" bestFit="1" customWidth="1"/>
    <col min="12" max="12" width="3.19921875" style="214" customWidth="1"/>
    <col min="13" max="13" width="4.59765625" style="214" customWidth="1"/>
    <col min="14" max="14" width="3.19921875" style="214" customWidth="1"/>
    <col min="15" max="15" width="4.8984375" style="214" bestFit="1" customWidth="1"/>
    <col min="16" max="16" width="3.19921875" style="214" customWidth="1"/>
    <col min="17" max="17" width="3.69921875" style="214" bestFit="1" customWidth="1"/>
    <col min="18" max="18" width="3.19921875" style="214" customWidth="1"/>
    <col min="19" max="19" width="4.59765625" style="214" customWidth="1"/>
    <col min="20" max="20" width="3.19921875" style="214" customWidth="1"/>
    <col min="21" max="21" width="4.796875" style="214" customWidth="1"/>
    <col min="22" max="22" width="3.19921875" style="214" customWidth="1"/>
    <col min="23" max="23" width="4.3984375" style="214" bestFit="1" customWidth="1"/>
    <col min="24" max="24" width="4.296875" style="214" bestFit="1" customWidth="1"/>
    <col min="25" max="25" width="5" style="214" bestFit="1" customWidth="1"/>
    <col min="26" max="26" width="3.296875" style="214" customWidth="1"/>
    <col min="27" max="27" width="4.19921875" style="214" bestFit="1" customWidth="1"/>
    <col min="28" max="28" width="3.296875" style="214" customWidth="1"/>
    <col min="29" max="29" width="4.296875" style="214" bestFit="1" customWidth="1"/>
    <col min="30" max="30" width="3.296875" style="214" customWidth="1"/>
    <col min="31" max="31" width="5.3984375" style="214" bestFit="1" customWidth="1"/>
    <col min="32" max="32" width="5.5" style="214" bestFit="1" customWidth="1"/>
    <col min="33" max="33" width="3.69921875" style="193" bestFit="1" customWidth="1"/>
    <col min="34" max="34" width="6.796875" style="193" bestFit="1" customWidth="1"/>
    <col min="35" max="35" width="4" style="214" bestFit="1" customWidth="1"/>
    <col min="36" max="36" width="11.59765625" style="214" bestFit="1" customWidth="1"/>
    <col min="37" max="37" width="76.69921875" style="214" customWidth="1"/>
    <col min="38" max="38" width="26.8984375" style="214" customWidth="1"/>
    <col min="39" max="39" width="20.59765625" style="214" bestFit="1" customWidth="1"/>
    <col min="40" max="40" width="29.3984375" style="214" bestFit="1" customWidth="1"/>
    <col min="41" max="41" width="11.8984375" style="214" customWidth="1"/>
    <col min="42" max="42" width="12.796875" style="214" bestFit="1" customWidth="1"/>
    <col min="43" max="43" width="27.3984375" style="214" bestFit="1" customWidth="1"/>
    <col min="44" max="44" width="20.69921875" style="193" bestFit="1" customWidth="1"/>
    <col min="45" max="45" width="31" style="193" bestFit="1" customWidth="1"/>
    <col min="46" max="46" width="30.69921875" style="193" bestFit="1" customWidth="1"/>
    <col min="47" max="47" width="31.5" style="193" customWidth="1"/>
    <col min="48" max="48" width="13" style="193" bestFit="1" customWidth="1"/>
    <col min="49" max="16384" width="8.5" style="214"/>
  </cols>
  <sheetData>
    <row r="1" spans="1:44" ht="17.399999999999999" thickBot="1" x14ac:dyDescent="0.35">
      <c r="A1" s="176" t="s">
        <v>114</v>
      </c>
      <c r="B1" s="176" t="s">
        <v>115</v>
      </c>
      <c r="C1" s="177" t="s">
        <v>1</v>
      </c>
      <c r="D1" s="282" t="s">
        <v>116</v>
      </c>
      <c r="E1" s="282" t="s">
        <v>117</v>
      </c>
      <c r="F1" s="177" t="s">
        <v>21</v>
      </c>
      <c r="G1" s="177" t="s">
        <v>118</v>
      </c>
      <c r="H1" s="177" t="s">
        <v>119</v>
      </c>
      <c r="I1" s="282" t="s">
        <v>120</v>
      </c>
      <c r="J1" s="178" t="s">
        <v>195</v>
      </c>
      <c r="K1" s="179" t="s">
        <v>121</v>
      </c>
      <c r="L1" s="180" t="s">
        <v>122</v>
      </c>
      <c r="M1" s="181" t="s">
        <v>123</v>
      </c>
      <c r="N1" s="180" t="s">
        <v>124</v>
      </c>
      <c r="O1" s="182" t="s">
        <v>125</v>
      </c>
      <c r="P1" s="180" t="s">
        <v>126</v>
      </c>
      <c r="Q1" s="183" t="s">
        <v>127</v>
      </c>
      <c r="R1" s="180" t="s">
        <v>128</v>
      </c>
      <c r="S1" s="184" t="s">
        <v>129</v>
      </c>
      <c r="T1" s="180" t="s">
        <v>130</v>
      </c>
      <c r="U1" s="185" t="s">
        <v>131</v>
      </c>
      <c r="V1" s="180" t="s">
        <v>132</v>
      </c>
      <c r="W1" s="186" t="s">
        <v>133</v>
      </c>
      <c r="X1" s="181" t="s">
        <v>134</v>
      </c>
      <c r="Y1" s="187" t="s">
        <v>135</v>
      </c>
      <c r="Z1" s="188" t="s">
        <v>40</v>
      </c>
      <c r="AA1" s="189" t="s">
        <v>136</v>
      </c>
      <c r="AB1" s="188" t="s">
        <v>41</v>
      </c>
      <c r="AC1" s="190" t="s">
        <v>137</v>
      </c>
      <c r="AD1" s="188" t="s">
        <v>42</v>
      </c>
      <c r="AE1" s="179" t="s">
        <v>36</v>
      </c>
      <c r="AF1" s="191" t="s">
        <v>44</v>
      </c>
      <c r="AG1" s="191" t="s">
        <v>138</v>
      </c>
      <c r="AH1" s="191" t="s">
        <v>45</v>
      </c>
      <c r="AI1" s="182" t="s">
        <v>139</v>
      </c>
      <c r="AJ1" s="182" t="s">
        <v>140</v>
      </c>
      <c r="AK1" s="192" t="s">
        <v>197</v>
      </c>
      <c r="AL1" s="177" t="s">
        <v>141</v>
      </c>
      <c r="AM1" s="177" t="s">
        <v>142</v>
      </c>
      <c r="AN1" s="177" t="s">
        <v>143</v>
      </c>
      <c r="AO1" s="177" t="s">
        <v>144</v>
      </c>
      <c r="AP1" s="177" t="s">
        <v>145</v>
      </c>
      <c r="AQ1" s="178" t="s">
        <v>146</v>
      </c>
      <c r="AR1" s="178" t="s">
        <v>196</v>
      </c>
    </row>
    <row r="2" spans="1:44" s="193" customFormat="1" ht="40.799999999999997" x14ac:dyDescent="0.3">
      <c r="A2" s="290"/>
      <c r="B2" s="290"/>
      <c r="C2" s="196"/>
      <c r="D2" s="195"/>
      <c r="E2" s="195"/>
      <c r="F2" s="194"/>
      <c r="G2" s="195"/>
      <c r="H2" s="195"/>
      <c r="I2" s="195"/>
      <c r="J2" s="199"/>
      <c r="K2" s="291">
        <v>10</v>
      </c>
      <c r="L2" s="200" t="str">
        <f t="shared" ref="L2:L4" si="0">IF(K2&gt;9.9,CONCATENATE("+",ROUNDDOWN((K2-10) / 2,0)),ROUNDUP((K2-10) / 2,0))</f>
        <v>+0</v>
      </c>
      <c r="M2" s="200">
        <v>10</v>
      </c>
      <c r="N2" s="200" t="str">
        <f t="shared" ref="N2:N4" si="1">IF(M2&gt;9.9,CONCATENATE("+",ROUNDDOWN((M2-10) / 2,0)),ROUNDUP((M2-10) / 2,0))</f>
        <v>+0</v>
      </c>
      <c r="O2" s="200">
        <v>10</v>
      </c>
      <c r="P2" s="200" t="str">
        <f t="shared" ref="P2:P4" si="2">IF(O2&gt;9.9,CONCATENATE("+",ROUNDDOWN((O2-10) / 2,0)),ROUNDUP((O2-10) / 2,0))</f>
        <v>+0</v>
      </c>
      <c r="Q2" s="200">
        <v>10</v>
      </c>
      <c r="R2" s="200" t="str">
        <f t="shared" ref="R2:R4" si="3">IF(Q2&gt;9.9,CONCATENATE("+",ROUNDDOWN((Q2-10) / 2,0)),ROUNDUP((Q2-10) / 2,0))</f>
        <v>+0</v>
      </c>
      <c r="S2" s="200">
        <v>10</v>
      </c>
      <c r="T2" s="200" t="str">
        <f t="shared" ref="T2:T4" si="4">IF(S2&gt;9.9,CONCATENATE("+",ROUNDDOWN((S2-10) / 2,0)),ROUNDUP((S2-10) / 2,0))</f>
        <v>+0</v>
      </c>
      <c r="U2" s="201">
        <v>10</v>
      </c>
      <c r="V2" s="201" t="str">
        <f t="shared" ref="V2:V4" si="5">IF(U2&gt;9.9,CONCATENATE("+",ROUNDDOWN((U2-10) / 2,0)),ROUNDUP((U2-10) / 2,0))</f>
        <v>+0</v>
      </c>
      <c r="W2" s="202">
        <f t="shared" ref="W2:W4" si="6">AVERAGE(K2,M2,O2,Q2,S2,U2)</f>
        <v>10</v>
      </c>
      <c r="X2" s="203" t="str">
        <f t="shared" ref="X2:X4" si="7">IF(M2&gt;9.9,CONCATENATE("+",ROUNDDOWN((M2-10) / 2,0)),ROUNDUP((M2-10) / 2,0))</f>
        <v>+0</v>
      </c>
      <c r="Y2" s="204"/>
      <c r="Z2" s="205">
        <f t="shared" ref="Z2:Z7" si="8">IF(O2&gt;9.9,(ROUNDDOWN((O2-10) / 2,0)),ROUNDUP((O2-10) / 2,0))+Y2</f>
        <v>0</v>
      </c>
      <c r="AA2" s="206"/>
      <c r="AB2" s="207">
        <f t="shared" ref="AB2:AB7" si="9">AA2+X2</f>
        <v>0</v>
      </c>
      <c r="AC2" s="206"/>
      <c r="AD2" s="209">
        <f t="shared" ref="AD2:AD6" si="10">IF(S2&gt;9.9,(ROUNDDOWN((S2-10) / 2,0)),ROUNDUP((S2-10) / 2,0))+AC2</f>
        <v>0</v>
      </c>
      <c r="AE2" s="210"/>
      <c r="AF2" s="201">
        <f t="shared" ref="AF2:AF7" si="11">10+N2</f>
        <v>10</v>
      </c>
      <c r="AG2" s="201">
        <f t="shared" ref="AG2:AG7" si="12">10+AP2</f>
        <v>15</v>
      </c>
      <c r="AH2" s="201">
        <f t="shared" ref="AH2:AH7" si="13">AF2+AP2</f>
        <v>15</v>
      </c>
      <c r="AI2" s="210">
        <f t="shared" ref="AI2:AI4" si="14">(F2*6*0.75)+(P2+F2)</f>
        <v>0</v>
      </c>
      <c r="AJ2" s="211">
        <f>(4+R2)*F2+3</f>
        <v>3</v>
      </c>
      <c r="AK2" s="212"/>
      <c r="AL2" s="312"/>
      <c r="AM2" s="313" t="s">
        <v>221</v>
      </c>
      <c r="AN2" s="197"/>
      <c r="AO2" s="195"/>
      <c r="AP2" s="198">
        <f t="shared" ref="AP2:AP3" si="15">3+2</f>
        <v>5</v>
      </c>
      <c r="AQ2" s="199"/>
      <c r="AR2" s="199"/>
    </row>
    <row r="3" spans="1:44" s="193" customFormat="1" ht="26.4" x14ac:dyDescent="0.3">
      <c r="A3" s="290"/>
      <c r="B3" s="290"/>
      <c r="C3" s="196"/>
      <c r="D3" s="195"/>
      <c r="E3" s="195"/>
      <c r="F3" s="194"/>
      <c r="G3" s="195"/>
      <c r="H3" s="195"/>
      <c r="I3" s="195"/>
      <c r="J3" s="199"/>
      <c r="K3" s="291">
        <v>10</v>
      </c>
      <c r="L3" s="200" t="str">
        <f t="shared" si="0"/>
        <v>+0</v>
      </c>
      <c r="M3" s="200">
        <v>10</v>
      </c>
      <c r="N3" s="200" t="str">
        <f t="shared" si="1"/>
        <v>+0</v>
      </c>
      <c r="O3" s="200">
        <v>10</v>
      </c>
      <c r="P3" s="200" t="str">
        <f t="shared" si="2"/>
        <v>+0</v>
      </c>
      <c r="Q3" s="200">
        <v>10</v>
      </c>
      <c r="R3" s="200" t="str">
        <f t="shared" si="3"/>
        <v>+0</v>
      </c>
      <c r="S3" s="200">
        <v>10</v>
      </c>
      <c r="T3" s="200" t="str">
        <f t="shared" si="4"/>
        <v>+0</v>
      </c>
      <c r="U3" s="201">
        <v>10</v>
      </c>
      <c r="V3" s="201" t="str">
        <f t="shared" si="5"/>
        <v>+0</v>
      </c>
      <c r="W3" s="202">
        <f t="shared" si="6"/>
        <v>10</v>
      </c>
      <c r="X3" s="203" t="str">
        <f t="shared" si="7"/>
        <v>+0</v>
      </c>
      <c r="Y3" s="204"/>
      <c r="Z3" s="205">
        <f t="shared" si="8"/>
        <v>0</v>
      </c>
      <c r="AA3" s="206"/>
      <c r="AB3" s="207">
        <f t="shared" si="9"/>
        <v>0</v>
      </c>
      <c r="AC3" s="206"/>
      <c r="AD3" s="209">
        <f t="shared" si="10"/>
        <v>0</v>
      </c>
      <c r="AE3" s="210"/>
      <c r="AF3" s="201">
        <f t="shared" si="11"/>
        <v>10</v>
      </c>
      <c r="AG3" s="201">
        <f t="shared" si="12"/>
        <v>15</v>
      </c>
      <c r="AH3" s="201">
        <f t="shared" si="13"/>
        <v>15</v>
      </c>
      <c r="AI3" s="210">
        <f t="shared" si="14"/>
        <v>0</v>
      </c>
      <c r="AJ3" s="211">
        <f>(2+R3)*F3+3</f>
        <v>3</v>
      </c>
      <c r="AK3" s="212"/>
      <c r="AL3" s="312"/>
      <c r="AM3" s="313" t="s">
        <v>217</v>
      </c>
      <c r="AN3" s="197"/>
      <c r="AO3" s="195"/>
      <c r="AP3" s="198">
        <f t="shared" si="15"/>
        <v>5</v>
      </c>
      <c r="AQ3" s="199"/>
      <c r="AR3" s="199"/>
    </row>
    <row r="4" spans="1:44" s="193" customFormat="1" ht="26.4" x14ac:dyDescent="0.3">
      <c r="A4" s="290"/>
      <c r="B4" s="290"/>
      <c r="C4" s="196"/>
      <c r="D4" s="195"/>
      <c r="E4" s="195"/>
      <c r="F4" s="194"/>
      <c r="G4" s="195"/>
      <c r="H4" s="195"/>
      <c r="I4" s="195"/>
      <c r="J4" s="199"/>
      <c r="K4" s="291">
        <v>10</v>
      </c>
      <c r="L4" s="200" t="str">
        <f t="shared" si="0"/>
        <v>+0</v>
      </c>
      <c r="M4" s="200">
        <v>10</v>
      </c>
      <c r="N4" s="200" t="str">
        <f t="shared" si="1"/>
        <v>+0</v>
      </c>
      <c r="O4" s="200">
        <v>10</v>
      </c>
      <c r="P4" s="200" t="str">
        <f t="shared" si="2"/>
        <v>+0</v>
      </c>
      <c r="Q4" s="200">
        <v>10</v>
      </c>
      <c r="R4" s="200" t="str">
        <f t="shared" si="3"/>
        <v>+0</v>
      </c>
      <c r="S4" s="200">
        <v>10</v>
      </c>
      <c r="T4" s="200" t="str">
        <f t="shared" si="4"/>
        <v>+0</v>
      </c>
      <c r="U4" s="201">
        <v>10</v>
      </c>
      <c r="V4" s="201" t="str">
        <f t="shared" si="5"/>
        <v>+0</v>
      </c>
      <c r="W4" s="202">
        <f t="shared" si="6"/>
        <v>10</v>
      </c>
      <c r="X4" s="203" t="str">
        <f t="shared" si="7"/>
        <v>+0</v>
      </c>
      <c r="Y4" s="204"/>
      <c r="Z4" s="205">
        <f t="shared" si="8"/>
        <v>0</v>
      </c>
      <c r="AA4" s="206"/>
      <c r="AB4" s="207">
        <f t="shared" si="9"/>
        <v>0</v>
      </c>
      <c r="AC4" s="206"/>
      <c r="AD4" s="209">
        <f t="shared" si="10"/>
        <v>0</v>
      </c>
      <c r="AE4" s="210"/>
      <c r="AF4" s="201">
        <f t="shared" si="11"/>
        <v>10</v>
      </c>
      <c r="AG4" s="201">
        <f t="shared" si="12"/>
        <v>14</v>
      </c>
      <c r="AH4" s="201">
        <f t="shared" si="13"/>
        <v>14</v>
      </c>
      <c r="AI4" s="210">
        <f t="shared" si="14"/>
        <v>0</v>
      </c>
      <c r="AJ4" s="211">
        <f>(6+R4)*F4+3</f>
        <v>3</v>
      </c>
      <c r="AK4" s="212"/>
      <c r="AL4" s="312"/>
      <c r="AM4" s="313" t="s">
        <v>216</v>
      </c>
      <c r="AN4" s="197"/>
      <c r="AO4" s="195"/>
      <c r="AP4" s="198">
        <f t="shared" ref="AP4" si="16">2+2</f>
        <v>4</v>
      </c>
      <c r="AQ4" s="199"/>
      <c r="AR4" s="199"/>
    </row>
    <row r="5" spans="1:44" s="193" customFormat="1" ht="16.8" x14ac:dyDescent="0.3">
      <c r="A5" s="290"/>
      <c r="B5" s="309"/>
      <c r="C5" s="196"/>
      <c r="D5" s="195"/>
      <c r="E5" s="195"/>
      <c r="F5" s="194"/>
      <c r="G5" s="195"/>
      <c r="H5" s="195"/>
      <c r="I5" s="195"/>
      <c r="J5" s="199"/>
      <c r="K5" s="291">
        <v>10</v>
      </c>
      <c r="L5" s="200" t="str">
        <f t="shared" ref="L5:L7" si="17">IF(K5&gt;9.9,CONCATENATE("+",ROUNDDOWN((K5-10) / 2,0)),ROUNDUP((K5-10) / 2,0))</f>
        <v>+0</v>
      </c>
      <c r="M5" s="200">
        <v>10</v>
      </c>
      <c r="N5" s="200" t="str">
        <f t="shared" ref="N5:N7" si="18">IF(M5&gt;9.9,CONCATENATE("+",ROUNDDOWN((M5-10) / 2,0)),ROUNDUP((M5-10) / 2,0))</f>
        <v>+0</v>
      </c>
      <c r="O5" s="200">
        <v>10</v>
      </c>
      <c r="P5" s="200" t="str">
        <f t="shared" ref="P5:P7" si="19">IF(O5&gt;9.9,CONCATENATE("+",ROUNDDOWN((O5-10) / 2,0)),ROUNDUP((O5-10) / 2,0))</f>
        <v>+0</v>
      </c>
      <c r="Q5" s="200">
        <v>10</v>
      </c>
      <c r="R5" s="200" t="str">
        <f t="shared" ref="R5:R7" si="20">IF(Q5&gt;9.9,CONCATENATE("+",ROUNDDOWN((Q5-10) / 2,0)),ROUNDUP((Q5-10) / 2,0))</f>
        <v>+0</v>
      </c>
      <c r="S5" s="200">
        <v>10</v>
      </c>
      <c r="T5" s="200" t="str">
        <f t="shared" ref="T5:T7" si="21">IF(S5&gt;9.9,CONCATENATE("+",ROUNDDOWN((S5-10) / 2,0)),ROUNDUP((S5-10) / 2,0))</f>
        <v>+0</v>
      </c>
      <c r="U5" s="201">
        <v>10</v>
      </c>
      <c r="V5" s="201" t="str">
        <f t="shared" ref="V5:V7" si="22">IF(U5&gt;9.9,CONCATENATE("+",ROUNDDOWN((U5-10) / 2,0)),ROUNDUP((U5-10) / 2,0))</f>
        <v>+0</v>
      </c>
      <c r="W5" s="202">
        <f t="shared" ref="W5:W7" si="23">AVERAGE(K5,M5,O5,Q5,S5,U5)</f>
        <v>10</v>
      </c>
      <c r="X5" s="203" t="str">
        <f t="shared" ref="X5:X8" si="24">IF(M5&gt;9.9,CONCATENATE("+",ROUNDDOWN((M5-10) / 2,0)),ROUNDUP((M5-10) / 2,0))</f>
        <v>+0</v>
      </c>
      <c r="Y5" s="204"/>
      <c r="Z5" s="205">
        <f t="shared" si="8"/>
        <v>0</v>
      </c>
      <c r="AA5" s="206"/>
      <c r="AB5" s="207">
        <f t="shared" si="9"/>
        <v>0</v>
      </c>
      <c r="AC5" s="208"/>
      <c r="AD5" s="209">
        <f t="shared" si="10"/>
        <v>0</v>
      </c>
      <c r="AE5" s="210"/>
      <c r="AF5" s="201">
        <f t="shared" si="11"/>
        <v>10</v>
      </c>
      <c r="AG5" s="201">
        <f t="shared" si="12"/>
        <v>10</v>
      </c>
      <c r="AH5" s="201">
        <f t="shared" si="13"/>
        <v>10</v>
      </c>
      <c r="AI5" s="210"/>
      <c r="AJ5" s="211"/>
      <c r="AK5" s="212"/>
      <c r="AL5" s="284"/>
      <c r="AM5" s="285"/>
      <c r="AN5" s="197"/>
      <c r="AO5" s="195"/>
      <c r="AP5" s="198"/>
      <c r="AQ5" s="199"/>
      <c r="AR5" s="199"/>
    </row>
    <row r="6" spans="1:44" ht="16.8" x14ac:dyDescent="0.3">
      <c r="A6" s="290"/>
      <c r="B6" s="290"/>
      <c r="C6" s="196"/>
      <c r="D6" s="196"/>
      <c r="E6" s="195"/>
      <c r="F6" s="194"/>
      <c r="G6" s="195"/>
      <c r="H6" s="195"/>
      <c r="I6" s="195"/>
      <c r="J6" s="199"/>
      <c r="K6" s="291">
        <v>10</v>
      </c>
      <c r="L6" s="200" t="str">
        <f t="shared" si="17"/>
        <v>+0</v>
      </c>
      <c r="M6" s="200">
        <v>10</v>
      </c>
      <c r="N6" s="200" t="str">
        <f t="shared" si="18"/>
        <v>+0</v>
      </c>
      <c r="O6" s="200">
        <v>10</v>
      </c>
      <c r="P6" s="200" t="str">
        <f t="shared" si="19"/>
        <v>+0</v>
      </c>
      <c r="Q6" s="200">
        <v>10</v>
      </c>
      <c r="R6" s="200" t="str">
        <f t="shared" si="20"/>
        <v>+0</v>
      </c>
      <c r="S6" s="200">
        <v>10</v>
      </c>
      <c r="T6" s="200" t="str">
        <f t="shared" si="21"/>
        <v>+0</v>
      </c>
      <c r="U6" s="201">
        <v>10</v>
      </c>
      <c r="V6" s="201" t="str">
        <f t="shared" si="22"/>
        <v>+0</v>
      </c>
      <c r="W6" s="202">
        <f t="shared" si="23"/>
        <v>10</v>
      </c>
      <c r="X6" s="203" t="str">
        <f t="shared" si="24"/>
        <v>+0</v>
      </c>
      <c r="Y6" s="204"/>
      <c r="Z6" s="205">
        <f t="shared" si="8"/>
        <v>0</v>
      </c>
      <c r="AA6" s="206"/>
      <c r="AB6" s="207">
        <f t="shared" si="9"/>
        <v>0</v>
      </c>
      <c r="AC6" s="208"/>
      <c r="AD6" s="209">
        <f t="shared" si="10"/>
        <v>0</v>
      </c>
      <c r="AE6" s="210"/>
      <c r="AF6" s="201">
        <f t="shared" si="11"/>
        <v>10</v>
      </c>
      <c r="AG6" s="201">
        <f t="shared" si="12"/>
        <v>10</v>
      </c>
      <c r="AH6" s="201">
        <f t="shared" si="13"/>
        <v>10</v>
      </c>
      <c r="AI6" s="210"/>
      <c r="AJ6" s="211"/>
      <c r="AK6" s="212"/>
      <c r="AL6" s="284"/>
      <c r="AM6" s="285"/>
      <c r="AN6" s="311"/>
      <c r="AO6" s="195"/>
      <c r="AP6" s="198"/>
      <c r="AQ6" s="199"/>
      <c r="AR6" s="199"/>
    </row>
    <row r="7" spans="1:44" ht="16.8" x14ac:dyDescent="0.3">
      <c r="A7" s="290"/>
      <c r="B7" s="290"/>
      <c r="C7" s="196"/>
      <c r="D7" s="196"/>
      <c r="E7" s="195"/>
      <c r="F7" s="194"/>
      <c r="G7" s="195"/>
      <c r="H7" s="195"/>
      <c r="I7" s="195"/>
      <c r="J7" s="199"/>
      <c r="K7" s="291">
        <v>10</v>
      </c>
      <c r="L7" s="200" t="str">
        <f t="shared" si="17"/>
        <v>+0</v>
      </c>
      <c r="M7" s="200">
        <v>10</v>
      </c>
      <c r="N7" s="200" t="str">
        <f t="shared" si="18"/>
        <v>+0</v>
      </c>
      <c r="O7" s="200">
        <v>10</v>
      </c>
      <c r="P7" s="200" t="str">
        <f t="shared" si="19"/>
        <v>+0</v>
      </c>
      <c r="Q7" s="200">
        <v>10</v>
      </c>
      <c r="R7" s="200" t="str">
        <f t="shared" si="20"/>
        <v>+0</v>
      </c>
      <c r="S7" s="200">
        <v>10</v>
      </c>
      <c r="T7" s="200" t="str">
        <f t="shared" si="21"/>
        <v>+0</v>
      </c>
      <c r="U7" s="201">
        <v>10</v>
      </c>
      <c r="V7" s="201" t="str">
        <f t="shared" si="22"/>
        <v>+0</v>
      </c>
      <c r="W7" s="202">
        <f t="shared" si="23"/>
        <v>10</v>
      </c>
      <c r="X7" s="203" t="str">
        <f t="shared" si="24"/>
        <v>+0</v>
      </c>
      <c r="Y7" s="204"/>
      <c r="Z7" s="205">
        <f t="shared" si="8"/>
        <v>0</v>
      </c>
      <c r="AA7" s="206"/>
      <c r="AB7" s="207">
        <f t="shared" si="9"/>
        <v>0</v>
      </c>
      <c r="AC7" s="208"/>
      <c r="AD7" s="209">
        <f t="shared" ref="AD7" si="25">IF(S7&gt;9.9,(ROUNDDOWN((S7-10) / 2,0)),ROUNDUP((S7-10) / 2,0))+AC7</f>
        <v>0</v>
      </c>
      <c r="AE7" s="210"/>
      <c r="AF7" s="201">
        <f t="shared" si="11"/>
        <v>10</v>
      </c>
      <c r="AG7" s="201">
        <f t="shared" si="12"/>
        <v>10</v>
      </c>
      <c r="AH7" s="201">
        <f t="shared" si="13"/>
        <v>10</v>
      </c>
      <c r="AI7" s="210"/>
      <c r="AJ7" s="211"/>
      <c r="AK7" s="212"/>
      <c r="AL7" s="284"/>
      <c r="AM7" s="285"/>
      <c r="AN7" s="197"/>
      <c r="AO7" s="195"/>
      <c r="AP7" s="198"/>
      <c r="AQ7" s="199"/>
      <c r="AR7" s="199"/>
    </row>
    <row r="8" spans="1:44" ht="16.8" x14ac:dyDescent="0.3">
      <c r="A8" s="290"/>
      <c r="B8" s="290"/>
      <c r="C8" s="196"/>
      <c r="D8" s="196"/>
      <c r="E8" s="195"/>
      <c r="F8" s="194"/>
      <c r="G8" s="195"/>
      <c r="H8" s="195"/>
      <c r="I8" s="195"/>
      <c r="J8" s="199"/>
      <c r="K8" s="291">
        <v>10</v>
      </c>
      <c r="L8" s="200" t="str">
        <f t="shared" ref="L8" si="26">IF(K8&gt;9.9,CONCATENATE("+",ROUNDDOWN((K8-10) / 2,0)),ROUNDUP((K8-10) / 2,0))</f>
        <v>+0</v>
      </c>
      <c r="M8" s="200">
        <v>10</v>
      </c>
      <c r="N8" s="200" t="str">
        <f t="shared" ref="N8" si="27">IF(M8&gt;9.9,CONCATENATE("+",ROUNDDOWN((M8-10) / 2,0)),ROUNDUP((M8-10) / 2,0))</f>
        <v>+0</v>
      </c>
      <c r="O8" s="200">
        <v>10</v>
      </c>
      <c r="P8" s="200" t="str">
        <f t="shared" ref="P8" si="28">IF(O8&gt;9.9,CONCATENATE("+",ROUNDDOWN((O8-10) / 2,0)),ROUNDUP((O8-10) / 2,0))</f>
        <v>+0</v>
      </c>
      <c r="Q8" s="200">
        <v>10</v>
      </c>
      <c r="R8" s="200" t="str">
        <f t="shared" ref="R8" si="29">IF(Q8&gt;9.9,CONCATENATE("+",ROUNDDOWN((Q8-10) / 2,0)),ROUNDUP((Q8-10) / 2,0))</f>
        <v>+0</v>
      </c>
      <c r="S8" s="200">
        <v>10</v>
      </c>
      <c r="T8" s="200" t="str">
        <f t="shared" ref="T8" si="30">IF(S8&gt;9.9,CONCATENATE("+",ROUNDDOWN((S8-10) / 2,0)),ROUNDUP((S8-10) / 2,0))</f>
        <v>+0</v>
      </c>
      <c r="U8" s="201">
        <v>10</v>
      </c>
      <c r="V8" s="201" t="str">
        <f t="shared" ref="V8" si="31">IF(U8&gt;9.9,CONCATENATE("+",ROUNDDOWN((U8-10) / 2,0)),ROUNDUP((U8-10) / 2,0))</f>
        <v>+0</v>
      </c>
      <c r="W8" s="202">
        <f t="shared" ref="W8" si="32">AVERAGE(K8,M8,O8,Q8,S8,U8)</f>
        <v>10</v>
      </c>
      <c r="X8" s="203" t="str">
        <f t="shared" si="24"/>
        <v>+0</v>
      </c>
      <c r="Y8" s="204"/>
      <c r="Z8" s="205">
        <f t="shared" ref="Z8" si="33">IF(O8&gt;9.9,(ROUNDDOWN((O8-10) / 2,0)),ROUNDUP((O8-10) / 2,0))+Y8</f>
        <v>0</v>
      </c>
      <c r="AA8" s="206"/>
      <c r="AB8" s="207">
        <f t="shared" ref="AB8" si="34">AA8+X8</f>
        <v>0</v>
      </c>
      <c r="AC8" s="208"/>
      <c r="AD8" s="209">
        <f t="shared" ref="AD8" si="35">IF(S8&gt;9.9,(ROUNDDOWN((S8-10) / 2,0)),ROUNDUP((S8-10) / 2,0))+AC8</f>
        <v>0</v>
      </c>
      <c r="AE8" s="210"/>
      <c r="AF8" s="201">
        <f t="shared" ref="AF8" si="36">10+N8</f>
        <v>10</v>
      </c>
      <c r="AG8" s="201">
        <f t="shared" ref="AG8" si="37">10+AP8</f>
        <v>10</v>
      </c>
      <c r="AH8" s="201">
        <f t="shared" ref="AH8" si="38">AF8+AP8</f>
        <v>10</v>
      </c>
      <c r="AI8" s="210"/>
      <c r="AJ8" s="211"/>
      <c r="AK8" s="212"/>
      <c r="AL8" s="284"/>
      <c r="AM8" s="285"/>
      <c r="AN8" s="197"/>
      <c r="AO8" s="195"/>
      <c r="AP8" s="198"/>
      <c r="AQ8" s="199"/>
      <c r="AR8" s="199"/>
    </row>
  </sheetData>
  <sortState xmlns:xlrd2="http://schemas.microsoft.com/office/spreadsheetml/2017/richdata2" ref="A2:AR7">
    <sortCondition ref="A2:A7"/>
  </sortState>
  <pageMargins left="0.15" right="0.75" top="0.32" bottom="0.33" header="0.25" footer="0.25"/>
  <pageSetup orientation="landscape" horizontalDpi="4294967293" verticalDpi="300" r:id="rId1"/>
  <headerFooter alignWithMargins="0"/>
  <ignoredErrors>
    <ignoredError sqref="AJ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FB21-8CFF-4120-A572-AE035E0B39E5}">
  <dimension ref="A1:W61"/>
  <sheetViews>
    <sheetView showGridLines="0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3" defaultRowHeight="15.6" x14ac:dyDescent="0.3"/>
  <cols>
    <col min="1" max="1" width="31.296875" style="278" bestFit="1" customWidth="1"/>
    <col min="2" max="2" width="7.3984375" style="278" bestFit="1" customWidth="1"/>
    <col min="3" max="3" width="8.19921875" style="278" bestFit="1" customWidth="1"/>
    <col min="4" max="4" width="12.8984375" style="278" bestFit="1" customWidth="1"/>
    <col min="5" max="5" width="13.796875" style="278" bestFit="1" customWidth="1"/>
    <col min="6" max="13" width="0.69921875" style="278" customWidth="1"/>
    <col min="14" max="14" width="11.59765625" style="280" hidden="1" customWidth="1"/>
    <col min="15" max="15" width="6.5" style="280" hidden="1" customWidth="1"/>
    <col min="16" max="16" width="9.19921875" style="280" bestFit="1" customWidth="1"/>
    <col min="17" max="17" width="6.69921875" style="280" bestFit="1" customWidth="1"/>
    <col min="18" max="18" width="5.8984375" style="280" bestFit="1" customWidth="1"/>
    <col min="19" max="19" width="4.69921875" style="280" bestFit="1" customWidth="1"/>
    <col min="20" max="20" width="6.8984375" style="280" bestFit="1" customWidth="1"/>
    <col min="21" max="21" width="6.19921875" style="278" bestFit="1" customWidth="1"/>
    <col min="22" max="22" width="2" style="230" customWidth="1"/>
    <col min="23" max="23" width="12.59765625" style="230" bestFit="1" customWidth="1"/>
    <col min="24" max="16384" width="13" style="230"/>
  </cols>
  <sheetData>
    <row r="1" spans="1:23" s="221" customFormat="1" ht="34.799999999999997" thickTop="1" thickBot="1" x14ac:dyDescent="0.35">
      <c r="A1" s="215" t="s">
        <v>148</v>
      </c>
      <c r="B1" s="216">
        <f>Members!A2</f>
        <v>0</v>
      </c>
      <c r="C1" s="216">
        <f>Members!A3</f>
        <v>0</v>
      </c>
      <c r="D1" s="216">
        <f>Members!A4</f>
        <v>0</v>
      </c>
      <c r="E1" s="216">
        <f>Members!A5</f>
        <v>0</v>
      </c>
      <c r="F1" s="216"/>
      <c r="G1" s="216"/>
      <c r="H1" s="216"/>
      <c r="I1" s="216"/>
      <c r="J1" s="216"/>
      <c r="K1" s="216"/>
      <c r="L1" s="216"/>
      <c r="M1" s="216"/>
      <c r="N1" s="217" t="s">
        <v>149</v>
      </c>
      <c r="O1" s="217" t="s">
        <v>150</v>
      </c>
      <c r="P1" s="218" t="s">
        <v>151</v>
      </c>
      <c r="Q1" s="218" t="s">
        <v>152</v>
      </c>
      <c r="R1" s="218" t="s">
        <v>25</v>
      </c>
      <c r="S1" s="219" t="s">
        <v>3</v>
      </c>
      <c r="T1" s="217" t="s">
        <v>98</v>
      </c>
      <c r="U1" s="220" t="s">
        <v>85</v>
      </c>
      <c r="W1" s="222" t="s">
        <v>153</v>
      </c>
    </row>
    <row r="2" spans="1:23" s="221" customFormat="1" ht="17.399999999999999" thickBot="1" x14ac:dyDescent="0.35">
      <c r="A2" s="223" t="s">
        <v>40</v>
      </c>
      <c r="B2" s="224" t="e">
        <f>VLOOKUP(B$1,Members!$A$2:$AD$13,26,FALSE)</f>
        <v>#N/A</v>
      </c>
      <c r="C2" s="224" t="e">
        <f>VLOOKUP(C$1,Members!$A$2:$AD$13,26,FALSE)</f>
        <v>#N/A</v>
      </c>
      <c r="D2" s="224" t="e">
        <f>VLOOKUP(D$1,Members!$A$2:$AD$13,26,FALSE)</f>
        <v>#N/A</v>
      </c>
      <c r="E2" s="224" t="e">
        <f>VLOOKUP(E$1,Members!$A$2:$AD$13,26,FALSE)</f>
        <v>#N/A</v>
      </c>
      <c r="F2" s="224" t="e">
        <f>VLOOKUP(F$1,Members!$A$2:$AD$13,26,FALSE)</f>
        <v>#N/A</v>
      </c>
      <c r="G2" s="224" t="e">
        <f>VLOOKUP(G$1,Members!$A$2:$AD$13,26,FALSE)</f>
        <v>#N/A</v>
      </c>
      <c r="H2" s="286" t="e">
        <f>VLOOKUP(H$1,Members!$A$2:$AD$13,26,FALSE)</f>
        <v>#N/A</v>
      </c>
      <c r="I2" s="286" t="e">
        <f>VLOOKUP(I$1,Members!$A$2:$AD$13,26,FALSE)</f>
        <v>#N/A</v>
      </c>
      <c r="J2" s="286" t="e">
        <f>VLOOKUP(J$1,Members!$A$2:$AD$13,26,FALSE)</f>
        <v>#N/A</v>
      </c>
      <c r="K2" s="286" t="e">
        <f>VLOOKUP(K$1,Members!$A$2:$AD$13,26,FALSE)</f>
        <v>#N/A</v>
      </c>
      <c r="L2" s="286" t="e">
        <f>VLOOKUP(L$1,Members!$A$2:$AD$13,26,FALSE)</f>
        <v>#N/A</v>
      </c>
      <c r="M2" s="286" t="e">
        <f>VLOOKUP(M$1,Members!$A$2:$AD$13,26,FALSE)</f>
        <v>#N/A</v>
      </c>
      <c r="N2" s="224" t="s">
        <v>126</v>
      </c>
      <c r="O2" s="224" t="e">
        <f>INDEX(Members!$L$2:$V$15,MATCH($W$2,Members!$A$2:$A$15,0),MATCH(N2,Members!$L$1:$V$1,0))</f>
        <v>#N/A</v>
      </c>
      <c r="P2" s="225" t="e">
        <f t="shared" ref="P2:P49" si="0">CONCATENATE(LEFT(N2,3)," (",O2,")")</f>
        <v>#N/A</v>
      </c>
      <c r="Q2" s="226">
        <v>0</v>
      </c>
      <c r="R2" s="227" t="e">
        <f t="shared" ref="R2:R49" si="1">O2+HLOOKUP($W$2,$B$1:$M$49,MATCH(A2,$A$1:$A$49,0),FALSE)</f>
        <v>#N/A</v>
      </c>
      <c r="S2" s="228">
        <f t="shared" ref="S2:S49" ca="1" si="2">RANDBETWEEN(1,20)</f>
        <v>10</v>
      </c>
      <c r="T2" s="227" t="e">
        <f t="shared" ref="T2:T49" si="3">SUM(R2:S2)</f>
        <v>#N/A</v>
      </c>
      <c r="U2" s="229"/>
      <c r="V2" s="230"/>
      <c r="W2" s="231" t="s">
        <v>214</v>
      </c>
    </row>
    <row r="3" spans="1:23" s="221" customFormat="1" ht="17.399999999999999" thickTop="1" x14ac:dyDescent="0.3">
      <c r="A3" s="232" t="s">
        <v>41</v>
      </c>
      <c r="B3" s="224" t="e">
        <f>VLOOKUP(B$1,Members!$A$2:$AD$13,28,FALSE)</f>
        <v>#N/A</v>
      </c>
      <c r="C3" s="224" t="e">
        <f>VLOOKUP(C$1,Members!$A$2:$AD$13,28,FALSE)</f>
        <v>#N/A</v>
      </c>
      <c r="D3" s="224" t="e">
        <f>VLOOKUP(D$1,Members!$A$2:$AD$13,28,FALSE)</f>
        <v>#N/A</v>
      </c>
      <c r="E3" s="224" t="e">
        <f>VLOOKUP(E$1,Members!$A$2:$AD$13,28,FALSE)</f>
        <v>#N/A</v>
      </c>
      <c r="F3" s="224" t="e">
        <f>VLOOKUP(F$1,Members!$A$2:$AD$13,28,FALSE)</f>
        <v>#N/A</v>
      </c>
      <c r="G3" s="224" t="e">
        <f>VLOOKUP(G$1,Members!$A$2:$AD$13,28,FALSE)</f>
        <v>#N/A</v>
      </c>
      <c r="H3" s="286" t="e">
        <f>VLOOKUP(H$1,Members!$A$2:$AD$13,28,FALSE)</f>
        <v>#N/A</v>
      </c>
      <c r="I3" s="286" t="e">
        <f>VLOOKUP(I$1,Members!$A$2:$AD$13,28,FALSE)</f>
        <v>#N/A</v>
      </c>
      <c r="J3" s="286" t="e">
        <f>VLOOKUP(J$1,Members!$A$2:$AD$13,28,FALSE)</f>
        <v>#N/A</v>
      </c>
      <c r="K3" s="286" t="e">
        <f>VLOOKUP(K$1,Members!$A$2:$AD$13,28,FALSE)</f>
        <v>#N/A</v>
      </c>
      <c r="L3" s="286" t="e">
        <f>VLOOKUP(L$1,Members!$A$2:$AD$13,28,FALSE)</f>
        <v>#N/A</v>
      </c>
      <c r="M3" s="286" t="e">
        <f>VLOOKUP(M$1,Members!$A$2:$AD$13,28,FALSE)</f>
        <v>#N/A</v>
      </c>
      <c r="N3" s="224" t="s">
        <v>124</v>
      </c>
      <c r="O3" s="224" t="e">
        <f>INDEX(Members!$L$2:$V$15,MATCH($W$2,Members!$A$2:$A$15,0),MATCH(N3,Members!$L$1:$V$1,0))</f>
        <v>#N/A</v>
      </c>
      <c r="P3" s="233" t="e">
        <f t="shared" si="0"/>
        <v>#N/A</v>
      </c>
      <c r="Q3" s="226">
        <v>0</v>
      </c>
      <c r="R3" s="227" t="e">
        <f t="shared" si="1"/>
        <v>#N/A</v>
      </c>
      <c r="S3" s="228">
        <f t="shared" ca="1" si="2"/>
        <v>9</v>
      </c>
      <c r="T3" s="227" t="e">
        <f t="shared" si="3"/>
        <v>#N/A</v>
      </c>
      <c r="U3" s="229"/>
      <c r="V3" s="230"/>
    </row>
    <row r="4" spans="1:23" s="221" customFormat="1" ht="16.8" x14ac:dyDescent="0.3">
      <c r="A4" s="234" t="s">
        <v>42</v>
      </c>
      <c r="B4" s="235" t="e">
        <f>VLOOKUP(B$1,Members!$A$2:$AD$13,30,FALSE)</f>
        <v>#N/A</v>
      </c>
      <c r="C4" s="235" t="e">
        <f>VLOOKUP(C$1,Members!$A$2:$AD$13,30,FALSE)</f>
        <v>#N/A</v>
      </c>
      <c r="D4" s="235" t="e">
        <f>VLOOKUP(D$1,Members!$A$2:$AD$13,30,FALSE)</f>
        <v>#N/A</v>
      </c>
      <c r="E4" s="235" t="e">
        <f>VLOOKUP(E$1,Members!$A$2:$AD$13,30,FALSE)</f>
        <v>#N/A</v>
      </c>
      <c r="F4" s="235" t="e">
        <f>VLOOKUP(F$1,Members!$A$2:$AD$13,30,FALSE)</f>
        <v>#N/A</v>
      </c>
      <c r="G4" s="235" t="e">
        <f>VLOOKUP(G$1,Members!$A$2:$AD$13,30,FALSE)</f>
        <v>#N/A</v>
      </c>
      <c r="H4" s="287" t="e">
        <f>VLOOKUP(H$1,Members!$A$2:$AD$13,30,FALSE)</f>
        <v>#N/A</v>
      </c>
      <c r="I4" s="287" t="e">
        <f>VLOOKUP(I$1,Members!$A$2:$AD$13,30,FALSE)</f>
        <v>#N/A</v>
      </c>
      <c r="J4" s="287" t="e">
        <f>VLOOKUP(J$1,Members!$A$2:$AD$13,30,FALSE)</f>
        <v>#N/A</v>
      </c>
      <c r="K4" s="287" t="e">
        <f>VLOOKUP(K$1,Members!$A$2:$AD$13,30,FALSE)</f>
        <v>#N/A</v>
      </c>
      <c r="L4" s="287" t="e">
        <f>VLOOKUP(L$1,Members!$A$2:$AD$13,30,FALSE)</f>
        <v>#N/A</v>
      </c>
      <c r="M4" s="287" t="e">
        <f>VLOOKUP(M$1,Members!$A$2:$AD$13,30,FALSE)</f>
        <v>#N/A</v>
      </c>
      <c r="N4" s="235" t="s">
        <v>130</v>
      </c>
      <c r="O4" s="235" t="e">
        <f>INDEX(Members!$L$2:$V$15,MATCH($W$2,Members!$A$2:$A$15,0),MATCH(N4,Members!$L$1:$V$1,0))</f>
        <v>#N/A</v>
      </c>
      <c r="P4" s="236" t="e">
        <f t="shared" si="0"/>
        <v>#N/A</v>
      </c>
      <c r="Q4" s="237">
        <v>0</v>
      </c>
      <c r="R4" s="238" t="e">
        <f t="shared" si="1"/>
        <v>#N/A</v>
      </c>
      <c r="S4" s="228">
        <f t="shared" ca="1" si="2"/>
        <v>17</v>
      </c>
      <c r="T4" s="238" t="e">
        <f t="shared" si="3"/>
        <v>#N/A</v>
      </c>
      <c r="U4" s="239"/>
      <c r="V4" s="230"/>
    </row>
    <row r="5" spans="1:23" s="246" customFormat="1" ht="16.8" x14ac:dyDescent="0.3">
      <c r="A5" s="240" t="s">
        <v>154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41" t="s">
        <v>128</v>
      </c>
      <c r="O5" s="242" t="e">
        <f>INDEX(Members!$L$2:$V$15,MATCH($W$2,Members!$A$2:$A$15,0),MATCH(N5,Members!$L$1:$V$1,0))</f>
        <v>#N/A</v>
      </c>
      <c r="P5" s="243" t="e">
        <f t="shared" si="0"/>
        <v>#N/A</v>
      </c>
      <c r="Q5" s="244" t="s">
        <v>155</v>
      </c>
      <c r="R5" s="245" t="e">
        <f t="shared" si="1"/>
        <v>#N/A</v>
      </c>
      <c r="S5" s="228">
        <f t="shared" ca="1" si="2"/>
        <v>2</v>
      </c>
      <c r="T5" s="245" t="e">
        <f t="shared" si="3"/>
        <v>#N/A</v>
      </c>
      <c r="U5" s="229"/>
      <c r="V5" s="230"/>
    </row>
    <row r="6" spans="1:23" s="250" customFormat="1" ht="16.8" x14ac:dyDescent="0.3">
      <c r="A6" s="247" t="s">
        <v>156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48" t="s">
        <v>124</v>
      </c>
      <c r="O6" s="249" t="e">
        <f>INDEX(Members!$L$2:$V$15,MATCH($W$2,Members!$A$2:$A$15,0),MATCH(N6,Members!$L$1:$V$1,0))</f>
        <v>#N/A</v>
      </c>
      <c r="P6" s="233" t="e">
        <f t="shared" si="0"/>
        <v>#N/A</v>
      </c>
      <c r="Q6" s="245" t="s">
        <v>155</v>
      </c>
      <c r="R6" s="245" t="e">
        <f t="shared" si="1"/>
        <v>#N/A</v>
      </c>
      <c r="S6" s="228">
        <f t="shared" ca="1" si="2"/>
        <v>13</v>
      </c>
      <c r="T6" s="245" t="e">
        <f t="shared" si="3"/>
        <v>#N/A</v>
      </c>
      <c r="U6" s="229"/>
      <c r="V6" s="230"/>
    </row>
    <row r="7" spans="1:23" s="255" customFormat="1" ht="16.8" x14ac:dyDescent="0.3">
      <c r="A7" s="251" t="s">
        <v>157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52" t="s">
        <v>132</v>
      </c>
      <c r="O7" s="253" t="e">
        <f>INDEX(Members!$L$2:$V$15,MATCH($W$2,Members!$A$2:$A$15,0),MATCH(N7,Members!$L$1:$V$1,0))</f>
        <v>#N/A</v>
      </c>
      <c r="P7" s="254" t="e">
        <f t="shared" si="0"/>
        <v>#N/A</v>
      </c>
      <c r="Q7" s="245" t="s">
        <v>155</v>
      </c>
      <c r="R7" s="245" t="e">
        <f t="shared" si="1"/>
        <v>#N/A</v>
      </c>
      <c r="S7" s="228">
        <f t="shared" ca="1" si="2"/>
        <v>19</v>
      </c>
      <c r="T7" s="245" t="e">
        <f t="shared" si="3"/>
        <v>#N/A</v>
      </c>
      <c r="U7" s="229"/>
      <c r="V7" s="230"/>
    </row>
    <row r="8" spans="1:23" s="260" customFormat="1" ht="16.8" x14ac:dyDescent="0.3">
      <c r="A8" s="256" t="s">
        <v>158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57" t="s">
        <v>122</v>
      </c>
      <c r="O8" s="258" t="e">
        <f>INDEX(Members!$L$2:$V$15,MATCH($W$2,Members!$A$2:$A$15,0),MATCH(N8,Members!$L$1:$V$1,0))</f>
        <v>#N/A</v>
      </c>
      <c r="P8" s="259" t="e">
        <f t="shared" si="0"/>
        <v>#N/A</v>
      </c>
      <c r="Q8" s="245" t="s">
        <v>155</v>
      </c>
      <c r="R8" s="245" t="e">
        <f t="shared" si="1"/>
        <v>#N/A</v>
      </c>
      <c r="S8" s="228">
        <f t="shared" ca="1" si="2"/>
        <v>14</v>
      </c>
      <c r="T8" s="245" t="e">
        <f t="shared" si="3"/>
        <v>#N/A</v>
      </c>
      <c r="U8" s="229"/>
      <c r="V8" s="230"/>
    </row>
    <row r="9" spans="1:23" s="260" customFormat="1" ht="16.8" x14ac:dyDescent="0.3">
      <c r="A9" s="261" t="s">
        <v>159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62" t="s">
        <v>126</v>
      </c>
      <c r="O9" s="263" t="e">
        <f>INDEX(Members!$L$2:$V$15,MATCH($W$2,Members!$A$2:$A$15,0),MATCH(N9,Members!$L$1:$V$1,0))</f>
        <v>#N/A</v>
      </c>
      <c r="P9" s="264" t="e">
        <f t="shared" si="0"/>
        <v>#N/A</v>
      </c>
      <c r="Q9" s="245" t="s">
        <v>155</v>
      </c>
      <c r="R9" s="245" t="e">
        <f t="shared" si="1"/>
        <v>#N/A</v>
      </c>
      <c r="S9" s="228">
        <f t="shared" ca="1" si="2"/>
        <v>19</v>
      </c>
      <c r="T9" s="245" t="e">
        <f t="shared" si="3"/>
        <v>#N/A</v>
      </c>
      <c r="U9" s="229"/>
      <c r="V9" s="230"/>
    </row>
    <row r="10" spans="1:23" s="246" customFormat="1" ht="16.8" x14ac:dyDescent="0.3">
      <c r="A10" s="240" t="s">
        <v>212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41" t="s">
        <v>128</v>
      </c>
      <c r="O10" s="242" t="e">
        <f>INDEX(Members!$L$2:$V$15,MATCH($W$2,Members!$A$2:$A$15,0),MATCH(N10,Members!$L$1:$V$1,0))</f>
        <v>#N/A</v>
      </c>
      <c r="P10" s="243" t="e">
        <f t="shared" si="0"/>
        <v>#N/A</v>
      </c>
      <c r="Q10" s="245" t="s">
        <v>155</v>
      </c>
      <c r="R10" s="245" t="e">
        <f t="shared" si="1"/>
        <v>#N/A</v>
      </c>
      <c r="S10" s="228">
        <f t="shared" ca="1" si="2"/>
        <v>7</v>
      </c>
      <c r="T10" s="245" t="e">
        <f t="shared" si="3"/>
        <v>#N/A</v>
      </c>
      <c r="U10" s="229"/>
      <c r="V10" s="230"/>
    </row>
    <row r="11" spans="1:23" s="265" customFormat="1" ht="16.8" x14ac:dyDescent="0.3">
      <c r="A11" s="240" t="s">
        <v>160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41" t="s">
        <v>128</v>
      </c>
      <c r="O11" s="242" t="e">
        <f>INDEX(Members!$L$2:$V$15,MATCH($W$2,Members!$A$2:$A$15,0),MATCH(N11,Members!$L$1:$V$1,0))</f>
        <v>#N/A</v>
      </c>
      <c r="P11" s="243" t="e">
        <f t="shared" si="0"/>
        <v>#N/A</v>
      </c>
      <c r="Q11" s="245" t="s">
        <v>155</v>
      </c>
      <c r="R11" s="245" t="e">
        <f t="shared" si="1"/>
        <v>#N/A</v>
      </c>
      <c r="S11" s="228">
        <f t="shared" ca="1" si="2"/>
        <v>2</v>
      </c>
      <c r="T11" s="245" t="e">
        <f t="shared" si="3"/>
        <v>#N/A</v>
      </c>
      <c r="U11" s="229"/>
    </row>
    <row r="12" spans="1:23" s="250" customFormat="1" ht="16.8" x14ac:dyDescent="0.3">
      <c r="A12" s="251" t="s">
        <v>161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52" t="s">
        <v>132</v>
      </c>
      <c r="O12" s="253" t="e">
        <f>INDEX(Members!$L$2:$V$15,MATCH($W$2,Members!$A$2:$A$15,0),MATCH(N12,Members!$L$1:$V$1,0))</f>
        <v>#N/A</v>
      </c>
      <c r="P12" s="254" t="e">
        <f t="shared" si="0"/>
        <v>#N/A</v>
      </c>
      <c r="Q12" s="245" t="s">
        <v>155</v>
      </c>
      <c r="R12" s="245" t="e">
        <f t="shared" si="1"/>
        <v>#N/A</v>
      </c>
      <c r="S12" s="228">
        <f t="shared" ca="1" si="2"/>
        <v>3</v>
      </c>
      <c r="T12" s="245" t="e">
        <f t="shared" si="3"/>
        <v>#N/A</v>
      </c>
      <c r="U12" s="229"/>
    </row>
    <row r="13" spans="1:23" s="250" customFormat="1" ht="16.8" x14ac:dyDescent="0.3">
      <c r="A13" s="240" t="s">
        <v>112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41" t="s">
        <v>128</v>
      </c>
      <c r="O13" s="242" t="e">
        <f>INDEX(Members!$L$2:$V$15,MATCH($W$2,Members!$A$2:$A$15,0),MATCH(N13,Members!$L$1:$V$1,0))</f>
        <v>#N/A</v>
      </c>
      <c r="P13" s="243" t="e">
        <f t="shared" si="0"/>
        <v>#N/A</v>
      </c>
      <c r="Q13" s="245" t="s">
        <v>155</v>
      </c>
      <c r="R13" s="245" t="e">
        <f t="shared" si="1"/>
        <v>#N/A</v>
      </c>
      <c r="S13" s="228">
        <f t="shared" ca="1" si="2"/>
        <v>13</v>
      </c>
      <c r="T13" s="245" t="e">
        <f t="shared" si="3"/>
        <v>#N/A</v>
      </c>
      <c r="U13" s="229"/>
    </row>
    <row r="14" spans="1:23" s="250" customFormat="1" ht="16.8" x14ac:dyDescent="0.3">
      <c r="A14" s="251" t="s">
        <v>162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52" t="s">
        <v>132</v>
      </c>
      <c r="O14" s="253" t="e">
        <f>INDEX(Members!$L$2:$V$15,MATCH($W$2,Members!$A$2:$A$15,0),MATCH(N14,Members!$L$1:$V$1,0))</f>
        <v>#N/A</v>
      </c>
      <c r="P14" s="254" t="e">
        <f t="shared" si="0"/>
        <v>#N/A</v>
      </c>
      <c r="Q14" s="245" t="s">
        <v>155</v>
      </c>
      <c r="R14" s="245" t="e">
        <f t="shared" si="1"/>
        <v>#N/A</v>
      </c>
      <c r="S14" s="228">
        <f t="shared" ca="1" si="2"/>
        <v>19</v>
      </c>
      <c r="T14" s="245" t="e">
        <f t="shared" si="3"/>
        <v>#N/A</v>
      </c>
      <c r="U14" s="229"/>
    </row>
    <row r="15" spans="1:23" s="250" customFormat="1" ht="16.8" x14ac:dyDescent="0.3">
      <c r="A15" s="247" t="s">
        <v>163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48" t="s">
        <v>124</v>
      </c>
      <c r="O15" s="249" t="e">
        <f>INDEX(Members!$L$2:$V$15,MATCH($W$2,Members!$A$2:$A$15,0),MATCH(N15,Members!$L$1:$V$1,0))</f>
        <v>#N/A</v>
      </c>
      <c r="P15" s="233" t="e">
        <f t="shared" si="0"/>
        <v>#N/A</v>
      </c>
      <c r="Q15" s="245" t="s">
        <v>155</v>
      </c>
      <c r="R15" s="245" t="e">
        <f t="shared" si="1"/>
        <v>#N/A</v>
      </c>
      <c r="S15" s="228">
        <f t="shared" ca="1" si="2"/>
        <v>18</v>
      </c>
      <c r="T15" s="245" t="e">
        <f t="shared" si="3"/>
        <v>#N/A</v>
      </c>
      <c r="U15" s="229"/>
    </row>
    <row r="16" spans="1:23" s="250" customFormat="1" ht="16.8" x14ac:dyDescent="0.3">
      <c r="A16" s="240" t="s">
        <v>164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41" t="s">
        <v>128</v>
      </c>
      <c r="O16" s="242" t="e">
        <f>INDEX(Members!$L$2:$V$15,MATCH($W$2,Members!$A$2:$A$15,0),MATCH(N16,Members!$L$1:$V$1,0))</f>
        <v>#N/A</v>
      </c>
      <c r="P16" s="243" t="e">
        <f t="shared" si="0"/>
        <v>#N/A</v>
      </c>
      <c r="Q16" s="245" t="s">
        <v>155</v>
      </c>
      <c r="R16" s="245" t="e">
        <f t="shared" si="1"/>
        <v>#N/A</v>
      </c>
      <c r="S16" s="228">
        <f t="shared" ca="1" si="2"/>
        <v>10</v>
      </c>
      <c r="T16" s="245" t="e">
        <f t="shared" si="3"/>
        <v>#N/A</v>
      </c>
      <c r="U16" s="229"/>
    </row>
    <row r="17" spans="1:21" s="250" customFormat="1" ht="16.8" x14ac:dyDescent="0.3">
      <c r="A17" s="251" t="s">
        <v>165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52" t="s">
        <v>132</v>
      </c>
      <c r="O17" s="253" t="e">
        <f>INDEX(Members!$L$2:$V$15,MATCH($W$2,Members!$A$2:$A$15,0),MATCH(N17,Members!$L$1:$V$1,0))</f>
        <v>#N/A</v>
      </c>
      <c r="P17" s="254" t="e">
        <f t="shared" si="0"/>
        <v>#N/A</v>
      </c>
      <c r="Q17" s="245" t="s">
        <v>155</v>
      </c>
      <c r="R17" s="245" t="e">
        <f t="shared" si="1"/>
        <v>#N/A</v>
      </c>
      <c r="S17" s="228">
        <f t="shared" ca="1" si="2"/>
        <v>17</v>
      </c>
      <c r="T17" s="245" t="e">
        <f t="shared" si="3"/>
        <v>#N/A</v>
      </c>
      <c r="U17" s="229"/>
    </row>
    <row r="18" spans="1:21" s="250" customFormat="1" ht="16.8" x14ac:dyDescent="0.3">
      <c r="A18" s="251" t="s">
        <v>166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52" t="s">
        <v>132</v>
      </c>
      <c r="O18" s="253" t="e">
        <f>INDEX(Members!$L$2:$V$15,MATCH($W$2,Members!$A$2:$A$15,0),MATCH(N18,Members!$L$1:$V$1,0))</f>
        <v>#N/A</v>
      </c>
      <c r="P18" s="254" t="e">
        <f t="shared" si="0"/>
        <v>#N/A</v>
      </c>
      <c r="Q18" s="245" t="s">
        <v>155</v>
      </c>
      <c r="R18" s="245" t="e">
        <f t="shared" si="1"/>
        <v>#N/A</v>
      </c>
      <c r="S18" s="228">
        <f t="shared" ca="1" si="2"/>
        <v>6</v>
      </c>
      <c r="T18" s="245" t="e">
        <f t="shared" si="3"/>
        <v>#N/A</v>
      </c>
      <c r="U18" s="229"/>
    </row>
    <row r="19" spans="1:21" s="250" customFormat="1" ht="16.8" x14ac:dyDescent="0.3">
      <c r="A19" s="266" t="s">
        <v>167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67" t="s">
        <v>130</v>
      </c>
      <c r="O19" s="268" t="e">
        <f>INDEX(Members!$L$2:$V$15,MATCH($W$2,Members!$A$2:$A$15,0),MATCH(N19,Members!$L$1:$V$1,0))</f>
        <v>#N/A</v>
      </c>
      <c r="P19" s="269" t="e">
        <f t="shared" si="0"/>
        <v>#N/A</v>
      </c>
      <c r="Q19" s="245" t="s">
        <v>155</v>
      </c>
      <c r="R19" s="245" t="e">
        <f t="shared" si="1"/>
        <v>#N/A</v>
      </c>
      <c r="S19" s="228">
        <f t="shared" ca="1" si="2"/>
        <v>5</v>
      </c>
      <c r="T19" s="245" t="e">
        <f t="shared" si="3"/>
        <v>#N/A</v>
      </c>
      <c r="U19" s="229"/>
    </row>
    <row r="20" spans="1:21" s="250" customFormat="1" ht="16.8" x14ac:dyDescent="0.3">
      <c r="A20" s="247" t="s">
        <v>168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48" t="s">
        <v>124</v>
      </c>
      <c r="O20" s="249" t="e">
        <f>INDEX(Members!$L$2:$V$15,MATCH($W$2,Members!$A$2:$A$15,0),MATCH(N20,Members!$L$1:$V$1,0))</f>
        <v>#N/A</v>
      </c>
      <c r="P20" s="233" t="e">
        <f t="shared" si="0"/>
        <v>#N/A</v>
      </c>
      <c r="Q20" s="245" t="s">
        <v>155</v>
      </c>
      <c r="R20" s="245" t="e">
        <f t="shared" si="1"/>
        <v>#N/A</v>
      </c>
      <c r="S20" s="228">
        <f t="shared" ca="1" si="2"/>
        <v>20</v>
      </c>
      <c r="T20" s="245" t="e">
        <f t="shared" si="3"/>
        <v>#N/A</v>
      </c>
      <c r="U20" s="229"/>
    </row>
    <row r="21" spans="1:21" s="250" customFormat="1" ht="16.8" x14ac:dyDescent="0.3">
      <c r="A21" s="251" t="s">
        <v>169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52" t="s">
        <v>132</v>
      </c>
      <c r="O21" s="253" t="e">
        <f>INDEX(Members!$L$2:$V$15,MATCH($W$2,Members!$A$2:$A$15,0),MATCH(N21,Members!$L$1:$V$1,0))</f>
        <v>#N/A</v>
      </c>
      <c r="P21" s="254" t="e">
        <f t="shared" si="0"/>
        <v>#N/A</v>
      </c>
      <c r="Q21" s="245" t="s">
        <v>155</v>
      </c>
      <c r="R21" s="245" t="e">
        <f t="shared" si="1"/>
        <v>#N/A</v>
      </c>
      <c r="S21" s="228">
        <f t="shared" ca="1" si="2"/>
        <v>15</v>
      </c>
      <c r="T21" s="245" t="e">
        <f t="shared" si="3"/>
        <v>#N/A</v>
      </c>
      <c r="U21" s="229"/>
    </row>
    <row r="22" spans="1:21" s="250" customFormat="1" ht="16.8" x14ac:dyDescent="0.3">
      <c r="A22" s="256" t="s">
        <v>170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57" t="s">
        <v>122</v>
      </c>
      <c r="O22" s="258" t="e">
        <f>INDEX(Members!$L$2:$V$15,MATCH($W$2,Members!$A$2:$A$15,0),MATCH(N22,Members!$L$1:$V$1,0))</f>
        <v>#N/A</v>
      </c>
      <c r="P22" s="259" t="e">
        <f t="shared" si="0"/>
        <v>#N/A</v>
      </c>
      <c r="Q22" s="245" t="s">
        <v>155</v>
      </c>
      <c r="R22" s="245" t="e">
        <f t="shared" si="1"/>
        <v>#N/A</v>
      </c>
      <c r="S22" s="228">
        <f t="shared" ca="1" si="2"/>
        <v>8</v>
      </c>
      <c r="T22" s="245" t="e">
        <f t="shared" si="3"/>
        <v>#N/A</v>
      </c>
      <c r="U22" s="229"/>
    </row>
    <row r="23" spans="1:21" s="250" customFormat="1" ht="16.8" x14ac:dyDescent="0.3">
      <c r="A23" s="240" t="s">
        <v>171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41" t="s">
        <v>128</v>
      </c>
      <c r="O23" s="242" t="e">
        <f>INDEX(Members!$L$2:$V$15,MATCH($W$2,Members!$A$2:$A$15,0),MATCH(N23,Members!$L$1:$V$1,0))</f>
        <v>#N/A</v>
      </c>
      <c r="P23" s="243" t="e">
        <f t="shared" si="0"/>
        <v>#N/A</v>
      </c>
      <c r="Q23" s="245" t="s">
        <v>155</v>
      </c>
      <c r="R23" s="245" t="e">
        <f t="shared" si="1"/>
        <v>#N/A</v>
      </c>
      <c r="S23" s="228">
        <f t="shared" ca="1" si="2"/>
        <v>2</v>
      </c>
      <c r="T23" s="245" t="e">
        <f t="shared" si="3"/>
        <v>#N/A</v>
      </c>
      <c r="U23" s="229"/>
    </row>
    <row r="24" spans="1:21" s="250" customFormat="1" ht="16.8" x14ac:dyDescent="0.3">
      <c r="A24" s="240" t="s">
        <v>172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41" t="s">
        <v>128</v>
      </c>
      <c r="O24" s="242" t="e">
        <f>INDEX(Members!$L$2:$V$15,MATCH($W$2,Members!$A$2:$A$15,0),MATCH(N24,Members!$L$1:$V$1,0))</f>
        <v>#N/A</v>
      </c>
      <c r="P24" s="243" t="e">
        <f t="shared" si="0"/>
        <v>#N/A</v>
      </c>
      <c r="Q24" s="245" t="s">
        <v>155</v>
      </c>
      <c r="R24" s="245" t="e">
        <f t="shared" si="1"/>
        <v>#N/A</v>
      </c>
      <c r="S24" s="228">
        <f t="shared" ca="1" si="2"/>
        <v>14</v>
      </c>
      <c r="T24" s="245" t="e">
        <f t="shared" ref="T24:T32" si="4">SUM(R24:S24)</f>
        <v>#N/A</v>
      </c>
      <c r="U24" s="229"/>
    </row>
    <row r="25" spans="1:21" s="250" customFormat="1" ht="16.8" x14ac:dyDescent="0.3">
      <c r="A25" s="240" t="s">
        <v>173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41" t="s">
        <v>128</v>
      </c>
      <c r="O25" s="242" t="e">
        <f>INDEX(Members!$L$2:$V$15,MATCH($W$2,Members!$A$2:$A$15,0),MATCH(N25,Members!$L$1:$V$1,0))</f>
        <v>#N/A</v>
      </c>
      <c r="P25" s="243" t="e">
        <f t="shared" si="0"/>
        <v>#N/A</v>
      </c>
      <c r="Q25" s="245" t="s">
        <v>155</v>
      </c>
      <c r="R25" s="245" t="e">
        <f t="shared" si="1"/>
        <v>#N/A</v>
      </c>
      <c r="S25" s="228">
        <f t="shared" ca="1" si="2"/>
        <v>11</v>
      </c>
      <c r="T25" s="245" t="e">
        <f t="shared" si="4"/>
        <v>#N/A</v>
      </c>
      <c r="U25" s="229"/>
    </row>
    <row r="26" spans="1:21" s="250" customFormat="1" ht="16.8" x14ac:dyDescent="0.3">
      <c r="A26" s="240" t="s">
        <v>174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41" t="s">
        <v>128</v>
      </c>
      <c r="O26" s="242" t="e">
        <f>INDEX(Members!$L$2:$V$15,MATCH($W$2,Members!$A$2:$A$15,0),MATCH(N26,Members!$L$1:$V$1,0))</f>
        <v>#N/A</v>
      </c>
      <c r="P26" s="243" t="e">
        <f t="shared" si="0"/>
        <v>#N/A</v>
      </c>
      <c r="Q26" s="245" t="s">
        <v>155</v>
      </c>
      <c r="R26" s="245" t="e">
        <f t="shared" si="1"/>
        <v>#N/A</v>
      </c>
      <c r="S26" s="228">
        <f t="shared" ca="1" si="2"/>
        <v>11</v>
      </c>
      <c r="T26" s="245" t="e">
        <f t="shared" si="4"/>
        <v>#N/A</v>
      </c>
      <c r="U26" s="229"/>
    </row>
    <row r="27" spans="1:21" s="250" customFormat="1" ht="16.8" x14ac:dyDescent="0.3">
      <c r="A27" s="240" t="s">
        <v>175</v>
      </c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41" t="s">
        <v>128</v>
      </c>
      <c r="O27" s="242" t="e">
        <f>INDEX(Members!$L$2:$V$15,MATCH($W$2,Members!$A$2:$A$15,0),MATCH(N27,Members!$L$1:$V$1,0))</f>
        <v>#N/A</v>
      </c>
      <c r="P27" s="243" t="e">
        <f t="shared" si="0"/>
        <v>#N/A</v>
      </c>
      <c r="Q27" s="245" t="s">
        <v>155</v>
      </c>
      <c r="R27" s="245" t="e">
        <f t="shared" si="1"/>
        <v>#N/A</v>
      </c>
      <c r="S27" s="228">
        <f t="shared" ca="1" si="2"/>
        <v>2</v>
      </c>
      <c r="T27" s="245" t="e">
        <f t="shared" si="4"/>
        <v>#N/A</v>
      </c>
      <c r="U27" s="229"/>
    </row>
    <row r="28" spans="1:21" s="250" customFormat="1" ht="16.8" x14ac:dyDescent="0.3">
      <c r="A28" s="240" t="s">
        <v>176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41" t="s">
        <v>128</v>
      </c>
      <c r="O28" s="242" t="e">
        <f>INDEX(Members!$L$2:$V$15,MATCH($W$2,Members!$A$2:$A$15,0),MATCH(N28,Members!$L$1:$V$1,0))</f>
        <v>#N/A</v>
      </c>
      <c r="P28" s="243" t="e">
        <f t="shared" si="0"/>
        <v>#N/A</v>
      </c>
      <c r="Q28" s="245" t="s">
        <v>155</v>
      </c>
      <c r="R28" s="245" t="e">
        <f t="shared" si="1"/>
        <v>#N/A</v>
      </c>
      <c r="S28" s="228">
        <f t="shared" ca="1" si="2"/>
        <v>7</v>
      </c>
      <c r="T28" s="245" t="e">
        <f t="shared" si="4"/>
        <v>#N/A</v>
      </c>
      <c r="U28" s="229"/>
    </row>
    <row r="29" spans="1:21" s="250" customFormat="1" ht="16.8" x14ac:dyDescent="0.3">
      <c r="A29" s="240" t="s">
        <v>177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41" t="s">
        <v>128</v>
      </c>
      <c r="O29" s="242" t="e">
        <f>INDEX(Members!$L$2:$V$15,MATCH($W$2,Members!$A$2:$A$15,0),MATCH(N29,Members!$L$1:$V$1,0))</f>
        <v>#N/A</v>
      </c>
      <c r="P29" s="243" t="e">
        <f t="shared" si="0"/>
        <v>#N/A</v>
      </c>
      <c r="Q29" s="245" t="s">
        <v>155</v>
      </c>
      <c r="R29" s="245" t="e">
        <f t="shared" si="1"/>
        <v>#N/A</v>
      </c>
      <c r="S29" s="228">
        <f t="shared" ca="1" si="2"/>
        <v>4</v>
      </c>
      <c r="T29" s="245" t="e">
        <f t="shared" si="4"/>
        <v>#N/A</v>
      </c>
      <c r="U29" s="229"/>
    </row>
    <row r="30" spans="1:21" s="250" customFormat="1" ht="16.8" x14ac:dyDescent="0.3">
      <c r="A30" s="240" t="s">
        <v>178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41" t="s">
        <v>128</v>
      </c>
      <c r="O30" s="242" t="e">
        <f>INDEX(Members!$L$2:$V$15,MATCH($W$2,Members!$A$2:$A$15,0),MATCH(N30,Members!$L$1:$V$1,0))</f>
        <v>#N/A</v>
      </c>
      <c r="P30" s="243" t="e">
        <f t="shared" si="0"/>
        <v>#N/A</v>
      </c>
      <c r="Q30" s="245" t="s">
        <v>155</v>
      </c>
      <c r="R30" s="245" t="e">
        <f t="shared" si="1"/>
        <v>#N/A</v>
      </c>
      <c r="S30" s="228">
        <f t="shared" ca="1" si="2"/>
        <v>12</v>
      </c>
      <c r="T30" s="245" t="e">
        <f t="shared" si="4"/>
        <v>#N/A</v>
      </c>
      <c r="U30" s="229"/>
    </row>
    <row r="31" spans="1:21" s="250" customFormat="1" ht="16.8" x14ac:dyDescent="0.3">
      <c r="A31" s="240" t="s">
        <v>179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41" t="s">
        <v>128</v>
      </c>
      <c r="O31" s="242" t="e">
        <f>INDEX(Members!$L$2:$V$15,MATCH($W$2,Members!$A$2:$A$15,0),MATCH(N31,Members!$L$1:$V$1,0))</f>
        <v>#N/A</v>
      </c>
      <c r="P31" s="243" t="e">
        <f t="shared" si="0"/>
        <v>#N/A</v>
      </c>
      <c r="Q31" s="245" t="s">
        <v>155</v>
      </c>
      <c r="R31" s="245" t="e">
        <f t="shared" si="1"/>
        <v>#N/A</v>
      </c>
      <c r="S31" s="228">
        <f t="shared" ca="1" si="2"/>
        <v>13</v>
      </c>
      <c r="T31" s="245" t="e">
        <f t="shared" si="4"/>
        <v>#N/A</v>
      </c>
      <c r="U31" s="229"/>
    </row>
    <row r="32" spans="1:21" s="250" customFormat="1" ht="16.8" x14ac:dyDescent="0.3">
      <c r="A32" s="240" t="s">
        <v>180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41" t="s">
        <v>128</v>
      </c>
      <c r="O32" s="242" t="e">
        <f>INDEX(Members!$L$2:$V$15,MATCH($W$2,Members!$A$2:$A$15,0),MATCH(N32,Members!$L$1:$V$1,0))</f>
        <v>#N/A</v>
      </c>
      <c r="P32" s="243" t="e">
        <f t="shared" si="0"/>
        <v>#N/A</v>
      </c>
      <c r="Q32" s="245" t="s">
        <v>155</v>
      </c>
      <c r="R32" s="245" t="e">
        <f t="shared" si="1"/>
        <v>#N/A</v>
      </c>
      <c r="S32" s="228">
        <f t="shared" ca="1" si="2"/>
        <v>3</v>
      </c>
      <c r="T32" s="245" t="e">
        <f t="shared" si="4"/>
        <v>#N/A</v>
      </c>
      <c r="U32" s="229"/>
    </row>
    <row r="33" spans="1:21" s="250" customFormat="1" ht="16.8" x14ac:dyDescent="0.3">
      <c r="A33" s="266" t="s">
        <v>181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67" t="s">
        <v>130</v>
      </c>
      <c r="O33" s="268" t="e">
        <f>INDEX(Members!$L$2:$V$15,MATCH($W$2,Members!$A$2:$A$15,0),MATCH(N33,Members!$L$1:$V$1,0))</f>
        <v>#N/A</v>
      </c>
      <c r="P33" s="269" t="e">
        <f t="shared" si="0"/>
        <v>#N/A</v>
      </c>
      <c r="Q33" s="245" t="s">
        <v>155</v>
      </c>
      <c r="R33" s="245" t="e">
        <f t="shared" si="1"/>
        <v>#N/A</v>
      </c>
      <c r="S33" s="228">
        <f t="shared" ca="1" si="2"/>
        <v>4</v>
      </c>
      <c r="T33" s="245" t="e">
        <f t="shared" si="3"/>
        <v>#N/A</v>
      </c>
      <c r="U33" s="229"/>
    </row>
    <row r="34" spans="1:21" s="250" customFormat="1" ht="16.8" x14ac:dyDescent="0.3">
      <c r="A34" s="247" t="s">
        <v>182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48" t="s">
        <v>124</v>
      </c>
      <c r="O34" s="249" t="e">
        <f>INDEX(Members!$L$2:$V$15,MATCH($W$2,Members!$A$2:$A$15,0),MATCH(N34,Members!$L$1:$V$1,0))</f>
        <v>#N/A</v>
      </c>
      <c r="P34" s="233" t="e">
        <f t="shared" si="0"/>
        <v>#N/A</v>
      </c>
      <c r="Q34" s="245" t="s">
        <v>155</v>
      </c>
      <c r="R34" s="245" t="e">
        <f t="shared" si="1"/>
        <v>#N/A</v>
      </c>
      <c r="S34" s="228">
        <f t="shared" ca="1" si="2"/>
        <v>10</v>
      </c>
      <c r="T34" s="245" t="e">
        <f t="shared" si="3"/>
        <v>#N/A</v>
      </c>
      <c r="U34" s="229"/>
    </row>
    <row r="35" spans="1:21" s="250" customFormat="1" ht="16.8" x14ac:dyDescent="0.3">
      <c r="A35" s="247" t="s">
        <v>183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48" t="s">
        <v>124</v>
      </c>
      <c r="O35" s="249" t="e">
        <f>INDEX(Members!$L$2:$V$15,MATCH($W$2,Members!$A$2:$A$15,0),MATCH(N35,Members!$L$1:$V$1,0))</f>
        <v>#N/A</v>
      </c>
      <c r="P35" s="233" t="e">
        <f t="shared" si="0"/>
        <v>#N/A</v>
      </c>
      <c r="Q35" s="245" t="s">
        <v>155</v>
      </c>
      <c r="R35" s="245" t="e">
        <f t="shared" si="1"/>
        <v>#N/A</v>
      </c>
      <c r="S35" s="228">
        <f t="shared" ca="1" si="2"/>
        <v>17</v>
      </c>
      <c r="T35" s="245" t="e">
        <f t="shared" si="3"/>
        <v>#N/A</v>
      </c>
      <c r="U35" s="229"/>
    </row>
    <row r="36" spans="1:21" ht="16.8" x14ac:dyDescent="0.3">
      <c r="A36" s="251" t="s">
        <v>184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52" t="s">
        <v>132</v>
      </c>
      <c r="O36" s="253" t="e">
        <f>INDEX(Members!$L$2:$V$15,MATCH($W$2,Members!$A$2:$A$15,0),MATCH(N36,Members!$L$1:$V$1,0))</f>
        <v>#N/A</v>
      </c>
      <c r="P36" s="254" t="e">
        <f t="shared" si="0"/>
        <v>#N/A</v>
      </c>
      <c r="Q36" s="245" t="s">
        <v>155</v>
      </c>
      <c r="R36" s="245" t="e">
        <f t="shared" si="1"/>
        <v>#N/A</v>
      </c>
      <c r="S36" s="228">
        <f t="shared" ca="1" si="2"/>
        <v>15</v>
      </c>
      <c r="T36" s="245" t="e">
        <f t="shared" si="3"/>
        <v>#N/A</v>
      </c>
      <c r="U36" s="229"/>
    </row>
    <row r="37" spans="1:21" ht="16.8" x14ac:dyDescent="0.3">
      <c r="A37" s="251" t="s">
        <v>213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67" t="s">
        <v>130</v>
      </c>
      <c r="O37" s="268" t="e">
        <f>INDEX(Members!$L$2:$V$15,MATCH($W$2,Members!$A$2:$A$15,0),MATCH(N37,Members!$L$1:$V$1,0))</f>
        <v>#N/A</v>
      </c>
      <c r="P37" s="269" t="e">
        <f t="shared" si="0"/>
        <v>#N/A</v>
      </c>
      <c r="Q37" s="245" t="s">
        <v>155</v>
      </c>
      <c r="R37" s="245" t="e">
        <f t="shared" si="1"/>
        <v>#N/A</v>
      </c>
      <c r="S37" s="228">
        <f t="shared" ca="1" si="2"/>
        <v>19</v>
      </c>
      <c r="T37" s="245" t="e">
        <f t="shared" si="3"/>
        <v>#N/A</v>
      </c>
      <c r="U37" s="229"/>
    </row>
    <row r="38" spans="1:21" ht="16.8" x14ac:dyDescent="0.3">
      <c r="A38" s="247" t="s">
        <v>185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48" t="s">
        <v>124</v>
      </c>
      <c r="O38" s="249" t="e">
        <f>INDEX(Members!$L$2:$V$15,MATCH($W$2,Members!$A$2:$A$15,0),MATCH(N38,Members!$L$1:$V$1,0))</f>
        <v>#N/A</v>
      </c>
      <c r="P38" s="233" t="e">
        <f t="shared" si="0"/>
        <v>#N/A</v>
      </c>
      <c r="Q38" s="245" t="s">
        <v>155</v>
      </c>
      <c r="R38" s="245" t="e">
        <f t="shared" si="1"/>
        <v>#N/A</v>
      </c>
      <c r="S38" s="228">
        <f t="shared" ca="1" si="2"/>
        <v>17</v>
      </c>
      <c r="T38" s="245" t="e">
        <f t="shared" si="3"/>
        <v>#N/A</v>
      </c>
      <c r="U38" s="229"/>
    </row>
    <row r="39" spans="1:21" ht="16.8" x14ac:dyDescent="0.3">
      <c r="A39" s="240" t="s">
        <v>186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41" t="s">
        <v>128</v>
      </c>
      <c r="O39" s="242" t="e">
        <f>INDEX(Members!$L$2:$V$15,MATCH($W$2,Members!$A$2:$A$15,0),MATCH(N39,Members!$L$1:$V$1,0))</f>
        <v>#N/A</v>
      </c>
      <c r="P39" s="243" t="e">
        <f t="shared" si="0"/>
        <v>#N/A</v>
      </c>
      <c r="Q39" s="245" t="s">
        <v>155</v>
      </c>
      <c r="R39" s="245" t="e">
        <f t="shared" si="1"/>
        <v>#N/A</v>
      </c>
      <c r="S39" s="228">
        <f t="shared" ca="1" si="2"/>
        <v>6</v>
      </c>
      <c r="T39" s="245" t="e">
        <f t="shared" si="3"/>
        <v>#N/A</v>
      </c>
      <c r="U39" s="229"/>
    </row>
    <row r="40" spans="1:21" ht="16.8" x14ac:dyDescent="0.3">
      <c r="A40" s="266" t="s">
        <v>187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67" t="s">
        <v>130</v>
      </c>
      <c r="O40" s="268" t="e">
        <f>INDEX(Members!$L$2:$V$15,MATCH($W$2,Members!$A$2:$A$15,0),MATCH(N40,Members!$L$1:$V$1,0))</f>
        <v>#N/A</v>
      </c>
      <c r="P40" s="269" t="e">
        <f t="shared" si="0"/>
        <v>#N/A</v>
      </c>
      <c r="Q40" s="245" t="s">
        <v>155</v>
      </c>
      <c r="R40" s="245" t="e">
        <f t="shared" si="1"/>
        <v>#N/A</v>
      </c>
      <c r="S40" s="228">
        <f t="shared" ca="1" si="2"/>
        <v>10</v>
      </c>
      <c r="T40" s="245" t="e">
        <f t="shared" si="3"/>
        <v>#N/A</v>
      </c>
      <c r="U40" s="229"/>
    </row>
    <row r="41" spans="1:21" ht="16.8" x14ac:dyDescent="0.3">
      <c r="A41" s="247" t="s">
        <v>188</v>
      </c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48" t="s">
        <v>124</v>
      </c>
      <c r="O41" s="249" t="e">
        <f>INDEX(Members!$L$2:$V$15,MATCH($W$2,Members!$A$2:$A$15,0),MATCH(N41,Members!$L$1:$V$1,0))</f>
        <v>#N/A</v>
      </c>
      <c r="P41" s="233" t="e">
        <f t="shared" si="0"/>
        <v>#N/A</v>
      </c>
      <c r="Q41" s="245" t="s">
        <v>155</v>
      </c>
      <c r="R41" s="245" t="e">
        <f t="shared" si="1"/>
        <v>#N/A</v>
      </c>
      <c r="S41" s="228">
        <f t="shared" ca="1" si="2"/>
        <v>15</v>
      </c>
      <c r="T41" s="245" t="e">
        <f t="shared" si="3"/>
        <v>#N/A</v>
      </c>
      <c r="U41" s="229"/>
    </row>
    <row r="42" spans="1:21" ht="16.8" x14ac:dyDescent="0.3">
      <c r="A42" s="240" t="s">
        <v>189</v>
      </c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41" t="s">
        <v>128</v>
      </c>
      <c r="O42" s="242" t="e">
        <f>INDEX(Members!$L$2:$V$15,MATCH($W$2,Members!$A$2:$A$15,0),MATCH(N42,Members!$L$1:$V$1,0))</f>
        <v>#N/A</v>
      </c>
      <c r="P42" s="243" t="e">
        <f t="shared" si="0"/>
        <v>#N/A</v>
      </c>
      <c r="Q42" s="245" t="s">
        <v>155</v>
      </c>
      <c r="R42" s="245" t="e">
        <f t="shared" si="1"/>
        <v>#N/A</v>
      </c>
      <c r="S42" s="228">
        <f t="shared" ca="1" si="2"/>
        <v>3</v>
      </c>
      <c r="T42" s="245" t="e">
        <f t="shared" si="3"/>
        <v>#N/A</v>
      </c>
      <c r="U42" s="229"/>
    </row>
    <row r="43" spans="1:21" ht="16.8" x14ac:dyDescent="0.3">
      <c r="A43" s="240" t="s">
        <v>190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41" t="s">
        <v>128</v>
      </c>
      <c r="O43" s="242" t="e">
        <f>INDEX(Members!$L$2:$V$15,MATCH($W$2,Members!$A$2:$A$15,0),MATCH(N43,Members!$L$1:$V$1,0))</f>
        <v>#N/A</v>
      </c>
      <c r="P43" s="243" t="e">
        <f t="shared" si="0"/>
        <v>#N/A</v>
      </c>
      <c r="Q43" s="245" t="s">
        <v>155</v>
      </c>
      <c r="R43" s="245" t="e">
        <f t="shared" si="1"/>
        <v>#N/A</v>
      </c>
      <c r="S43" s="228">
        <f t="shared" ca="1" si="2"/>
        <v>10</v>
      </c>
      <c r="T43" s="245" t="e">
        <f t="shared" si="3"/>
        <v>#N/A</v>
      </c>
      <c r="U43" s="229"/>
    </row>
    <row r="44" spans="1:21" ht="16.8" x14ac:dyDescent="0.3">
      <c r="A44" s="266" t="s">
        <v>191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67" t="s">
        <v>130</v>
      </c>
      <c r="O44" s="268" t="e">
        <f>INDEX(Members!$L$2:$V$15,MATCH($W$2,Members!$A$2:$A$15,0),MATCH(N44,Members!$L$1:$V$1,0))</f>
        <v>#N/A</v>
      </c>
      <c r="P44" s="269" t="e">
        <f t="shared" si="0"/>
        <v>#N/A</v>
      </c>
      <c r="Q44" s="245" t="s">
        <v>155</v>
      </c>
      <c r="R44" s="245" t="e">
        <f t="shared" si="1"/>
        <v>#N/A</v>
      </c>
      <c r="S44" s="228">
        <f t="shared" ca="1" si="2"/>
        <v>15</v>
      </c>
      <c r="T44" s="245" t="e">
        <f t="shared" si="3"/>
        <v>#N/A</v>
      </c>
      <c r="U44" s="229"/>
    </row>
    <row r="45" spans="1:21" ht="16.8" x14ac:dyDescent="0.3">
      <c r="A45" s="266" t="s">
        <v>113</v>
      </c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67" t="s">
        <v>130</v>
      </c>
      <c r="O45" s="268" t="e">
        <f>INDEX(Members!$L$2:$V$15,MATCH($W$2,Members!$A$2:$A$15,0),MATCH(N45,Members!$L$1:$V$1,0))</f>
        <v>#N/A</v>
      </c>
      <c r="P45" s="269" t="e">
        <f t="shared" si="0"/>
        <v>#N/A</v>
      </c>
      <c r="Q45" s="245" t="s">
        <v>155</v>
      </c>
      <c r="R45" s="245" t="e">
        <f t="shared" si="1"/>
        <v>#N/A</v>
      </c>
      <c r="S45" s="228">
        <f t="shared" ca="1" si="2"/>
        <v>8</v>
      </c>
      <c r="T45" s="245" t="e">
        <f t="shared" si="3"/>
        <v>#N/A</v>
      </c>
      <c r="U45" s="229"/>
    </row>
    <row r="46" spans="1:21" ht="16.8" x14ac:dyDescent="0.3">
      <c r="A46" s="256" t="s">
        <v>192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57" t="s">
        <v>122</v>
      </c>
      <c r="O46" s="258" t="e">
        <f>INDEX(Members!$L$2:$V$15,MATCH($W$2,Members!$A$2:$A$15,0),MATCH(N46,Members!$L$1:$V$1,0))</f>
        <v>#N/A</v>
      </c>
      <c r="P46" s="259" t="e">
        <f t="shared" si="0"/>
        <v>#N/A</v>
      </c>
      <c r="Q46" s="245" t="s">
        <v>155</v>
      </c>
      <c r="R46" s="245" t="e">
        <f t="shared" si="1"/>
        <v>#N/A</v>
      </c>
      <c r="S46" s="228">
        <f t="shared" ca="1" si="2"/>
        <v>19</v>
      </c>
      <c r="T46" s="245" t="e">
        <f t="shared" si="3"/>
        <v>#N/A</v>
      </c>
      <c r="U46" s="229"/>
    </row>
    <row r="47" spans="1:21" ht="16.8" x14ac:dyDescent="0.3">
      <c r="A47" s="247" t="s">
        <v>193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48" t="s">
        <v>124</v>
      </c>
      <c r="O47" s="249" t="e">
        <f>INDEX(Members!$L$2:$V$15,MATCH($W$2,Members!$A$2:$A$15,0),MATCH(N47,Members!$L$1:$V$1,0))</f>
        <v>#N/A</v>
      </c>
      <c r="P47" s="233" t="e">
        <f t="shared" si="0"/>
        <v>#N/A</v>
      </c>
      <c r="Q47" s="245" t="s">
        <v>155</v>
      </c>
      <c r="R47" s="245" t="e">
        <f t="shared" si="1"/>
        <v>#N/A</v>
      </c>
      <c r="S47" s="228">
        <f t="shared" ca="1" si="2"/>
        <v>7</v>
      </c>
      <c r="T47" s="245" t="e">
        <f t="shared" si="3"/>
        <v>#N/A</v>
      </c>
      <c r="U47" s="229"/>
    </row>
    <row r="48" spans="1:21" ht="16.8" x14ac:dyDescent="0.3">
      <c r="A48" s="251" t="s">
        <v>111</v>
      </c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52" t="s">
        <v>132</v>
      </c>
      <c r="O48" s="253" t="e">
        <f>INDEX(Members!$L$2:$V$15,MATCH($W$2,Members!$A$2:$A$15,0),MATCH(N48,Members!$L$1:$V$1,0))</f>
        <v>#N/A</v>
      </c>
      <c r="P48" s="254" t="e">
        <f t="shared" si="0"/>
        <v>#N/A</v>
      </c>
      <c r="Q48" s="245" t="s">
        <v>155</v>
      </c>
      <c r="R48" s="245" t="e">
        <f t="shared" si="1"/>
        <v>#N/A</v>
      </c>
      <c r="S48" s="228">
        <f t="shared" ca="1" si="2"/>
        <v>15</v>
      </c>
      <c r="T48" s="245" t="e">
        <f t="shared" si="3"/>
        <v>#N/A</v>
      </c>
      <c r="U48" s="229"/>
    </row>
    <row r="49" spans="1:21" ht="17.399999999999999" thickBot="1" x14ac:dyDescent="0.35">
      <c r="A49" s="270" t="s">
        <v>194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2" t="s">
        <v>124</v>
      </c>
      <c r="O49" s="273" t="e">
        <f>INDEX(Members!$L$2:$V$15,MATCH($W$2,Members!$A$2:$A$15,0),MATCH(N49,Members!$L$1:$V$1,0))</f>
        <v>#N/A</v>
      </c>
      <c r="P49" s="274" t="e">
        <f t="shared" si="0"/>
        <v>#N/A</v>
      </c>
      <c r="Q49" s="275" t="s">
        <v>155</v>
      </c>
      <c r="R49" s="275" t="e">
        <f t="shared" si="1"/>
        <v>#N/A</v>
      </c>
      <c r="S49" s="276">
        <f t="shared" ca="1" si="2"/>
        <v>17</v>
      </c>
      <c r="T49" s="275" t="e">
        <f t="shared" si="3"/>
        <v>#N/A</v>
      </c>
      <c r="U49" s="277"/>
    </row>
    <row r="50" spans="1:21" ht="16.2" thickTop="1" x14ac:dyDescent="0.3">
      <c r="A50" s="278" t="s">
        <v>25</v>
      </c>
      <c r="B50" s="279">
        <f>SUM(B5:B49)</f>
        <v>0</v>
      </c>
      <c r="C50" s="279">
        <f>SUM(C5:C49)</f>
        <v>0</v>
      </c>
      <c r="D50" s="279">
        <f>SUM(D5:D49)</f>
        <v>0</v>
      </c>
      <c r="E50" s="279">
        <f t="shared" ref="E50:G50" si="5">SUM(E5:E49)</f>
        <v>0</v>
      </c>
      <c r="F50" s="279">
        <f t="shared" si="5"/>
        <v>0</v>
      </c>
      <c r="G50" s="279">
        <f t="shared" si="5"/>
        <v>0</v>
      </c>
      <c r="H50" s="279">
        <f>SUM(H5:H49)</f>
        <v>0</v>
      </c>
      <c r="I50" s="279">
        <f t="shared" ref="I50:M50" si="6">SUM(I5:I49)</f>
        <v>0</v>
      </c>
      <c r="J50" s="279">
        <f t="shared" si="6"/>
        <v>0</v>
      </c>
      <c r="K50" s="279">
        <f t="shared" si="6"/>
        <v>0</v>
      </c>
      <c r="L50" s="279">
        <f t="shared" si="6"/>
        <v>0</v>
      </c>
      <c r="M50" s="279">
        <f t="shared" si="6"/>
        <v>0</v>
      </c>
      <c r="P50" s="279"/>
      <c r="Q50" s="281"/>
    </row>
    <row r="51" spans="1:21" x14ac:dyDescent="0.3">
      <c r="A51" s="278" t="s">
        <v>147</v>
      </c>
      <c r="B51" s="279" t="e">
        <f>VLOOKUP(B$1,Members!$A$2:$AJ$5,36,FALSE)</f>
        <v>#N/A</v>
      </c>
      <c r="C51" s="279" t="e">
        <f>VLOOKUP(C$1,Members!$A$2:$AJ$5,36,FALSE)</f>
        <v>#N/A</v>
      </c>
      <c r="D51" s="279" t="e">
        <f>VLOOKUP(D$1,Members!$A$2:$AJ$5,36,FALSE)</f>
        <v>#N/A</v>
      </c>
      <c r="E51" s="279" t="e">
        <f>VLOOKUP(E$1,Members!$A$2:$AJ$5,36,FALSE)</f>
        <v>#N/A</v>
      </c>
      <c r="F51" s="279" t="e">
        <f>VLOOKUP(F$1,Members!$A$2:$AJ$5,36,FALSE)</f>
        <v>#N/A</v>
      </c>
      <c r="G51" s="279" t="e">
        <f>VLOOKUP(G$1,Members!$A$2:$AJ$5,36,FALSE)</f>
        <v>#N/A</v>
      </c>
      <c r="H51" s="279" t="e">
        <f>VLOOKUP(H$1,Members!$A$2:$AJ$5,36,FALSE)</f>
        <v>#N/A</v>
      </c>
      <c r="I51" s="279" t="e">
        <f>VLOOKUP(I$1,Members!$A$2:$AJ$5,36,FALSE)</f>
        <v>#N/A</v>
      </c>
      <c r="J51" s="279" t="e">
        <f>VLOOKUP(J$1,Members!$A$2:$AJ$5,36,FALSE)</f>
        <v>#N/A</v>
      </c>
      <c r="K51" s="279" t="e">
        <f>VLOOKUP(K$1,Members!$A$2:$AJ$5,36,FALSE)</f>
        <v>#N/A</v>
      </c>
      <c r="L51" s="279" t="e">
        <f>VLOOKUP(L$1,Members!$A$2:$AJ$5,36,FALSE)</f>
        <v>#N/A</v>
      </c>
      <c r="M51" s="279" t="e">
        <f>VLOOKUP(M$1,Members!$A$2:$AJ$5,36,FALSE)</f>
        <v>#N/A</v>
      </c>
      <c r="P51" s="279"/>
    </row>
    <row r="52" spans="1:21" x14ac:dyDescent="0.3">
      <c r="B52" s="221"/>
      <c r="P52" s="279"/>
    </row>
    <row r="53" spans="1:21" x14ac:dyDescent="0.3">
      <c r="P53" s="279"/>
    </row>
    <row r="54" spans="1:21" x14ac:dyDescent="0.3">
      <c r="P54" s="279"/>
    </row>
    <row r="55" spans="1:21" x14ac:dyDescent="0.3">
      <c r="P55" s="279"/>
    </row>
    <row r="56" spans="1:21" x14ac:dyDescent="0.3">
      <c r="P56" s="279"/>
    </row>
    <row r="57" spans="1:21" x14ac:dyDescent="0.3">
      <c r="P57" s="279"/>
    </row>
    <row r="58" spans="1:21" x14ac:dyDescent="0.3">
      <c r="P58" s="279"/>
    </row>
    <row r="59" spans="1:21" x14ac:dyDescent="0.3">
      <c r="P59" s="279"/>
    </row>
    <row r="60" spans="1:21" x14ac:dyDescent="0.3">
      <c r="P60" s="279"/>
    </row>
    <row r="61" spans="1:21" x14ac:dyDescent="0.3">
      <c r="P61" s="279"/>
    </row>
  </sheetData>
  <conditionalFormatting sqref="B1:M1">
    <cfRule type="cellIs" dxfId="21" priority="1" operator="equal">
      <formula>$W$2</formula>
    </cfRule>
  </conditionalFormatting>
  <dataValidations count="1">
    <dataValidation type="list" allowBlank="1" showInputMessage="1" showErrorMessage="1" sqref="W2" xr:uid="{6BAE278D-62B3-4030-B0AA-F9137039C156}">
      <formula1>$B$1:$M$1</formula1>
    </dataValidation>
  </dataValidations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22.0976562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55" t="s">
        <v>72</v>
      </c>
      <c r="C1" s="55" t="s">
        <v>73</v>
      </c>
      <c r="D1" s="55" t="s">
        <v>74</v>
      </c>
      <c r="E1" s="55" t="s">
        <v>92</v>
      </c>
      <c r="F1" s="55" t="s">
        <v>91</v>
      </c>
      <c r="G1" s="55" t="s">
        <v>90</v>
      </c>
      <c r="H1" s="55" t="s">
        <v>89</v>
      </c>
      <c r="I1" s="55" t="s">
        <v>93</v>
      </c>
      <c r="J1" s="55" t="s">
        <v>75</v>
      </c>
      <c r="K1" s="55" t="s">
        <v>76</v>
      </c>
      <c r="L1" s="55" t="s">
        <v>77</v>
      </c>
      <c r="M1" s="55" t="s">
        <v>78</v>
      </c>
      <c r="O1" s="145" t="s">
        <v>79</v>
      </c>
      <c r="P1" s="68">
        <v>1</v>
      </c>
      <c r="Q1" s="146" t="s">
        <v>97</v>
      </c>
      <c r="R1" s="144">
        <v>0.64583333333333337</v>
      </c>
      <c r="S1" s="147" t="s">
        <v>96</v>
      </c>
      <c r="T1" s="144">
        <f>R1+((P1)/(24*60*10))</f>
        <v>0.64590277777777783</v>
      </c>
    </row>
    <row r="2" spans="1:20" ht="16.8" x14ac:dyDescent="0.3">
      <c r="A2" s="131" t="s">
        <v>108</v>
      </c>
      <c r="B2" s="57" t="s">
        <v>202</v>
      </c>
      <c r="C2" s="57"/>
      <c r="D2" s="57"/>
      <c r="E2" s="58" t="s">
        <v>110</v>
      </c>
      <c r="F2" s="58" t="s">
        <v>80</v>
      </c>
      <c r="G2" s="58" t="s">
        <v>80</v>
      </c>
      <c r="H2" s="58" t="s">
        <v>80</v>
      </c>
      <c r="I2" s="57"/>
      <c r="J2" s="57">
        <f t="shared" ref="J2:J16" si="0">IF($E2="þ",$D2,IF($F2="þ",($D2*10),IF($G2="þ",($D2*100),IF($H2="þ",($D2*600),$I2))))</f>
        <v>0</v>
      </c>
      <c r="K2" s="57">
        <f t="shared" ref="K2:K5" si="1">J2+C2</f>
        <v>0</v>
      </c>
      <c r="L2" s="58" t="s">
        <v>80</v>
      </c>
      <c r="M2" s="161" t="str">
        <f t="shared" ref="M2:M8" si="2">IF(C2="","",IF(K2&lt;=$P$1,"þ","q"))</f>
        <v/>
      </c>
    </row>
    <row r="3" spans="1:20" ht="16.8" x14ac:dyDescent="0.3">
      <c r="A3" s="131" t="s">
        <v>108</v>
      </c>
      <c r="B3" s="57" t="s">
        <v>220</v>
      </c>
      <c r="C3" s="57"/>
      <c r="D3" s="57"/>
      <c r="E3" s="58" t="s">
        <v>80</v>
      </c>
      <c r="F3" s="58" t="s">
        <v>110</v>
      </c>
      <c r="G3" s="58" t="s">
        <v>80</v>
      </c>
      <c r="H3" s="58" t="s">
        <v>80</v>
      </c>
      <c r="I3" s="57"/>
      <c r="J3" s="57">
        <f t="shared" si="0"/>
        <v>0</v>
      </c>
      <c r="K3" s="57">
        <f t="shared" ref="K3" si="3">J3+C3</f>
        <v>0</v>
      </c>
      <c r="L3" s="58" t="s">
        <v>80</v>
      </c>
      <c r="M3" s="161" t="str">
        <f t="shared" ref="M3" si="4">IF(C3="","",IF(K3&lt;=$P$1,"þ","q"))</f>
        <v/>
      </c>
    </row>
    <row r="4" spans="1:20" ht="16.8" x14ac:dyDescent="0.3">
      <c r="A4" s="157" t="s">
        <v>105</v>
      </c>
      <c r="B4" s="57" t="s">
        <v>207</v>
      </c>
      <c r="C4" s="57"/>
      <c r="D4" s="57"/>
      <c r="E4" s="58" t="s">
        <v>80</v>
      </c>
      <c r="F4" s="58" t="s">
        <v>110</v>
      </c>
      <c r="G4" s="58" t="s">
        <v>80</v>
      </c>
      <c r="H4" s="58" t="s">
        <v>80</v>
      </c>
      <c r="I4" s="57"/>
      <c r="J4" s="57">
        <f t="shared" si="0"/>
        <v>0</v>
      </c>
      <c r="K4" s="57">
        <f t="shared" si="1"/>
        <v>0</v>
      </c>
      <c r="L4" s="58" t="s">
        <v>80</v>
      </c>
      <c r="M4" s="59" t="str">
        <f t="shared" si="2"/>
        <v/>
      </c>
      <c r="O4" s="69"/>
    </row>
    <row r="5" spans="1:20" ht="16.8" x14ac:dyDescent="0.3">
      <c r="A5" s="157" t="s">
        <v>105</v>
      </c>
      <c r="B5" s="57" t="s">
        <v>219</v>
      </c>
      <c r="C5" s="57"/>
      <c r="D5" s="57"/>
      <c r="E5" s="58" t="s">
        <v>80</v>
      </c>
      <c r="F5" s="58" t="s">
        <v>80</v>
      </c>
      <c r="G5" s="58" t="s">
        <v>110</v>
      </c>
      <c r="H5" s="58" t="s">
        <v>80</v>
      </c>
      <c r="I5" s="57"/>
      <c r="J5" s="57">
        <f t="shared" si="0"/>
        <v>0</v>
      </c>
      <c r="K5" s="57">
        <f t="shared" si="1"/>
        <v>0</v>
      </c>
      <c r="L5" s="58" t="s">
        <v>80</v>
      </c>
      <c r="M5" s="59" t="str">
        <f t="shared" ref="M5" si="5">IF(C5="","",IF(K5&lt;=$P$1,"þ","q"))</f>
        <v/>
      </c>
      <c r="O5" s="69"/>
    </row>
    <row r="6" spans="1:20" ht="16.8" x14ac:dyDescent="0.3">
      <c r="A6" s="292" t="s">
        <v>198</v>
      </c>
      <c r="B6" s="57" t="s">
        <v>218</v>
      </c>
      <c r="C6" s="57"/>
      <c r="D6" s="57"/>
      <c r="E6" s="58" t="s">
        <v>80</v>
      </c>
      <c r="F6" s="58" t="s">
        <v>110</v>
      </c>
      <c r="G6" s="58" t="s">
        <v>80</v>
      </c>
      <c r="H6" s="58" t="s">
        <v>80</v>
      </c>
      <c r="I6" s="57"/>
      <c r="J6" s="57">
        <f t="shared" si="0"/>
        <v>0</v>
      </c>
      <c r="K6" s="57">
        <f t="shared" ref="K6" si="6">J6+C6</f>
        <v>0</v>
      </c>
      <c r="L6" s="58" t="s">
        <v>80</v>
      </c>
      <c r="M6" s="59" t="str">
        <f t="shared" ref="M6" si="7">IF(C6="","",IF(K6&lt;=$P$1,"þ","q"))</f>
        <v/>
      </c>
      <c r="O6" s="69"/>
    </row>
    <row r="7" spans="1:20" ht="16.8" x14ac:dyDescent="0.3">
      <c r="A7" s="292" t="s">
        <v>198</v>
      </c>
      <c r="B7" s="57" t="s">
        <v>199</v>
      </c>
      <c r="C7" s="57"/>
      <c r="D7" s="57"/>
      <c r="E7" s="58" t="s">
        <v>80</v>
      </c>
      <c r="F7" s="58" t="s">
        <v>80</v>
      </c>
      <c r="G7" s="58" t="s">
        <v>110</v>
      </c>
      <c r="H7" s="58" t="s">
        <v>80</v>
      </c>
      <c r="I7" s="57"/>
      <c r="J7" s="57">
        <f t="shared" si="0"/>
        <v>0</v>
      </c>
      <c r="K7" s="57">
        <f t="shared" ref="K7" si="8">J7+C7</f>
        <v>0</v>
      </c>
      <c r="L7" s="58" t="s">
        <v>80</v>
      </c>
      <c r="M7" s="59" t="str">
        <f t="shared" ref="M7" si="9">IF(C7="","",IF(K7&lt;=$P$1,"þ","q"))</f>
        <v/>
      </c>
      <c r="O7" s="69"/>
    </row>
    <row r="8" spans="1:20" ht="16.8" x14ac:dyDescent="0.3">
      <c r="A8" s="292" t="s">
        <v>198</v>
      </c>
      <c r="B8" s="57" t="s">
        <v>200</v>
      </c>
      <c r="C8" s="57"/>
      <c r="D8" s="57"/>
      <c r="E8" s="58" t="s">
        <v>80</v>
      </c>
      <c r="F8" s="58" t="s">
        <v>80</v>
      </c>
      <c r="G8" s="58" t="s">
        <v>80</v>
      </c>
      <c r="H8" s="58" t="s">
        <v>80</v>
      </c>
      <c r="I8" s="57">
        <v>10</v>
      </c>
      <c r="J8" s="57">
        <f t="shared" si="0"/>
        <v>10</v>
      </c>
      <c r="K8" s="57">
        <f t="shared" ref="K8" si="10">J8+C8</f>
        <v>10</v>
      </c>
      <c r="L8" s="58" t="s">
        <v>80</v>
      </c>
      <c r="M8" s="59" t="str">
        <f t="shared" si="2"/>
        <v/>
      </c>
      <c r="O8" s="69"/>
    </row>
    <row r="9" spans="1:20" ht="16.8" x14ac:dyDescent="0.3">
      <c r="A9" s="292" t="s">
        <v>198</v>
      </c>
      <c r="B9" s="57" t="s">
        <v>201</v>
      </c>
      <c r="C9" s="57"/>
      <c r="D9" s="57"/>
      <c r="E9" s="58" t="s">
        <v>110</v>
      </c>
      <c r="F9" s="58" t="s">
        <v>80</v>
      </c>
      <c r="G9" s="58" t="s">
        <v>80</v>
      </c>
      <c r="H9" s="58" t="s">
        <v>80</v>
      </c>
      <c r="I9" s="57"/>
      <c r="J9" s="57">
        <f t="shared" si="0"/>
        <v>0</v>
      </c>
      <c r="K9" s="57">
        <f t="shared" ref="K9:K13" si="11">J9+C9</f>
        <v>0</v>
      </c>
      <c r="L9" s="58" t="s">
        <v>80</v>
      </c>
      <c r="M9" s="59" t="str">
        <f t="shared" ref="M9:M13" si="12">IF(C9="","",IF(K9&lt;=$P$1,"þ","q"))</f>
        <v/>
      </c>
      <c r="O9" s="69"/>
    </row>
    <row r="10" spans="1:20" ht="16.8" x14ac:dyDescent="0.3">
      <c r="A10" s="292" t="s">
        <v>198</v>
      </c>
      <c r="B10" s="57" t="s">
        <v>226</v>
      </c>
      <c r="C10" s="57"/>
      <c r="D10" s="57"/>
      <c r="E10" s="58" t="s">
        <v>110</v>
      </c>
      <c r="F10" s="58" t="s">
        <v>80</v>
      </c>
      <c r="G10" s="58" t="s">
        <v>80</v>
      </c>
      <c r="H10" s="58" t="s">
        <v>80</v>
      </c>
      <c r="I10" s="57"/>
      <c r="J10" s="57">
        <f t="shared" si="0"/>
        <v>0</v>
      </c>
      <c r="K10" s="57">
        <f t="shared" si="11"/>
        <v>0</v>
      </c>
      <c r="L10" s="58" t="s">
        <v>80</v>
      </c>
      <c r="M10" s="59" t="str">
        <f t="shared" si="12"/>
        <v/>
      </c>
      <c r="O10" s="69"/>
    </row>
    <row r="11" spans="1:20" ht="16.8" x14ac:dyDescent="0.3">
      <c r="A11" s="292" t="s">
        <v>198</v>
      </c>
      <c r="B11" s="57" t="s">
        <v>202</v>
      </c>
      <c r="C11" s="57">
        <v>1</v>
      </c>
      <c r="D11" s="57">
        <v>4</v>
      </c>
      <c r="E11" s="58" t="s">
        <v>110</v>
      </c>
      <c r="F11" s="58" t="s">
        <v>80</v>
      </c>
      <c r="G11" s="58" t="s">
        <v>80</v>
      </c>
      <c r="H11" s="58" t="s">
        <v>80</v>
      </c>
      <c r="I11" s="57"/>
      <c r="J11" s="57">
        <f t="shared" si="0"/>
        <v>4</v>
      </c>
      <c r="K11" s="57">
        <f t="shared" ref="K11" si="13">J11+C11</f>
        <v>5</v>
      </c>
      <c r="L11" s="58" t="s">
        <v>110</v>
      </c>
      <c r="M11" s="59" t="str">
        <f t="shared" ref="M11" si="14">IF(C11="","",IF(K11&lt;=$P$1,"þ","q"))</f>
        <v>q</v>
      </c>
      <c r="O11" s="69"/>
    </row>
    <row r="12" spans="1:20" ht="16.8" x14ac:dyDescent="0.3">
      <c r="A12" s="62" t="s">
        <v>106</v>
      </c>
      <c r="B12" s="57" t="s">
        <v>203</v>
      </c>
      <c r="C12" s="57"/>
      <c r="D12" s="57"/>
      <c r="E12" s="58" t="s">
        <v>80</v>
      </c>
      <c r="F12" s="58" t="s">
        <v>110</v>
      </c>
      <c r="G12" s="58" t="s">
        <v>80</v>
      </c>
      <c r="H12" s="58" t="s">
        <v>80</v>
      </c>
      <c r="I12" s="57"/>
      <c r="J12" s="57">
        <f t="shared" si="0"/>
        <v>0</v>
      </c>
      <c r="K12" s="57">
        <f t="shared" si="11"/>
        <v>0</v>
      </c>
      <c r="L12" s="58" t="s">
        <v>80</v>
      </c>
      <c r="M12" s="59" t="str">
        <f t="shared" si="12"/>
        <v/>
      </c>
      <c r="O12" s="69"/>
    </row>
    <row r="13" spans="1:20" ht="16.8" x14ac:dyDescent="0.3">
      <c r="A13" s="62" t="s">
        <v>106</v>
      </c>
      <c r="B13" s="57"/>
      <c r="C13" s="57"/>
      <c r="D13" s="57"/>
      <c r="E13" s="58" t="s">
        <v>80</v>
      </c>
      <c r="F13" s="58" t="s">
        <v>80</v>
      </c>
      <c r="G13" s="58" t="s">
        <v>80</v>
      </c>
      <c r="H13" s="58" t="s">
        <v>80</v>
      </c>
      <c r="I13" s="57"/>
      <c r="J13" s="57">
        <f t="shared" si="0"/>
        <v>0</v>
      </c>
      <c r="K13" s="57">
        <f t="shared" si="11"/>
        <v>0</v>
      </c>
      <c r="L13" s="58" t="s">
        <v>80</v>
      </c>
      <c r="M13" s="59" t="str">
        <f t="shared" si="12"/>
        <v/>
      </c>
      <c r="O13" s="69"/>
    </row>
    <row r="14" spans="1:20" ht="16.8" x14ac:dyDescent="0.3">
      <c r="A14" s="63"/>
      <c r="B14" s="57"/>
      <c r="C14" s="57"/>
      <c r="D14" s="57"/>
      <c r="E14" s="58" t="s">
        <v>80</v>
      </c>
      <c r="F14" s="58" t="s">
        <v>80</v>
      </c>
      <c r="G14" s="58" t="s">
        <v>80</v>
      </c>
      <c r="H14" s="58" t="s">
        <v>80</v>
      </c>
      <c r="I14" s="57"/>
      <c r="J14" s="57">
        <f t="shared" si="0"/>
        <v>0</v>
      </c>
      <c r="K14" s="57">
        <f t="shared" ref="K14:K16" si="15">J14+C14</f>
        <v>0</v>
      </c>
      <c r="L14" s="58" t="s">
        <v>80</v>
      </c>
      <c r="M14" s="59" t="str">
        <f t="shared" ref="M14:M16" si="16">IF(C14="","",IF(K14&lt;=$P$1,"þ","q"))</f>
        <v/>
      </c>
      <c r="O14" s="69"/>
    </row>
    <row r="15" spans="1:20" ht="16.8" x14ac:dyDescent="0.3">
      <c r="A15" s="63"/>
      <c r="B15" s="57"/>
      <c r="C15" s="57"/>
      <c r="D15" s="57"/>
      <c r="E15" s="58" t="s">
        <v>80</v>
      </c>
      <c r="F15" s="58" t="s">
        <v>80</v>
      </c>
      <c r="G15" s="58" t="s">
        <v>80</v>
      </c>
      <c r="H15" s="58" t="s">
        <v>80</v>
      </c>
      <c r="I15" s="57"/>
      <c r="J15" s="57">
        <f t="shared" si="0"/>
        <v>0</v>
      </c>
      <c r="K15" s="57">
        <f t="shared" si="15"/>
        <v>0</v>
      </c>
      <c r="L15" s="58" t="s">
        <v>80</v>
      </c>
      <c r="M15" s="59" t="str">
        <f t="shared" si="16"/>
        <v/>
      </c>
      <c r="O15" s="69"/>
    </row>
    <row r="16" spans="1:20" ht="16.8" x14ac:dyDescent="0.3">
      <c r="A16" s="63"/>
      <c r="B16" s="57"/>
      <c r="C16" s="57"/>
      <c r="D16" s="57">
        <v>4</v>
      </c>
      <c r="E16" s="58" t="s">
        <v>80</v>
      </c>
      <c r="F16" s="58" t="s">
        <v>80</v>
      </c>
      <c r="G16" s="58" t="s">
        <v>80</v>
      </c>
      <c r="H16" s="58" t="s">
        <v>80</v>
      </c>
      <c r="I16" s="57"/>
      <c r="J16" s="57">
        <f t="shared" si="0"/>
        <v>0</v>
      </c>
      <c r="K16" s="57">
        <f t="shared" si="15"/>
        <v>0</v>
      </c>
      <c r="L16" s="58" t="s">
        <v>80</v>
      </c>
      <c r="M16" s="59" t="str">
        <f t="shared" si="16"/>
        <v/>
      </c>
      <c r="O16" s="69"/>
    </row>
    <row r="17" spans="1:15" x14ac:dyDescent="0.3">
      <c r="O17" s="153"/>
    </row>
    <row r="18" spans="1:15" ht="31.2" x14ac:dyDescent="0.3">
      <c r="A18" s="55" t="s">
        <v>71</v>
      </c>
      <c r="B18" s="55" t="s">
        <v>72</v>
      </c>
      <c r="C18" s="55" t="s">
        <v>73</v>
      </c>
      <c r="D18" s="55" t="s">
        <v>74</v>
      </c>
      <c r="E18" s="55" t="s">
        <v>92</v>
      </c>
      <c r="F18" s="55" t="s">
        <v>91</v>
      </c>
      <c r="G18" s="55" t="s">
        <v>90</v>
      </c>
      <c r="H18" s="55" t="s">
        <v>89</v>
      </c>
      <c r="I18" s="55" t="s">
        <v>93</v>
      </c>
      <c r="J18" s="55" t="s">
        <v>75</v>
      </c>
      <c r="K18" s="55" t="s">
        <v>76</v>
      </c>
      <c r="L18" s="55" t="s">
        <v>77</v>
      </c>
      <c r="M18" s="55" t="s">
        <v>78</v>
      </c>
    </row>
    <row r="19" spans="1:15" ht="16.8" x14ac:dyDescent="0.3">
      <c r="A19" s="61"/>
      <c r="B19" s="57"/>
      <c r="C19" s="57"/>
      <c r="D19" s="57"/>
      <c r="E19" s="58" t="s">
        <v>80</v>
      </c>
      <c r="F19" s="58" t="s">
        <v>80</v>
      </c>
      <c r="G19" s="58" t="s">
        <v>80</v>
      </c>
      <c r="H19" s="58" t="s">
        <v>80</v>
      </c>
      <c r="I19" s="57"/>
      <c r="J19" s="57">
        <f t="shared" ref="J19:J25" si="17">IF($E19="þ",$D19,IF($F19="þ",($D19*10),IF($G19="þ",($D19*100),IF($H19="þ",($D19*600),$I19))))</f>
        <v>0</v>
      </c>
      <c r="K19" s="57">
        <f t="shared" ref="K19:K25" si="18">J19+C19</f>
        <v>0</v>
      </c>
      <c r="L19" s="58" t="s">
        <v>80</v>
      </c>
      <c r="M19" s="59" t="str">
        <f t="shared" ref="M19:M25" si="19">IF(C19="","",IF(K19&lt;=$P$1,"þ","q"))</f>
        <v/>
      </c>
    </row>
    <row r="20" spans="1:15" ht="16.8" x14ac:dyDescent="0.3">
      <c r="A20" s="61"/>
      <c r="B20" s="57"/>
      <c r="C20" s="57"/>
      <c r="D20" s="57"/>
      <c r="E20" s="58" t="s">
        <v>80</v>
      </c>
      <c r="F20" s="58" t="s">
        <v>80</v>
      </c>
      <c r="G20" s="58" t="s">
        <v>80</v>
      </c>
      <c r="H20" s="58" t="s">
        <v>80</v>
      </c>
      <c r="I20" s="57"/>
      <c r="J20" s="57">
        <f t="shared" si="17"/>
        <v>0</v>
      </c>
      <c r="K20" s="57">
        <f t="shared" ref="K20:K22" si="20">J20+C20</f>
        <v>0</v>
      </c>
      <c r="L20" s="58" t="s">
        <v>80</v>
      </c>
      <c r="M20" s="59" t="str">
        <f t="shared" ref="M20:M22" si="21">IF(C20="","",IF(K20&lt;=$P$1,"þ","q"))</f>
        <v/>
      </c>
    </row>
    <row r="21" spans="1:15" ht="16.8" x14ac:dyDescent="0.3">
      <c r="A21" s="131"/>
      <c r="B21" s="57"/>
      <c r="C21" s="57"/>
      <c r="D21" s="57"/>
      <c r="E21" s="58" t="s">
        <v>80</v>
      </c>
      <c r="F21" s="58" t="s">
        <v>80</v>
      </c>
      <c r="G21" s="58" t="s">
        <v>80</v>
      </c>
      <c r="H21" s="58" t="s">
        <v>80</v>
      </c>
      <c r="I21" s="57"/>
      <c r="J21" s="57">
        <f t="shared" si="17"/>
        <v>0</v>
      </c>
      <c r="K21" s="57">
        <f t="shared" si="20"/>
        <v>0</v>
      </c>
      <c r="L21" s="58" t="s">
        <v>80</v>
      </c>
      <c r="M21" s="59" t="str">
        <f t="shared" si="21"/>
        <v/>
      </c>
    </row>
    <row r="22" spans="1:15" ht="16.8" x14ac:dyDescent="0.3">
      <c r="A22" s="131"/>
      <c r="B22" s="57"/>
      <c r="C22" s="57"/>
      <c r="D22" s="57"/>
      <c r="E22" s="58" t="s">
        <v>80</v>
      </c>
      <c r="F22" s="58" t="s">
        <v>80</v>
      </c>
      <c r="G22" s="58" t="s">
        <v>80</v>
      </c>
      <c r="H22" s="58" t="s">
        <v>80</v>
      </c>
      <c r="I22" s="57"/>
      <c r="J22" s="57">
        <f t="shared" si="17"/>
        <v>0</v>
      </c>
      <c r="K22" s="57">
        <f t="shared" si="20"/>
        <v>0</v>
      </c>
      <c r="L22" s="58" t="s">
        <v>80</v>
      </c>
      <c r="M22" s="59" t="str">
        <f t="shared" si="21"/>
        <v/>
      </c>
    </row>
    <row r="23" spans="1:15" ht="16.8" x14ac:dyDescent="0.3">
      <c r="A23" s="61"/>
      <c r="B23" s="57"/>
      <c r="C23" s="57"/>
      <c r="D23" s="57"/>
      <c r="E23" s="58" t="s">
        <v>80</v>
      </c>
      <c r="F23" s="58" t="s">
        <v>80</v>
      </c>
      <c r="G23" s="58" t="s">
        <v>80</v>
      </c>
      <c r="H23" s="58" t="s">
        <v>80</v>
      </c>
      <c r="I23" s="57"/>
      <c r="J23" s="57">
        <f t="shared" si="17"/>
        <v>0</v>
      </c>
      <c r="K23" s="57">
        <f t="shared" si="18"/>
        <v>0</v>
      </c>
      <c r="L23" s="58" t="s">
        <v>80</v>
      </c>
      <c r="M23" s="59" t="str">
        <f t="shared" si="19"/>
        <v/>
      </c>
    </row>
    <row r="24" spans="1:15" ht="16.8" x14ac:dyDescent="0.3">
      <c r="A24" s="61"/>
      <c r="B24" s="57"/>
      <c r="C24" s="57"/>
      <c r="D24" s="57"/>
      <c r="E24" s="58" t="s">
        <v>80</v>
      </c>
      <c r="F24" s="58" t="s">
        <v>80</v>
      </c>
      <c r="G24" s="58" t="s">
        <v>80</v>
      </c>
      <c r="H24" s="58" t="s">
        <v>80</v>
      </c>
      <c r="I24" s="57"/>
      <c r="J24" s="57">
        <f t="shared" si="17"/>
        <v>0</v>
      </c>
      <c r="K24" s="57">
        <f t="shared" si="18"/>
        <v>0</v>
      </c>
      <c r="L24" s="58" t="s">
        <v>80</v>
      </c>
      <c r="M24" s="59" t="str">
        <f t="shared" si="19"/>
        <v/>
      </c>
    </row>
    <row r="25" spans="1:15" ht="16.8" x14ac:dyDescent="0.3">
      <c r="A25" s="61"/>
      <c r="B25" s="57"/>
      <c r="C25" s="57"/>
      <c r="D25" s="57"/>
      <c r="E25" s="58" t="s">
        <v>80</v>
      </c>
      <c r="F25" s="58" t="s">
        <v>80</v>
      </c>
      <c r="G25" s="58" t="s">
        <v>80</v>
      </c>
      <c r="H25" s="58" t="s">
        <v>80</v>
      </c>
      <c r="I25" s="57"/>
      <c r="J25" s="57">
        <f t="shared" si="17"/>
        <v>0</v>
      </c>
      <c r="K25" s="57">
        <f t="shared" si="18"/>
        <v>0</v>
      </c>
      <c r="L25" s="58" t="s">
        <v>80</v>
      </c>
      <c r="M25" s="59" t="str">
        <f t="shared" si="19"/>
        <v/>
      </c>
    </row>
  </sheetData>
  <sortState xmlns:xlrd2="http://schemas.microsoft.com/office/spreadsheetml/2017/richdata2" ref="A2:M13">
    <sortCondition ref="A2:A13"/>
    <sortCondition ref="C2:C13"/>
  </sortState>
  <conditionalFormatting sqref="E23:F24">
    <cfRule type="cellIs" dxfId="20" priority="651" stopIfTrue="1" operator="equal">
      <formula>"þ"</formula>
    </cfRule>
  </conditionalFormatting>
  <conditionalFormatting sqref="E8:G16">
    <cfRule type="cellIs" dxfId="19" priority="1" stopIfTrue="1" operator="equal">
      <formula>"þ"</formula>
    </cfRule>
  </conditionalFormatting>
  <conditionalFormatting sqref="E2:H10">
    <cfRule type="cellIs" dxfId="18" priority="171" stopIfTrue="1" operator="equal">
      <formula>"þ"</formula>
    </cfRule>
  </conditionalFormatting>
  <conditionalFormatting sqref="F22:F23">
    <cfRule type="cellIs" dxfId="17" priority="631" stopIfTrue="1" operator="equal">
      <formula>"þ"</formula>
    </cfRule>
  </conditionalFormatting>
  <conditionalFormatting sqref="F7:H11">
    <cfRule type="cellIs" dxfId="16" priority="530" stopIfTrue="1" operator="equal">
      <formula>"þ"</formula>
    </cfRule>
  </conditionalFormatting>
  <conditionalFormatting sqref="G22:G25">
    <cfRule type="cellIs" dxfId="15" priority="633" stopIfTrue="1" operator="equal">
      <formula>"þ"</formula>
    </cfRule>
  </conditionalFormatting>
  <conditionalFormatting sqref="G8:H10">
    <cfRule type="cellIs" dxfId="14" priority="284" stopIfTrue="1" operator="equal">
      <formula>"þ"</formula>
    </cfRule>
  </conditionalFormatting>
  <conditionalFormatting sqref="H9:H16">
    <cfRule type="cellIs" dxfId="13" priority="1079" stopIfTrue="1" operator="equal">
      <formula>"þ"</formula>
    </cfRule>
  </conditionalFormatting>
  <conditionalFormatting sqref="H23:H24">
    <cfRule type="cellIs" dxfId="12" priority="676" stopIfTrue="1" operator="equal">
      <formula>"þ"</formula>
    </cfRule>
  </conditionalFormatting>
  <conditionalFormatting sqref="K2:K16">
    <cfRule type="cellIs" dxfId="11" priority="1081" operator="lessThan">
      <formula>$P$1</formula>
    </cfRule>
  </conditionalFormatting>
  <conditionalFormatting sqref="K18:K25">
    <cfRule type="cellIs" dxfId="10" priority="635" operator="lessThan">
      <formula>$P$1</formula>
    </cfRule>
  </conditionalFormatting>
  <conditionalFormatting sqref="L2:M25 E18:H25">
    <cfRule type="cellIs" dxfId="9" priority="226" stopIfTrue="1" operator="equal">
      <formula>"þ"</formula>
    </cfRule>
  </conditionalFormatting>
  <conditionalFormatting sqref="P1">
    <cfRule type="cellIs" dxfId="8" priority="3842" operator="equal">
      <formula>0</formula>
    </cfRule>
  </conditionalFormatting>
  <conditionalFormatting sqref="R1">
    <cfRule type="cellIs" dxfId="7" priority="3440" operator="equal">
      <formula>0</formula>
    </cfRule>
  </conditionalFormatting>
  <conditionalFormatting sqref="T1">
    <cfRule type="cellIs" dxfId="6" priority="3438" operator="equal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25.3984375" style="48" bestFit="1" customWidth="1"/>
    <col min="2" max="2" width="18" style="48" bestFit="1" customWidth="1"/>
    <col min="3" max="3" width="8.09765625" style="48" bestFit="1" customWidth="1"/>
    <col min="4" max="4" width="9.59765625" style="48" customWidth="1"/>
    <col min="5" max="5" width="5.2968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0.59765625" style="43" bestFit="1" customWidth="1"/>
    <col min="16" max="16384" width="8.796875" style="43"/>
  </cols>
  <sheetData>
    <row r="1" spans="1:15" ht="31.8" thickBot="1" x14ac:dyDescent="0.35">
      <c r="A1" s="154" t="s">
        <v>0</v>
      </c>
      <c r="B1" s="155" t="s">
        <v>34</v>
      </c>
      <c r="C1" s="155" t="s">
        <v>35</v>
      </c>
      <c r="D1" s="116" t="s">
        <v>247</v>
      </c>
      <c r="E1" s="118" t="s">
        <v>36</v>
      </c>
      <c r="F1" s="117" t="s">
        <v>88</v>
      </c>
      <c r="G1" s="116" t="s">
        <v>87</v>
      </c>
      <c r="H1" s="115" t="s">
        <v>37</v>
      </c>
      <c r="I1" s="115" t="s">
        <v>38</v>
      </c>
      <c r="J1" s="115" t="s">
        <v>86</v>
      </c>
      <c r="K1" s="114" t="s">
        <v>3</v>
      </c>
      <c r="L1" s="115" t="s">
        <v>25</v>
      </c>
      <c r="M1" s="113" t="s">
        <v>84</v>
      </c>
      <c r="N1" s="115" t="s">
        <v>83</v>
      </c>
      <c r="O1" s="295" t="s">
        <v>85</v>
      </c>
    </row>
    <row r="2" spans="1:15" x14ac:dyDescent="0.3">
      <c r="A2" s="150" t="s">
        <v>229</v>
      </c>
      <c r="B2" s="44" t="s">
        <v>232</v>
      </c>
      <c r="C2" s="44" t="s">
        <v>235</v>
      </c>
      <c r="D2" s="112" t="s">
        <v>80</v>
      </c>
      <c r="E2" s="111">
        <v>4</v>
      </c>
      <c r="F2" s="149">
        <v>3</v>
      </c>
      <c r="G2" s="288">
        <v>0</v>
      </c>
      <c r="H2" s="44">
        <v>0</v>
      </c>
      <c r="I2" s="44">
        <v>0</v>
      </c>
      <c r="J2" s="44">
        <f t="shared" ref="J2:J3" si="0">IF(D2="þ",SUM(E2,G2:I2),SUM(E2,F2,H2,I2))</f>
        <v>7</v>
      </c>
      <c r="K2" s="45">
        <f t="shared" ref="K2:K7" ca="1" si="1">RANDBETWEEN(1,20)</f>
        <v>20</v>
      </c>
      <c r="L2" s="44">
        <f t="shared" ref="L2" ca="1" si="2">SUM(J2:K2)</f>
        <v>27</v>
      </c>
      <c r="M2" s="64">
        <v>20</v>
      </c>
      <c r="N2" s="67" t="str">
        <f t="shared" ref="N2:N3" ca="1" si="3">IF(K2&gt;(M2-1),"þ","ý")</f>
        <v>þ</v>
      </c>
      <c r="O2" s="296"/>
    </row>
    <row r="3" spans="1:15" x14ac:dyDescent="0.3">
      <c r="A3" s="150" t="s">
        <v>229</v>
      </c>
      <c r="B3" s="44" t="s">
        <v>233</v>
      </c>
      <c r="C3" s="44" t="s">
        <v>235</v>
      </c>
      <c r="D3" s="112" t="s">
        <v>80</v>
      </c>
      <c r="E3" s="111">
        <v>4</v>
      </c>
      <c r="F3" s="149">
        <v>3</v>
      </c>
      <c r="G3" s="110">
        <v>0</v>
      </c>
      <c r="H3" s="44">
        <v>0</v>
      </c>
      <c r="I3" s="44">
        <v>0</v>
      </c>
      <c r="J3" s="44">
        <f t="shared" si="0"/>
        <v>7</v>
      </c>
      <c r="K3" s="45">
        <f t="shared" ref="K3:K17" ca="1" si="4">RANDBETWEEN(1,20)</f>
        <v>3</v>
      </c>
      <c r="L3" s="44">
        <f t="shared" ref="L3" ca="1" si="5">SUM(J3:K3)</f>
        <v>10</v>
      </c>
      <c r="M3" s="64">
        <v>20</v>
      </c>
      <c r="N3" s="67" t="str">
        <f t="shared" ca="1" si="3"/>
        <v>ý</v>
      </c>
      <c r="O3" s="297"/>
    </row>
    <row r="4" spans="1:15" x14ac:dyDescent="0.3">
      <c r="A4" s="150" t="s">
        <v>229</v>
      </c>
      <c r="B4" s="44" t="s">
        <v>208</v>
      </c>
      <c r="C4" s="44" t="s">
        <v>236</v>
      </c>
      <c r="D4" s="112" t="s">
        <v>80</v>
      </c>
      <c r="E4" s="111">
        <v>4</v>
      </c>
      <c r="F4" s="149">
        <v>1</v>
      </c>
      <c r="G4" s="110">
        <v>0</v>
      </c>
      <c r="H4" s="44">
        <v>0</v>
      </c>
      <c r="I4" s="44">
        <v>0</v>
      </c>
      <c r="J4" s="44">
        <f t="shared" ref="J4:J7" si="6">IF(D4="þ",SUM(E4,G4:I4),SUM(E4,F4,H4,I4))</f>
        <v>5</v>
      </c>
      <c r="K4" s="45">
        <f t="shared" ca="1" si="4"/>
        <v>20</v>
      </c>
      <c r="L4" s="44">
        <f t="shared" ref="L4" ca="1" si="7">SUM(J4:K4)</f>
        <v>25</v>
      </c>
      <c r="M4" s="64">
        <v>20</v>
      </c>
      <c r="N4" s="67" t="str">
        <f t="shared" ref="N4:N7" ca="1" si="8">IF(K4&gt;(M4-1),"þ","ý")</f>
        <v>þ</v>
      </c>
      <c r="O4" s="297"/>
    </row>
    <row r="5" spans="1:15" x14ac:dyDescent="0.3">
      <c r="A5" s="150" t="s">
        <v>229</v>
      </c>
      <c r="B5" s="44" t="s">
        <v>234</v>
      </c>
      <c r="C5" s="44" t="s">
        <v>237</v>
      </c>
      <c r="D5" s="112" t="s">
        <v>80</v>
      </c>
      <c r="E5" s="111">
        <v>4</v>
      </c>
      <c r="F5" s="149">
        <v>3</v>
      </c>
      <c r="G5" s="110">
        <v>0</v>
      </c>
      <c r="H5" s="44">
        <v>0</v>
      </c>
      <c r="I5" s="44">
        <v>0</v>
      </c>
      <c r="J5" s="44">
        <f t="shared" ref="J5" si="9">IF(D5="þ",SUM(E5,G5:I5),SUM(E5,F5,H5,I5))</f>
        <v>7</v>
      </c>
      <c r="K5" s="45">
        <f t="shared" ca="1" si="4"/>
        <v>9</v>
      </c>
      <c r="L5" s="44">
        <f t="shared" ref="L5" ca="1" si="10">SUM(J5:K5)</f>
        <v>16</v>
      </c>
      <c r="M5" s="64">
        <v>20</v>
      </c>
      <c r="N5" s="67" t="str">
        <f t="shared" ref="N5" ca="1" si="11">IF(K5&gt;(M5-1),"þ","ý")</f>
        <v>ý</v>
      </c>
      <c r="O5" s="297"/>
    </row>
    <row r="6" spans="1:15" x14ac:dyDescent="0.3">
      <c r="A6" s="150" t="s">
        <v>229</v>
      </c>
      <c r="B6" s="44" t="s">
        <v>238</v>
      </c>
      <c r="C6" s="44" t="s">
        <v>237</v>
      </c>
      <c r="D6" s="112" t="s">
        <v>110</v>
      </c>
      <c r="E6" s="111">
        <v>4</v>
      </c>
      <c r="F6" s="149">
        <v>3</v>
      </c>
      <c r="G6" s="110">
        <v>0</v>
      </c>
      <c r="H6" s="44">
        <v>0</v>
      </c>
      <c r="I6" s="44">
        <v>0</v>
      </c>
      <c r="J6" s="44">
        <f t="shared" ref="J6" si="12">IF(D6="þ",SUM(E6,G6:I6),SUM(E6,F6,H6,I6))</f>
        <v>4</v>
      </c>
      <c r="K6" s="45">
        <f t="shared" ca="1" si="4"/>
        <v>20</v>
      </c>
      <c r="L6" s="44">
        <f t="shared" ref="L6" ca="1" si="13">SUM(J6:K6)</f>
        <v>24</v>
      </c>
      <c r="M6" s="64">
        <v>20</v>
      </c>
      <c r="N6" s="67" t="str">
        <f t="shared" ref="N6" ca="1" si="14">IF(K6&gt;(M6-1),"þ","ý")</f>
        <v>þ</v>
      </c>
      <c r="O6" s="297"/>
    </row>
    <row r="7" spans="1:15" x14ac:dyDescent="0.3">
      <c r="A7" s="151" t="s">
        <v>229</v>
      </c>
      <c r="B7" s="46" t="s">
        <v>204</v>
      </c>
      <c r="C7" s="46" t="s">
        <v>204</v>
      </c>
      <c r="D7" s="109" t="s">
        <v>80</v>
      </c>
      <c r="E7" s="108">
        <v>4</v>
      </c>
      <c r="F7" s="148">
        <v>8</v>
      </c>
      <c r="G7" s="289">
        <v>0</v>
      </c>
      <c r="H7" s="46">
        <v>0</v>
      </c>
      <c r="I7" s="46">
        <v>0</v>
      </c>
      <c r="J7" s="46">
        <f t="shared" si="6"/>
        <v>12</v>
      </c>
      <c r="K7" s="47">
        <f t="shared" ca="1" si="1"/>
        <v>14</v>
      </c>
      <c r="L7" s="46">
        <f t="shared" ref="L7" ca="1" si="15">SUM(J7:K7)</f>
        <v>26</v>
      </c>
      <c r="M7" s="65">
        <v>20</v>
      </c>
      <c r="N7" s="66" t="str">
        <f t="shared" ca="1" si="8"/>
        <v>ý</v>
      </c>
      <c r="O7" s="297"/>
    </row>
    <row r="8" spans="1:15" x14ac:dyDescent="0.3">
      <c r="A8" s="150" t="s">
        <v>230</v>
      </c>
      <c r="B8" s="44" t="s">
        <v>239</v>
      </c>
      <c r="C8" s="44" t="s">
        <v>240</v>
      </c>
      <c r="D8" s="112" t="s">
        <v>80</v>
      </c>
      <c r="E8" s="111">
        <v>2</v>
      </c>
      <c r="F8" s="149">
        <v>1</v>
      </c>
      <c r="G8" s="110">
        <v>3</v>
      </c>
      <c r="H8" s="44">
        <v>2</v>
      </c>
      <c r="I8" s="44">
        <v>0</v>
      </c>
      <c r="J8" s="44">
        <f t="shared" ref="J8" si="16">IF(D8="þ",SUM(E8,G8:I8),SUM(E8,F8,H8,I8))</f>
        <v>5</v>
      </c>
      <c r="K8" s="45">
        <f t="shared" ca="1" si="4"/>
        <v>9</v>
      </c>
      <c r="L8" s="44">
        <f t="shared" ref="L8" ca="1" si="17">SUM(J8:K8)</f>
        <v>14</v>
      </c>
      <c r="M8" s="64">
        <v>20</v>
      </c>
      <c r="N8" s="67" t="str">
        <f t="shared" ref="N8" ca="1" si="18">IF(K8&gt;(M8-1),"þ","ý")</f>
        <v>ý</v>
      </c>
      <c r="O8" s="296"/>
    </row>
    <row r="9" spans="1:15" x14ac:dyDescent="0.3">
      <c r="A9" s="150" t="s">
        <v>230</v>
      </c>
      <c r="B9" s="44" t="s">
        <v>241</v>
      </c>
      <c r="C9" s="44" t="s">
        <v>242</v>
      </c>
      <c r="D9" s="112" t="s">
        <v>80</v>
      </c>
      <c r="E9" s="111">
        <v>2</v>
      </c>
      <c r="F9" s="149">
        <v>1</v>
      </c>
      <c r="G9" s="110">
        <v>3</v>
      </c>
      <c r="H9" s="44">
        <v>0</v>
      </c>
      <c r="I9" s="44">
        <v>0</v>
      </c>
      <c r="J9" s="44">
        <f t="shared" ref="J9:J15" si="19">IF(D9="þ",SUM(E9,G9:I9),SUM(E9,F9,H9,I9))</f>
        <v>3</v>
      </c>
      <c r="K9" s="45">
        <f t="shared" ca="1" si="4"/>
        <v>11</v>
      </c>
      <c r="L9" s="44">
        <f t="shared" ref="L9:L12" ca="1" si="20">SUM(J9:K9)</f>
        <v>14</v>
      </c>
      <c r="M9" s="64">
        <v>20</v>
      </c>
      <c r="N9" s="67" t="str">
        <f t="shared" ref="N9:N15" ca="1" si="21">IF(K9&gt;(M9-1),"þ","ý")</f>
        <v>ý</v>
      </c>
      <c r="O9" s="297"/>
    </row>
    <row r="10" spans="1:15" x14ac:dyDescent="0.3">
      <c r="A10" s="150" t="s">
        <v>230</v>
      </c>
      <c r="B10" s="44" t="s">
        <v>243</v>
      </c>
      <c r="C10" s="44" t="s">
        <v>244</v>
      </c>
      <c r="D10" s="112" t="s">
        <v>80</v>
      </c>
      <c r="E10" s="111">
        <v>2</v>
      </c>
      <c r="F10" s="149">
        <v>1</v>
      </c>
      <c r="G10" s="110">
        <v>3</v>
      </c>
      <c r="H10" s="44">
        <v>0</v>
      </c>
      <c r="I10" s="44">
        <v>0</v>
      </c>
      <c r="J10" s="44">
        <f t="shared" ref="J10" si="22">IF(D10="þ",SUM(E10,G10:I10),SUM(E10,F10,H10,I10))</f>
        <v>3</v>
      </c>
      <c r="K10" s="45">
        <f t="shared" ca="1" si="4"/>
        <v>2</v>
      </c>
      <c r="L10" s="44">
        <f t="shared" ref="L10" ca="1" si="23">SUM(J10:K10)</f>
        <v>5</v>
      </c>
      <c r="M10" s="64">
        <v>20</v>
      </c>
      <c r="N10" s="67" t="str">
        <f t="shared" ref="N10" ca="1" si="24">IF(K10&gt;(M10-1),"þ","ý")</f>
        <v>ý</v>
      </c>
      <c r="O10" s="297"/>
    </row>
    <row r="11" spans="1:15" x14ac:dyDescent="0.3">
      <c r="A11" s="150" t="s">
        <v>230</v>
      </c>
      <c r="B11" s="44" t="s">
        <v>245</v>
      </c>
      <c r="C11" s="44" t="s">
        <v>244</v>
      </c>
      <c r="D11" s="112" t="s">
        <v>110</v>
      </c>
      <c r="E11" s="111">
        <v>2</v>
      </c>
      <c r="F11" s="149">
        <v>1</v>
      </c>
      <c r="G11" s="110">
        <v>3</v>
      </c>
      <c r="H11" s="44">
        <v>0</v>
      </c>
      <c r="I11" s="44">
        <v>0</v>
      </c>
      <c r="J11" s="44">
        <f t="shared" ref="J11" si="25">IF(D11="þ",SUM(E11,G11:I11),SUM(E11,F11,H11,I11))</f>
        <v>5</v>
      </c>
      <c r="K11" s="45">
        <f t="shared" ca="1" si="4"/>
        <v>6</v>
      </c>
      <c r="L11" s="44">
        <f t="shared" ref="L11" ca="1" si="26">SUM(J11:K11)</f>
        <v>11</v>
      </c>
      <c r="M11" s="64">
        <v>20</v>
      </c>
      <c r="N11" s="67" t="str">
        <f t="shared" ref="N11" ca="1" si="27">IF(K11&gt;(M11-1),"þ","ý")</f>
        <v>ý</v>
      </c>
      <c r="O11" s="297"/>
    </row>
    <row r="12" spans="1:15" x14ac:dyDescent="0.3">
      <c r="A12" s="151" t="s">
        <v>230</v>
      </c>
      <c r="B12" s="46" t="s">
        <v>204</v>
      </c>
      <c r="C12" s="46" t="s">
        <v>204</v>
      </c>
      <c r="D12" s="109" t="s">
        <v>80</v>
      </c>
      <c r="E12" s="108">
        <v>2</v>
      </c>
      <c r="F12" s="148">
        <v>1</v>
      </c>
      <c r="G12" s="289">
        <v>3</v>
      </c>
      <c r="H12" s="46">
        <v>0</v>
      </c>
      <c r="I12" s="46">
        <v>0</v>
      </c>
      <c r="J12" s="46">
        <f t="shared" si="19"/>
        <v>3</v>
      </c>
      <c r="K12" s="47">
        <f t="shared" ca="1" si="4"/>
        <v>8</v>
      </c>
      <c r="L12" s="46">
        <f t="shared" ca="1" si="20"/>
        <v>11</v>
      </c>
      <c r="M12" s="65">
        <v>20</v>
      </c>
      <c r="N12" s="66" t="str">
        <f t="shared" ca="1" si="21"/>
        <v>ý</v>
      </c>
      <c r="O12" s="297"/>
    </row>
    <row r="13" spans="1:15" x14ac:dyDescent="0.3">
      <c r="A13" s="298" t="s">
        <v>210</v>
      </c>
      <c r="B13" s="299" t="s">
        <v>208</v>
      </c>
      <c r="C13" s="44" t="s">
        <v>209</v>
      </c>
      <c r="D13" s="112" t="s">
        <v>80</v>
      </c>
      <c r="E13" s="111">
        <v>2</v>
      </c>
      <c r="F13" s="149">
        <v>1</v>
      </c>
      <c r="G13" s="110">
        <v>2</v>
      </c>
      <c r="H13" s="44">
        <v>0</v>
      </c>
      <c r="I13" s="44">
        <v>0</v>
      </c>
      <c r="J13" s="44">
        <f t="shared" ref="J13" si="28">IF(D13="þ",SUM(E13,G13:I13),SUM(E13,F13,H13,I13))</f>
        <v>3</v>
      </c>
      <c r="K13" s="45">
        <f t="shared" ca="1" si="4"/>
        <v>10</v>
      </c>
      <c r="L13" s="44">
        <f t="shared" ref="L13:L15" ca="1" si="29">SUM(J13:K13)</f>
        <v>13</v>
      </c>
      <c r="M13" s="64">
        <v>20</v>
      </c>
      <c r="N13" s="67" t="str">
        <f t="shared" ca="1" si="21"/>
        <v>ý</v>
      </c>
      <c r="O13" s="296"/>
    </row>
    <row r="14" spans="1:15" x14ac:dyDescent="0.3">
      <c r="A14" s="298" t="s">
        <v>210</v>
      </c>
      <c r="B14" s="299" t="s">
        <v>227</v>
      </c>
      <c r="C14" s="44" t="s">
        <v>227</v>
      </c>
      <c r="D14" s="112" t="s">
        <v>80</v>
      </c>
      <c r="E14" s="111">
        <v>0</v>
      </c>
      <c r="F14" s="149">
        <v>1</v>
      </c>
      <c r="G14" s="110">
        <v>2</v>
      </c>
      <c r="H14" s="44">
        <v>0</v>
      </c>
      <c r="I14" s="44">
        <v>0</v>
      </c>
      <c r="J14" s="44">
        <f t="shared" ref="J14" si="30">IF(D14="þ",SUM(E14,G14:I14),SUM(E14,F14,H14,I14))</f>
        <v>1</v>
      </c>
      <c r="K14" s="45">
        <f t="shared" ca="1" si="4"/>
        <v>20</v>
      </c>
      <c r="L14" s="44">
        <f t="shared" ref="L14" ca="1" si="31">SUM(J14:K14)</f>
        <v>21</v>
      </c>
      <c r="M14" s="64">
        <v>20</v>
      </c>
      <c r="N14" s="67" t="str">
        <f t="shared" ref="N14" ca="1" si="32">IF(K14&gt;(M14-1),"þ","ý")</f>
        <v>þ</v>
      </c>
      <c r="O14" s="297"/>
    </row>
    <row r="15" spans="1:15" x14ac:dyDescent="0.3">
      <c r="A15" s="301" t="s">
        <v>210</v>
      </c>
      <c r="B15" s="46" t="s">
        <v>204</v>
      </c>
      <c r="C15" s="46" t="s">
        <v>204</v>
      </c>
      <c r="D15" s="109" t="s">
        <v>80</v>
      </c>
      <c r="E15" s="108">
        <v>1</v>
      </c>
      <c r="F15" s="148">
        <v>1</v>
      </c>
      <c r="G15" s="107">
        <v>2</v>
      </c>
      <c r="H15" s="46">
        <v>0</v>
      </c>
      <c r="I15" s="46">
        <v>0</v>
      </c>
      <c r="J15" s="46">
        <f t="shared" si="19"/>
        <v>2</v>
      </c>
      <c r="K15" s="47">
        <f t="shared" ca="1" si="4"/>
        <v>7</v>
      </c>
      <c r="L15" s="46">
        <f t="shared" ca="1" si="29"/>
        <v>9</v>
      </c>
      <c r="M15" s="65">
        <v>20</v>
      </c>
      <c r="N15" s="66" t="str">
        <f t="shared" ca="1" si="21"/>
        <v>ý</v>
      </c>
      <c r="O15" s="302"/>
    </row>
    <row r="16" spans="1:15" x14ac:dyDescent="0.3">
      <c r="A16" s="298"/>
      <c r="B16" s="299"/>
      <c r="C16" s="44"/>
      <c r="D16" s="112" t="s">
        <v>80</v>
      </c>
      <c r="E16" s="111"/>
      <c r="F16" s="149"/>
      <c r="G16" s="110"/>
      <c r="H16" s="44"/>
      <c r="I16" s="44"/>
      <c r="J16" s="44"/>
      <c r="K16" s="45">
        <f t="shared" ca="1" si="4"/>
        <v>17</v>
      </c>
      <c r="L16" s="44">
        <f t="shared" ref="L16" ca="1" si="33">SUM(J16:K16)</f>
        <v>17</v>
      </c>
      <c r="M16" s="64">
        <v>20</v>
      </c>
      <c r="N16" s="67" t="str">
        <f t="shared" ref="N16" ca="1" si="34">IF(K16&gt;(M16-1),"þ","ý")</f>
        <v>ý</v>
      </c>
      <c r="O16" s="300"/>
    </row>
    <row r="17" spans="1:15" x14ac:dyDescent="0.3">
      <c r="A17" s="301"/>
      <c r="B17" s="46"/>
      <c r="C17" s="46"/>
      <c r="D17" s="109" t="s">
        <v>80</v>
      </c>
      <c r="E17" s="108"/>
      <c r="F17" s="148"/>
      <c r="G17" s="107"/>
      <c r="H17" s="46"/>
      <c r="I17" s="46"/>
      <c r="J17" s="46"/>
      <c r="K17" s="47">
        <f t="shared" ca="1" si="4"/>
        <v>18</v>
      </c>
      <c r="L17" s="46">
        <f t="shared" ref="L17" ca="1" si="35">SUM(J17:K17)</f>
        <v>18</v>
      </c>
      <c r="M17" s="65">
        <v>20</v>
      </c>
      <c r="N17" s="66" t="str">
        <f t="shared" ref="N17" ca="1" si="36">IF(K17&gt;(M17-1),"þ","ý")</f>
        <v>ý</v>
      </c>
      <c r="O17" s="302"/>
    </row>
  </sheetData>
  <conditionalFormatting sqref="D2:D17">
    <cfRule type="cellIs" dxfId="5" priority="5" operator="equal">
      <formula>"þ"</formula>
    </cfRule>
  </conditionalFormatting>
  <conditionalFormatting sqref="K2:K12">
    <cfRule type="cellIs" dxfId="4" priority="26" operator="greaterThanOrEqual">
      <formula>M2</formula>
    </cfRule>
  </conditionalFormatting>
  <conditionalFormatting sqref="K13:K17">
    <cfRule type="cellIs" dxfId="3" priority="2" operator="greaterThanOrEqual">
      <formula>$M13</formula>
    </cfRule>
  </conditionalFormatting>
  <conditionalFormatting sqref="N2:N17">
    <cfRule type="cellIs" dxfId="2" priority="6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"/>
  <sheetViews>
    <sheetView showGridLines="0" zoomScaleNormal="100" workbookViewId="0"/>
  </sheetViews>
  <sheetFormatPr defaultColWidth="4" defaultRowHeight="15.6" x14ac:dyDescent="0.3"/>
  <cols>
    <col min="1" max="1" width="25.39843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customWidth="1"/>
    <col min="6" max="6" width="3.296875" style="18" customWidth="1"/>
    <col min="7" max="7" width="9.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6" t="s">
        <v>0</v>
      </c>
      <c r="B1" s="86" t="s">
        <v>63</v>
      </c>
      <c r="C1" s="86" t="s">
        <v>39</v>
      </c>
      <c r="D1" s="87" t="s">
        <v>3</v>
      </c>
      <c r="E1" s="86" t="s">
        <v>98</v>
      </c>
      <c r="G1" s="86" t="s">
        <v>0</v>
      </c>
      <c r="H1" s="86" t="s">
        <v>63</v>
      </c>
      <c r="I1" s="86" t="s">
        <v>39</v>
      </c>
      <c r="J1" s="87" t="s">
        <v>3</v>
      </c>
      <c r="K1" s="86" t="s">
        <v>98</v>
      </c>
    </row>
    <row r="2" spans="1:11" x14ac:dyDescent="0.3">
      <c r="A2" s="293" t="s">
        <v>229</v>
      </c>
      <c r="B2" s="5" t="s">
        <v>40</v>
      </c>
      <c r="C2" s="88">
        <v>3</v>
      </c>
      <c r="D2" s="89">
        <f t="shared" ref="D2:J10" ca="1" si="0">RANDBETWEEN(1,20)</f>
        <v>14</v>
      </c>
      <c r="E2" s="88">
        <f t="shared" ref="E2:E4" ca="1" si="1">D2+C2</f>
        <v>17</v>
      </c>
      <c r="G2" s="298" t="s">
        <v>210</v>
      </c>
      <c r="H2" s="5" t="s">
        <v>40</v>
      </c>
      <c r="I2" s="88">
        <v>5</v>
      </c>
      <c r="J2" s="89">
        <f t="shared" ca="1" si="0"/>
        <v>7</v>
      </c>
      <c r="K2" s="88">
        <f t="shared" ref="K2:K4" ca="1" si="2">J2+I2</f>
        <v>12</v>
      </c>
    </row>
    <row r="3" spans="1:11" x14ac:dyDescent="0.3">
      <c r="A3" s="150" t="s">
        <v>229</v>
      </c>
      <c r="B3" s="5" t="s">
        <v>41</v>
      </c>
      <c r="C3" s="44">
        <v>4</v>
      </c>
      <c r="D3" s="45">
        <f t="shared" ca="1" si="0"/>
        <v>5</v>
      </c>
      <c r="E3" s="44">
        <f t="shared" ca="1" si="1"/>
        <v>9</v>
      </c>
      <c r="G3" s="298" t="s">
        <v>210</v>
      </c>
      <c r="H3" s="5" t="s">
        <v>41</v>
      </c>
      <c r="I3" s="44">
        <v>5</v>
      </c>
      <c r="J3" s="45">
        <f t="shared" ca="1" si="0"/>
        <v>2</v>
      </c>
      <c r="K3" s="44">
        <f t="shared" ca="1" si="2"/>
        <v>7</v>
      </c>
    </row>
    <row r="4" spans="1:11" x14ac:dyDescent="0.3">
      <c r="A4" s="151" t="s">
        <v>229</v>
      </c>
      <c r="B4" s="90" t="s">
        <v>42</v>
      </c>
      <c r="C4" s="46">
        <v>4</v>
      </c>
      <c r="D4" s="47">
        <f t="shared" ca="1" si="0"/>
        <v>13</v>
      </c>
      <c r="E4" s="46">
        <f t="shared" ca="1" si="1"/>
        <v>17</v>
      </c>
      <c r="G4" s="301" t="s">
        <v>210</v>
      </c>
      <c r="H4" s="90" t="s">
        <v>42</v>
      </c>
      <c r="I4" s="46">
        <v>1</v>
      </c>
      <c r="J4" s="47">
        <f t="shared" ca="1" si="0"/>
        <v>11</v>
      </c>
      <c r="K4" s="46">
        <f t="shared" ca="1" si="2"/>
        <v>12</v>
      </c>
    </row>
    <row r="5" spans="1:11" x14ac:dyDescent="0.3">
      <c r="A5" s="293" t="s">
        <v>230</v>
      </c>
      <c r="B5" s="5" t="s">
        <v>40</v>
      </c>
      <c r="C5" s="88">
        <v>2</v>
      </c>
      <c r="D5" s="89">
        <f t="shared" ca="1" si="0"/>
        <v>10</v>
      </c>
      <c r="E5" s="88">
        <f t="shared" ref="E5:E10" ca="1" si="3">D5+C5</f>
        <v>12</v>
      </c>
      <c r="G5" s="298" t="s">
        <v>225</v>
      </c>
      <c r="H5" s="5" t="s">
        <v>40</v>
      </c>
      <c r="I5" s="88">
        <v>5</v>
      </c>
      <c r="J5" s="89">
        <f t="shared" ref="J5:J9" ca="1" si="4">RANDBETWEEN(1,20)</f>
        <v>19</v>
      </c>
      <c r="K5" s="88">
        <f t="shared" ref="K5:K10" ca="1" si="5">J5+I5</f>
        <v>24</v>
      </c>
    </row>
    <row r="6" spans="1:11" x14ac:dyDescent="0.3">
      <c r="A6" s="150" t="s">
        <v>230</v>
      </c>
      <c r="B6" s="5" t="s">
        <v>41</v>
      </c>
      <c r="C6" s="44">
        <v>4</v>
      </c>
      <c r="D6" s="45">
        <f t="shared" ca="1" si="0"/>
        <v>10</v>
      </c>
      <c r="E6" s="44">
        <f t="shared" ca="1" si="3"/>
        <v>14</v>
      </c>
      <c r="G6" s="298" t="s">
        <v>225</v>
      </c>
      <c r="H6" s="5" t="s">
        <v>41</v>
      </c>
      <c r="I6" s="44">
        <v>4</v>
      </c>
      <c r="J6" s="45">
        <f t="shared" ca="1" si="4"/>
        <v>8</v>
      </c>
      <c r="K6" s="44">
        <f t="shared" ca="1" si="5"/>
        <v>12</v>
      </c>
    </row>
    <row r="7" spans="1:11" x14ac:dyDescent="0.3">
      <c r="A7" s="151" t="s">
        <v>230</v>
      </c>
      <c r="B7" s="90" t="s">
        <v>42</v>
      </c>
      <c r="C7" s="46">
        <v>6</v>
      </c>
      <c r="D7" s="47">
        <f t="shared" ca="1" si="0"/>
        <v>12</v>
      </c>
      <c r="E7" s="46">
        <f t="shared" ca="1" si="3"/>
        <v>18</v>
      </c>
      <c r="G7" s="301" t="s">
        <v>225</v>
      </c>
      <c r="H7" s="90" t="s">
        <v>42</v>
      </c>
      <c r="I7" s="46">
        <v>2</v>
      </c>
      <c r="J7" s="47">
        <f t="shared" ca="1" si="4"/>
        <v>5</v>
      </c>
      <c r="K7" s="46">
        <f t="shared" ca="1" si="5"/>
        <v>7</v>
      </c>
    </row>
    <row r="8" spans="1:11" x14ac:dyDescent="0.3">
      <c r="A8" s="151"/>
      <c r="B8" s="90" t="s">
        <v>228</v>
      </c>
      <c r="C8" s="46"/>
      <c r="D8" s="47">
        <f t="shared" ca="1" si="0"/>
        <v>4</v>
      </c>
      <c r="E8" s="46">
        <f t="shared" ref="E8" ca="1" si="6">D8+C8</f>
        <v>4</v>
      </c>
      <c r="G8" s="175"/>
      <c r="H8" s="90" t="s">
        <v>170</v>
      </c>
      <c r="I8" s="46"/>
      <c r="J8" s="47">
        <f t="shared" ca="1" si="4"/>
        <v>4</v>
      </c>
      <c r="K8" s="46">
        <f t="shared" ca="1" si="5"/>
        <v>4</v>
      </c>
    </row>
    <row r="9" spans="1:11" x14ac:dyDescent="0.3">
      <c r="A9" s="150"/>
      <c r="B9" s="5"/>
      <c r="C9" s="44"/>
      <c r="D9" s="45">
        <f t="shared" ca="1" si="0"/>
        <v>1</v>
      </c>
      <c r="E9" s="44">
        <f t="shared" ca="1" si="3"/>
        <v>1</v>
      </c>
      <c r="G9" s="175"/>
      <c r="H9" s="90" t="s">
        <v>170</v>
      </c>
      <c r="I9" s="46"/>
      <c r="J9" s="47">
        <f t="shared" ca="1" si="4"/>
        <v>18</v>
      </c>
      <c r="K9" s="46">
        <f t="shared" ca="1" si="5"/>
        <v>18</v>
      </c>
    </row>
    <row r="10" spans="1:11" x14ac:dyDescent="0.3">
      <c r="A10" s="151"/>
      <c r="B10" s="90"/>
      <c r="C10" s="46"/>
      <c r="D10" s="47">
        <f t="shared" ca="1" si="0"/>
        <v>14</v>
      </c>
      <c r="E10" s="46">
        <f t="shared" ca="1" si="3"/>
        <v>14</v>
      </c>
      <c r="G10" s="175"/>
      <c r="H10" s="90" t="s">
        <v>42</v>
      </c>
      <c r="I10" s="46"/>
      <c r="J10" s="47">
        <f t="shared" ref="J10" ca="1" si="7">RANDBETWEEN(1,20)</f>
        <v>6</v>
      </c>
      <c r="K10" s="46">
        <f t="shared" ca="1" si="5"/>
        <v>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3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26.69921875" style="166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5.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16384" width="9.69921875" style="48"/>
  </cols>
  <sheetData>
    <row r="1" spans="1:28" s="16" customFormat="1" ht="32.4" thickTop="1" thickBot="1" x14ac:dyDescent="0.35">
      <c r="A1" s="163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100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</row>
    <row r="2" spans="1:28" ht="21" thickTop="1" x14ac:dyDescent="0.3">
      <c r="A2" s="164" t="s">
        <v>222</v>
      </c>
      <c r="B2" s="91">
        <v>11</v>
      </c>
      <c r="C2" s="315">
        <f>10+4</f>
        <v>14</v>
      </c>
      <c r="D2" s="314">
        <f>12+4</f>
        <v>16</v>
      </c>
      <c r="E2" s="96">
        <v>0</v>
      </c>
      <c r="F2" s="97" t="s">
        <v>62</v>
      </c>
      <c r="G2" s="98">
        <v>0</v>
      </c>
      <c r="H2" s="134"/>
      <c r="I2" s="100"/>
      <c r="J2" s="283"/>
      <c r="K2" s="172"/>
      <c r="L2" s="171"/>
      <c r="M2" s="136"/>
      <c r="N2" s="137"/>
      <c r="O2" s="162"/>
      <c r="P2" s="156" t="s">
        <v>95</v>
      </c>
      <c r="Q2" s="143" t="s">
        <v>95</v>
      </c>
      <c r="R2" s="138"/>
      <c r="S2" s="101"/>
      <c r="T2" s="102"/>
      <c r="U2" s="92"/>
      <c r="V2" s="93">
        <f t="shared" ref="V2:V6" si="0">SUM(H2:T2)</f>
        <v>0</v>
      </c>
      <c r="W2" s="103"/>
      <c r="X2" s="104"/>
      <c r="Y2" s="142"/>
      <c r="Z2" s="94">
        <v>18</v>
      </c>
      <c r="AA2" s="57">
        <f>SUM(Y2:Z2)-(V2+W2)</f>
        <v>18</v>
      </c>
      <c r="AB2" s="130">
        <f>SMALL(Z2:AA2,1)+X2</f>
        <v>18</v>
      </c>
    </row>
    <row r="3" spans="1:28" x14ac:dyDescent="0.3">
      <c r="A3" s="164" t="s">
        <v>108</v>
      </c>
      <c r="B3" s="91">
        <v>11</v>
      </c>
      <c r="C3" s="106">
        <v>14</v>
      </c>
      <c r="D3" s="95">
        <v>15</v>
      </c>
      <c r="E3" s="96">
        <v>0</v>
      </c>
      <c r="F3" s="97" t="s">
        <v>62</v>
      </c>
      <c r="G3" s="98">
        <v>0</v>
      </c>
      <c r="H3" s="134">
        <v>34</v>
      </c>
      <c r="I3" s="100"/>
      <c r="J3" s="283"/>
      <c r="K3" s="172"/>
      <c r="L3" s="171"/>
      <c r="M3" s="136"/>
      <c r="N3" s="137"/>
      <c r="O3" s="162"/>
      <c r="P3" s="156" t="s">
        <v>95</v>
      </c>
      <c r="Q3" s="173"/>
      <c r="R3" s="174" t="s">
        <v>95</v>
      </c>
      <c r="S3" s="101"/>
      <c r="T3" s="102"/>
      <c r="U3" s="92"/>
      <c r="V3" s="93">
        <f t="shared" ref="V3" si="1">SUM(H3:T3)</f>
        <v>34</v>
      </c>
      <c r="W3" s="103"/>
      <c r="X3" s="104"/>
      <c r="Y3" s="142">
        <v>18</v>
      </c>
      <c r="Z3" s="94">
        <v>42</v>
      </c>
      <c r="AA3" s="57">
        <f>SUM(Y3:Z3)-(V3+W3)</f>
        <v>26</v>
      </c>
      <c r="AB3" s="130">
        <f>SMALL(Z3:AA3,1)+X3</f>
        <v>26</v>
      </c>
    </row>
    <row r="4" spans="1:28" x14ac:dyDescent="0.3">
      <c r="A4" s="164" t="s">
        <v>198</v>
      </c>
      <c r="B4" s="91">
        <v>9</v>
      </c>
      <c r="C4" s="106">
        <v>10</v>
      </c>
      <c r="D4" s="95">
        <v>10</v>
      </c>
      <c r="E4" s="96">
        <v>0</v>
      </c>
      <c r="F4" s="97" t="s">
        <v>62</v>
      </c>
      <c r="G4" s="98">
        <v>0</v>
      </c>
      <c r="H4" s="134"/>
      <c r="I4" s="135"/>
      <c r="J4" s="283"/>
      <c r="K4" s="172"/>
      <c r="L4" s="171"/>
      <c r="M4" s="136"/>
      <c r="N4" s="137"/>
      <c r="O4" s="162"/>
      <c r="P4" s="156" t="s">
        <v>95</v>
      </c>
      <c r="Q4" s="173"/>
      <c r="R4" s="138"/>
      <c r="S4" s="139"/>
      <c r="T4" s="140"/>
      <c r="U4" s="92"/>
      <c r="V4" s="93">
        <f t="shared" ref="V4" si="2">SUM(H4:T4)</f>
        <v>0</v>
      </c>
      <c r="W4" s="141"/>
      <c r="X4" s="104"/>
      <c r="Y4" s="142"/>
      <c r="Z4" s="94">
        <v>39</v>
      </c>
      <c r="AA4" s="57">
        <f>SUM(Y4:Z4)-(V4+W4)</f>
        <v>39</v>
      </c>
      <c r="AB4" s="130">
        <f>SMALL(Z4:AA4,1)+X4</f>
        <v>39</v>
      </c>
    </row>
    <row r="5" spans="1:28" x14ac:dyDescent="0.3">
      <c r="A5" s="164" t="s">
        <v>106</v>
      </c>
      <c r="B5" s="91">
        <v>12</v>
      </c>
      <c r="C5" s="106">
        <v>16</v>
      </c>
      <c r="D5" s="95">
        <v>18</v>
      </c>
      <c r="E5" s="96">
        <v>0</v>
      </c>
      <c r="F5" s="97" t="s">
        <v>62</v>
      </c>
      <c r="G5" s="98">
        <v>0</v>
      </c>
      <c r="H5" s="134">
        <v>15</v>
      </c>
      <c r="I5" s="135"/>
      <c r="J5" s="283"/>
      <c r="K5" s="172"/>
      <c r="L5" s="171"/>
      <c r="M5" s="136"/>
      <c r="N5" s="137"/>
      <c r="O5" s="162"/>
      <c r="P5" s="156" t="s">
        <v>95</v>
      </c>
      <c r="Q5" s="143" t="s">
        <v>95</v>
      </c>
      <c r="R5" s="138"/>
      <c r="S5" s="139"/>
      <c r="T5" s="140"/>
      <c r="U5" s="92"/>
      <c r="V5" s="93">
        <f t="shared" ref="V5" si="3">SUM(H5:T5)</f>
        <v>15</v>
      </c>
      <c r="W5" s="141"/>
      <c r="X5" s="104"/>
      <c r="Y5" s="142"/>
      <c r="Z5" s="94">
        <f>36</f>
        <v>36</v>
      </c>
      <c r="AA5" s="57">
        <f t="shared" ref="AA5" si="4">SUM(Y5:Z5)-(V5+W5)</f>
        <v>21</v>
      </c>
      <c r="AB5" s="130">
        <f t="shared" ref="AB5" si="5">SMALL(Z5:AA5,1)+X5</f>
        <v>21</v>
      </c>
    </row>
    <row r="6" spans="1:28" x14ac:dyDescent="0.3">
      <c r="A6" s="164" t="s">
        <v>105</v>
      </c>
      <c r="B6" s="91">
        <v>11</v>
      </c>
      <c r="C6" s="106">
        <v>13</v>
      </c>
      <c r="D6" s="95">
        <v>15</v>
      </c>
      <c r="E6" s="96">
        <v>0</v>
      </c>
      <c r="F6" s="132" t="s">
        <v>62</v>
      </c>
      <c r="G6" s="133">
        <v>0</v>
      </c>
      <c r="H6" s="134">
        <v>12</v>
      </c>
      <c r="I6" s="135"/>
      <c r="J6" s="283"/>
      <c r="K6" s="172"/>
      <c r="L6" s="171"/>
      <c r="M6" s="136"/>
      <c r="N6" s="137"/>
      <c r="O6" s="162"/>
      <c r="P6" s="156" t="s">
        <v>95</v>
      </c>
      <c r="Q6" s="143" t="s">
        <v>95</v>
      </c>
      <c r="R6" s="138"/>
      <c r="S6" s="139"/>
      <c r="T6" s="140"/>
      <c r="U6" s="92"/>
      <c r="V6" s="93">
        <f t="shared" si="0"/>
        <v>12</v>
      </c>
      <c r="W6" s="141"/>
      <c r="X6" s="104"/>
      <c r="Y6" s="142"/>
      <c r="Z6" s="94">
        <v>36</v>
      </c>
      <c r="AA6" s="57">
        <f t="shared" ref="AA6" si="6">SUM(Y6:Z6)-(V6+W6)</f>
        <v>24</v>
      </c>
      <c r="AB6" s="130">
        <f t="shared" ref="AB6" si="7">SMALL(Z6:AA6,1)+X6</f>
        <v>24</v>
      </c>
    </row>
    <row r="7" spans="1:28" x14ac:dyDescent="0.3">
      <c r="A7" s="294" t="s">
        <v>210</v>
      </c>
      <c r="B7" s="91">
        <v>12</v>
      </c>
      <c r="C7" s="106">
        <v>12</v>
      </c>
      <c r="D7" s="95">
        <v>14</v>
      </c>
      <c r="E7" s="96">
        <v>0</v>
      </c>
      <c r="F7" s="132" t="s">
        <v>62</v>
      </c>
      <c r="G7" s="133">
        <v>0</v>
      </c>
      <c r="H7" s="134"/>
      <c r="I7" s="135"/>
      <c r="J7" s="283"/>
      <c r="K7" s="172"/>
      <c r="L7" s="171"/>
      <c r="M7" s="136"/>
      <c r="N7" s="137"/>
      <c r="O7" s="162"/>
      <c r="P7" s="156"/>
      <c r="Q7" s="143"/>
      <c r="R7" s="138"/>
      <c r="S7" s="139"/>
      <c r="T7" s="140"/>
      <c r="U7" s="92"/>
      <c r="V7" s="93">
        <f t="shared" ref="V7" si="8">SUM(H7:T7)</f>
        <v>0</v>
      </c>
      <c r="W7" s="141"/>
      <c r="X7" s="104"/>
      <c r="Y7" s="142"/>
      <c r="Z7" s="94">
        <v>18</v>
      </c>
      <c r="AA7" s="57">
        <f t="shared" ref="AA7" si="9">SUM(Y7:Z7)-(V7+W7)</f>
        <v>18</v>
      </c>
      <c r="AB7" s="130">
        <f t="shared" ref="AB7" si="10">SMALL(Z7:AA7,1)+X7</f>
        <v>18</v>
      </c>
    </row>
    <row r="8" spans="1:28" x14ac:dyDescent="0.3">
      <c r="A8" s="294" t="s">
        <v>223</v>
      </c>
      <c r="B8" s="91">
        <v>14</v>
      </c>
      <c r="C8" s="106">
        <v>15</v>
      </c>
      <c r="D8" s="95">
        <v>19</v>
      </c>
      <c r="E8" s="96">
        <v>0</v>
      </c>
      <c r="F8" s="132" t="s">
        <v>62</v>
      </c>
      <c r="G8" s="133">
        <v>0</v>
      </c>
      <c r="H8" s="134"/>
      <c r="I8" s="135"/>
      <c r="J8" s="283"/>
      <c r="K8" s="172"/>
      <c r="L8" s="171"/>
      <c r="M8" s="136"/>
      <c r="N8" s="137"/>
      <c r="O8" s="162"/>
      <c r="P8" s="156"/>
      <c r="Q8" s="143"/>
      <c r="R8" s="303"/>
      <c r="S8" s="139"/>
      <c r="T8" s="140"/>
      <c r="U8" s="92"/>
      <c r="V8" s="93">
        <f t="shared" ref="V8" si="11">SUM(H8:T8)</f>
        <v>0</v>
      </c>
      <c r="W8" s="141"/>
      <c r="X8" s="104"/>
      <c r="Y8" s="142"/>
      <c r="Z8" s="94">
        <v>23</v>
      </c>
      <c r="AA8" s="57">
        <f t="shared" ref="AA8" si="12">SUM(Y8:Z8)-(V8+W8)</f>
        <v>23</v>
      </c>
      <c r="AB8" s="130">
        <f t="shared" ref="AB8" si="13">SMALL(Z8:AA8,1)+X8</f>
        <v>23</v>
      </c>
    </row>
    <row r="9" spans="1:28" x14ac:dyDescent="0.3">
      <c r="A9" s="165" t="s">
        <v>248</v>
      </c>
      <c r="B9" s="91">
        <v>12</v>
      </c>
      <c r="C9" s="106">
        <v>14</v>
      </c>
      <c r="D9" s="95">
        <v>16</v>
      </c>
      <c r="E9" s="96">
        <v>0</v>
      </c>
      <c r="F9" s="132" t="s">
        <v>62</v>
      </c>
      <c r="G9" s="133">
        <v>0</v>
      </c>
      <c r="H9" s="99"/>
      <c r="I9" s="100"/>
      <c r="J9" s="283"/>
      <c r="K9" s="172"/>
      <c r="L9" s="171"/>
      <c r="M9" s="136"/>
      <c r="N9" s="137"/>
      <c r="O9" s="162"/>
      <c r="P9" s="156"/>
      <c r="Q9" s="143"/>
      <c r="R9" s="303"/>
      <c r="S9" s="101"/>
      <c r="T9" s="102"/>
      <c r="U9" s="92"/>
      <c r="V9" s="93">
        <f t="shared" ref="V9" si="14">SUM(H9:T9)</f>
        <v>0</v>
      </c>
      <c r="W9" s="141"/>
      <c r="X9" s="104"/>
      <c r="Y9" s="105"/>
      <c r="Z9" s="94">
        <v>44</v>
      </c>
      <c r="AA9" s="57">
        <f t="shared" ref="AA9" si="15">SUM(Y9:Z9)-(V9+W9)</f>
        <v>44</v>
      </c>
      <c r="AB9" s="130">
        <f t="shared" ref="AB9" si="16">SMALL(Z9:AA9,1)+X9</f>
        <v>44</v>
      </c>
    </row>
    <row r="10" spans="1:28" x14ac:dyDescent="0.3">
      <c r="A10" s="165" t="s">
        <v>249</v>
      </c>
      <c r="B10" s="91">
        <v>12</v>
      </c>
      <c r="C10" s="106">
        <v>14</v>
      </c>
      <c r="D10" s="95">
        <v>16</v>
      </c>
      <c r="E10" s="96">
        <v>0</v>
      </c>
      <c r="F10" s="132" t="s">
        <v>62</v>
      </c>
      <c r="G10" s="133">
        <v>0</v>
      </c>
      <c r="H10" s="99"/>
      <c r="I10" s="100"/>
      <c r="J10" s="283"/>
      <c r="K10" s="172"/>
      <c r="L10" s="171"/>
      <c r="M10" s="136"/>
      <c r="N10" s="137"/>
      <c r="O10" s="162"/>
      <c r="P10" s="156"/>
      <c r="Q10" s="143"/>
      <c r="R10" s="303"/>
      <c r="S10" s="101"/>
      <c r="T10" s="102">
        <v>12</v>
      </c>
      <c r="U10" s="92"/>
      <c r="V10" s="93">
        <f t="shared" ref="V10:V12" si="17">SUM(H10:T10)</f>
        <v>12</v>
      </c>
      <c r="W10" s="141"/>
      <c r="X10" s="104"/>
      <c r="Y10" s="105"/>
      <c r="Z10" s="94">
        <v>44</v>
      </c>
      <c r="AA10" s="57">
        <f t="shared" ref="AA10:AA12" si="18">SUM(Y10:Z10)-(V10+W10)</f>
        <v>32</v>
      </c>
      <c r="AB10" s="130">
        <f t="shared" ref="AB10:AB12" si="19">SMALL(Z10:AA10,1)+X10</f>
        <v>32</v>
      </c>
    </row>
    <row r="11" spans="1:28" x14ac:dyDescent="0.3">
      <c r="A11" s="165" t="s">
        <v>250</v>
      </c>
      <c r="B11" s="91">
        <v>12</v>
      </c>
      <c r="C11" s="106">
        <v>14</v>
      </c>
      <c r="D11" s="95">
        <v>16</v>
      </c>
      <c r="E11" s="96">
        <v>0</v>
      </c>
      <c r="F11" s="132" t="s">
        <v>62</v>
      </c>
      <c r="G11" s="133">
        <v>0</v>
      </c>
      <c r="H11" s="99">
        <v>12</v>
      </c>
      <c r="I11" s="100">
        <v>13</v>
      </c>
      <c r="J11" s="283"/>
      <c r="K11" s="172"/>
      <c r="L11" s="171"/>
      <c r="M11" s="136"/>
      <c r="N11" s="137"/>
      <c r="O11" s="162"/>
      <c r="P11" s="156"/>
      <c r="Q11" s="143"/>
      <c r="R11" s="303"/>
      <c r="S11" s="101"/>
      <c r="T11" s="102"/>
      <c r="U11" s="92"/>
      <c r="V11" s="93">
        <f t="shared" si="17"/>
        <v>25</v>
      </c>
      <c r="W11" s="141"/>
      <c r="X11" s="104"/>
      <c r="Y11" s="105"/>
      <c r="Z11" s="94">
        <v>44</v>
      </c>
      <c r="AA11" s="57">
        <f t="shared" si="18"/>
        <v>19</v>
      </c>
      <c r="AB11" s="130">
        <f t="shared" si="19"/>
        <v>19</v>
      </c>
    </row>
    <row r="12" spans="1:28" x14ac:dyDescent="0.3">
      <c r="A12" s="165" t="s">
        <v>251</v>
      </c>
      <c r="B12" s="91">
        <v>12</v>
      </c>
      <c r="C12" s="106">
        <v>14</v>
      </c>
      <c r="D12" s="95">
        <v>16</v>
      </c>
      <c r="E12" s="96">
        <v>0</v>
      </c>
      <c r="F12" s="132" t="s">
        <v>62</v>
      </c>
      <c r="G12" s="133">
        <v>0</v>
      </c>
      <c r="H12" s="99"/>
      <c r="I12" s="100"/>
      <c r="J12" s="283"/>
      <c r="K12" s="172"/>
      <c r="L12" s="171"/>
      <c r="M12" s="136"/>
      <c r="N12" s="137"/>
      <c r="O12" s="162"/>
      <c r="P12" s="156"/>
      <c r="Q12" s="143"/>
      <c r="R12" s="303"/>
      <c r="S12" s="101"/>
      <c r="T12" s="102"/>
      <c r="U12" s="92"/>
      <c r="V12" s="93">
        <f t="shared" si="17"/>
        <v>0</v>
      </c>
      <c r="W12" s="141"/>
      <c r="X12" s="104"/>
      <c r="Y12" s="105"/>
      <c r="Z12" s="94">
        <v>44</v>
      </c>
      <c r="AA12" s="57">
        <f t="shared" si="18"/>
        <v>44</v>
      </c>
      <c r="AB12" s="130">
        <f t="shared" si="19"/>
        <v>44</v>
      </c>
    </row>
    <row r="13" spans="1:28" x14ac:dyDescent="0.3">
      <c r="A13" s="165" t="s">
        <v>252</v>
      </c>
      <c r="B13" s="91">
        <v>13</v>
      </c>
      <c r="C13" s="106">
        <v>15</v>
      </c>
      <c r="D13" s="95">
        <v>18</v>
      </c>
      <c r="E13" s="96">
        <v>0</v>
      </c>
      <c r="F13" s="132" t="s">
        <v>62</v>
      </c>
      <c r="G13" s="133">
        <v>0</v>
      </c>
      <c r="H13" s="99"/>
      <c r="I13" s="100"/>
      <c r="J13" s="283"/>
      <c r="K13" s="172"/>
      <c r="L13" s="171"/>
      <c r="M13" s="136"/>
      <c r="N13" s="137"/>
      <c r="O13" s="162"/>
      <c r="P13" s="156"/>
      <c r="Q13" s="143"/>
      <c r="R13" s="303"/>
      <c r="S13" s="101"/>
      <c r="T13" s="102"/>
      <c r="U13" s="92"/>
      <c r="V13" s="93">
        <f t="shared" ref="V13" si="20">SUM(H13:T13)</f>
        <v>0</v>
      </c>
      <c r="W13" s="141"/>
      <c r="X13" s="104"/>
      <c r="Y13" s="105"/>
      <c r="Z13" s="94">
        <v>47</v>
      </c>
      <c r="AA13" s="57">
        <f t="shared" ref="AA13" si="21">SUM(Y13:Z13)-(V13+W13)</f>
        <v>47</v>
      </c>
      <c r="AB13" s="130">
        <f t="shared" ref="AB13" si="22">SMALL(Z13:AA13,1)+X13</f>
        <v>47</v>
      </c>
    </row>
  </sheetData>
  <conditionalFormatting sqref="AB2:AB13">
    <cfRule type="cellIs" dxfId="1" priority="1" stopIfTrue="1" operator="lessThan">
      <formula>0.5</formula>
    </cfRule>
    <cfRule type="cellIs" dxfId="0" priority="2" operator="lessThan">
      <formula>0.5*Z2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13" width="4.3984375" style="5" customWidth="1"/>
    <col min="14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67" t="s">
        <v>11</v>
      </c>
      <c r="I1" s="167" t="s">
        <v>101</v>
      </c>
      <c r="J1" s="167" t="s">
        <v>102</v>
      </c>
      <c r="K1" s="167" t="s">
        <v>103</v>
      </c>
      <c r="L1" s="4" t="s">
        <v>104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8</v>
      </c>
      <c r="H2" s="168">
        <f ca="1">RANDBETWEEN(1,3)+RANDBETWEEN(1,3)+RANDBETWEEN(1,3)+RANDBETWEEN(1,3)+RANDBETWEEN(1,3)+RANDBETWEEN(1,3)</f>
        <v>8</v>
      </c>
      <c r="I2" s="168">
        <f ca="1">RANDBETWEEN(1,3)+RANDBETWEEN(1,3)+RANDBETWEEN(1,3)+RANDBETWEEN(1,3)+RANDBETWEEN(1,3)+RANDBETWEEN(1,3)+RANDBETWEEN(1,3)</f>
        <v>12</v>
      </c>
      <c r="J2" s="168">
        <f ca="1">RANDBETWEEN(1,3)+RANDBETWEEN(1,3)+RANDBETWEEN(1,3)+RANDBETWEEN(1,3)+RANDBETWEEN(1,3)+RANDBETWEEN(1,3)+RANDBETWEEN(1,3)+RANDBETWEEN(1,3)</f>
        <v>13</v>
      </c>
      <c r="K2" s="168">
        <f ca="1">RANDBETWEEN(1,3)+RANDBETWEEN(1,3)+RANDBETWEEN(1,3)+RANDBETWEEN(1,3)+RANDBETWEEN(1,3)+RANDBETWEEN(1,3)+RANDBETWEEN(1,3)+RANDBETWEEN(1,3)+RANDBETWEEN(1,3)</f>
        <v>15</v>
      </c>
      <c r="L2" s="8">
        <f ca="1">RANDBETWEEN(1,3)+RANDBETWEEN(1,3)+RANDBETWEEN(1,3)+RANDBETWEEN(1,3)+RANDBETWEEN(1,3)+RANDBETWEEN(1,3)+RANDBETWEEN(1,3)+RANDBETWEEN(1,3)+RANDBETWEEN(1,3)+RANDBETWEEN(1,3)</f>
        <v>21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2</v>
      </c>
      <c r="D3" s="10">
        <f ca="1">RANDBETWEEN(1,4)+RANDBETWEEN(1,4)</f>
        <v>8</v>
      </c>
      <c r="E3" s="10">
        <f ca="1">RANDBETWEEN(1,4)+RANDBETWEEN(1,4)+RANDBETWEEN(1,4)</f>
        <v>5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12</v>
      </c>
      <c r="H3" s="169">
        <f ca="1">RANDBETWEEN(1,4)+RANDBETWEEN(1,4)+RANDBETWEEN(1,4)+RANDBETWEEN(1,4)+RANDBETWEEN(1,4)+RANDBETWEEN(1,4)</f>
        <v>13</v>
      </c>
      <c r="I3" s="169">
        <f ca="1">RANDBETWEEN(1,4)+RANDBETWEEN(1,4)+RANDBETWEEN(1,4)+RANDBETWEEN(1,4)+RANDBETWEEN(1,4)+RANDBETWEEN(1,4)+RANDBETWEEN(1,4)</f>
        <v>20</v>
      </c>
      <c r="J3" s="169">
        <f ca="1">RANDBETWEEN(1,4)+RANDBETWEEN(1,4)+RANDBETWEEN(1,4)+RANDBETWEEN(1,4)+RANDBETWEEN(1,4)+RANDBETWEEN(1,4)+RANDBETWEEN(1,4)+RANDBETWEEN(1,4)</f>
        <v>21</v>
      </c>
      <c r="K3" s="169">
        <f ca="1">RANDBETWEEN(1,4)+RANDBETWEEN(1,4)+RANDBETWEEN(1,4)+RANDBETWEEN(1,4)+RANDBETWEEN(1,4)+RANDBETWEEN(1,4)+RANDBETWEEN(1,4)+RANDBETWEEN(1,4)+RANDBETWEEN(1,4)</f>
        <v>23</v>
      </c>
      <c r="L3" s="11">
        <f ca="1">RANDBETWEEN(1,4)+RANDBETWEEN(1,4)+RANDBETWEEN(1,4)+RANDBETWEEN(1,4)+RANDBETWEEN(1,4)+RANDBETWEEN(1,4)+RANDBETWEEN(1,4)+RANDBETWEEN(1,4)+RANDBETWEEN(1,4)+RANDBETWEEN(1,4)</f>
        <v>26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3</v>
      </c>
      <c r="D4" s="10">
        <f ca="1">RANDBETWEEN(1,6)+RANDBETWEEN(1,6)</f>
        <v>6</v>
      </c>
      <c r="E4" s="10">
        <f ca="1">RANDBETWEEN(1,6)+RANDBETWEEN(1,6)+RANDBETWEEN(1,6)</f>
        <v>9</v>
      </c>
      <c r="F4" s="10">
        <f ca="1">RANDBETWEEN(1,6)+RANDBETWEEN(1,6)+RANDBETWEEN(1,6)+RANDBETWEEN(1,6)</f>
        <v>17</v>
      </c>
      <c r="G4" s="10">
        <f ca="1">RANDBETWEEN(1,6)+RANDBETWEEN(1,6)+RANDBETWEEN(1,6)+RANDBETWEEN(1,6)+RANDBETWEEN(1,6)</f>
        <v>14</v>
      </c>
      <c r="H4" s="169">
        <f ca="1">RANDBETWEEN(1,6)+RANDBETWEEN(1,6)+RANDBETWEEN(1,6)+RANDBETWEEN(1,6)+RANDBETWEEN(1,6)+RANDBETWEEN(1,6)</f>
        <v>25</v>
      </c>
      <c r="I4" s="169">
        <f ca="1">RANDBETWEEN(1,6)+RANDBETWEEN(1,6)+RANDBETWEEN(1,6)+RANDBETWEEN(1,6)+RANDBETWEEN(1,6)+RANDBETWEEN(1,6)+RANDBETWEEN(1,6)</f>
        <v>24</v>
      </c>
      <c r="J4" s="169">
        <f ca="1">RANDBETWEEN(1,6)+RANDBETWEEN(1,6)+RANDBETWEEN(1,6)+RANDBETWEEN(1,6)+RANDBETWEEN(1,6)+RANDBETWEEN(1,6)+RANDBETWEEN(1,6)+RANDBETWEEN(1,6)</f>
        <v>26</v>
      </c>
      <c r="K4" s="169">
        <f ca="1">RANDBETWEEN(1,6)+RANDBETWEEN(1,6)+RANDBETWEEN(1,6)+RANDBETWEEN(1,6)+RANDBETWEEN(1,6)+RANDBETWEEN(1,6)+RANDBETWEEN(1,6)+RANDBETWEEN(1,6)+RANDBETWEEN(1,6)</f>
        <v>32</v>
      </c>
      <c r="L4" s="11">
        <f ca="1">RANDBETWEEN(1,6)+RANDBETWEEN(1,6)+RANDBETWEEN(1,6)+RANDBETWEEN(1,6)+RANDBETWEEN(1,6)+RANDBETWEEN(1,6)+RANDBETWEEN(1,6)+RANDBETWEEN(1,6)+RANDBETWEEN(1,6)+RANDBETWEEN(1,6)</f>
        <v>26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5</v>
      </c>
      <c r="D5" s="10">
        <f ca="1">RANDBETWEEN(1,8)+RANDBETWEEN(1,8)</f>
        <v>10</v>
      </c>
      <c r="E5" s="10">
        <f ca="1">RANDBETWEEN(1,8)+RANDBETWEEN(1,8)+RANDBETWEEN(1,8)</f>
        <v>16</v>
      </c>
      <c r="F5" s="10">
        <f ca="1">RANDBETWEEN(1,8)+RANDBETWEEN(1,8)+RANDBETWEEN(1,8)+RANDBETWEEN(1,8)</f>
        <v>23</v>
      </c>
      <c r="G5" s="10">
        <f ca="1">RANDBETWEEN(1,8)+RANDBETWEEN(1,8)+RANDBETWEEN(1,8)+RANDBETWEEN(1,8)+RANDBETWEEN(1,8)</f>
        <v>18</v>
      </c>
      <c r="H5" s="169">
        <f ca="1">RANDBETWEEN(1,8)+RANDBETWEEN(1,8)+RANDBETWEEN(1,8)+RANDBETWEEN(1,8)+RANDBETWEEN(1,8)+RANDBETWEEN(1,8)</f>
        <v>32</v>
      </c>
      <c r="I5" s="169">
        <f ca="1">RANDBETWEEN(1,8)+RANDBETWEEN(1,8)+RANDBETWEEN(1,8)+RANDBETWEEN(1,8)+RANDBETWEEN(1,8)+RANDBETWEEN(1,8)+RANDBETWEEN(1,8)</f>
        <v>21</v>
      </c>
      <c r="J5" s="169">
        <f ca="1">RANDBETWEEN(1,8)+RANDBETWEEN(1,8)+RANDBETWEEN(1,8)+RANDBETWEEN(1,8)+RANDBETWEEN(1,8)+RANDBETWEEN(1,8)+RANDBETWEEN(1,8)+RANDBETWEEN(1,8)</f>
        <v>36</v>
      </c>
      <c r="K5" s="169">
        <f ca="1">RANDBETWEEN(1,8)+RANDBETWEEN(1,8)+RANDBETWEEN(1,8)+RANDBETWEEN(1,8)+RANDBETWEEN(1,8)+RANDBETWEEN(1,8)+RANDBETWEEN(1,8)+RANDBETWEEN(1,8)+RANDBETWEEN(1,8)</f>
        <v>39</v>
      </c>
      <c r="L5" s="11">
        <f ca="1">RANDBETWEEN(1,8)+RANDBETWEEN(1,8)+RANDBETWEEN(1,8)+RANDBETWEEN(1,8)+RANDBETWEEN(1,8)+RANDBETWEEN(1,8)+RANDBETWEEN(1,8)+RANDBETWEEN(1,8)+RANDBETWEEN(1,8)+RANDBETWEEN(1,8)</f>
        <v>46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7</v>
      </c>
      <c r="D6" s="10">
        <f ca="1">RANDBETWEEN(1,10)+RANDBETWEEN(1,10)</f>
        <v>10</v>
      </c>
      <c r="E6" s="10">
        <f ca="1">RANDBETWEEN(1,10)+RANDBETWEEN(1,10)+RANDBETWEEN(1,10)</f>
        <v>16</v>
      </c>
      <c r="F6" s="10">
        <f ca="1">RANDBETWEEN(1,10)+RANDBETWEEN(1,10)+RANDBETWEEN(1,10)+RANDBETWEEN(1,10)</f>
        <v>33</v>
      </c>
      <c r="G6" s="10">
        <f ca="1">RANDBETWEEN(1,10)+RANDBETWEEN(1,10)+RANDBETWEEN(1,10)+RANDBETWEEN(1,10)+RANDBETWEEN(1,10)</f>
        <v>16</v>
      </c>
      <c r="H6" s="169">
        <f ca="1">RANDBETWEEN(1,10)+RANDBETWEEN(1,10)+RANDBETWEEN(1,10)+RANDBETWEEN(1,10)+RANDBETWEEN(1,10)+RANDBETWEEN(1,10)</f>
        <v>35</v>
      </c>
      <c r="I6" s="169">
        <f ca="1">RANDBETWEEN(1,10)+RANDBETWEEN(1,10)+RANDBETWEEN(1,10)+RANDBETWEEN(1,10)+RANDBETWEEN(1,10)+RANDBETWEEN(1,10)+RANDBETWEEN(1,10)</f>
        <v>37</v>
      </c>
      <c r="J6" s="169">
        <f ca="1">RANDBETWEEN(1,10)+RANDBETWEEN(1,10)+RANDBETWEEN(1,10)+RANDBETWEEN(1,10)+RANDBETWEEN(1,10)+RANDBETWEEN(1,10)+RANDBETWEEN(1,10)+RANDBETWEEN(1,10)</f>
        <v>48</v>
      </c>
      <c r="K6" s="169">
        <f ca="1">RANDBETWEEN(1,10)+RANDBETWEEN(1,10)+RANDBETWEEN(1,10)+RANDBETWEEN(1,10)+RANDBETWEEN(1,10)+RANDBETWEEN(1,10)+RANDBETWEEN(1,10)+RANDBETWEEN(1,10)+RANDBETWEEN(1,10)</f>
        <v>40</v>
      </c>
      <c r="L6" s="11">
        <f ca="1">RANDBETWEEN(1,10)+RANDBETWEEN(1,10)+RANDBETWEEN(1,10)+RANDBETWEEN(1,10)+RANDBETWEEN(1,10)+RANDBETWEEN(1,10)+RANDBETWEEN(1,10)+RANDBETWEEN(1,10)+RANDBETWEEN(1,10)+RANDBETWEEN(1,10)</f>
        <v>52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11</v>
      </c>
      <c r="D7" s="10">
        <f ca="1">RANDBETWEEN(1,12)+RANDBETWEEN(1,12)</f>
        <v>12</v>
      </c>
      <c r="E7" s="10">
        <f ca="1">RANDBETWEEN(1,12)+RANDBETWEEN(1,12)+RANDBETWEEN(1,12)</f>
        <v>17</v>
      </c>
      <c r="F7" s="10">
        <f ca="1">RANDBETWEEN(1,12)+RANDBETWEEN(1,12)+RANDBETWEEN(1,12)+RANDBETWEEN(1,12)</f>
        <v>22</v>
      </c>
      <c r="G7" s="10">
        <f ca="1">RANDBETWEEN(1,12)+RANDBETWEEN(1,12)+RANDBETWEEN(1,12)+RANDBETWEEN(1,12)+RANDBETWEEN(1,12)</f>
        <v>25</v>
      </c>
      <c r="H7" s="169">
        <f ca="1">RANDBETWEEN(1,12)+RANDBETWEEN(1,12)+RANDBETWEEN(1,12)+RANDBETWEEN(1,12)+RANDBETWEEN(1,12)+RANDBETWEEN(1,12)</f>
        <v>31</v>
      </c>
      <c r="I7" s="169">
        <f ca="1">RANDBETWEEN(1,12)+RANDBETWEEN(1,12)+RANDBETWEEN(1,12)+RANDBETWEEN(1,12)+RANDBETWEEN(1,12)+RANDBETWEEN(1,12)+RANDBETWEEN(1,12)</f>
        <v>54</v>
      </c>
      <c r="J7" s="169">
        <f ca="1">RANDBETWEEN(1,12)+RANDBETWEEN(1,12)+RANDBETWEEN(1,12)+RANDBETWEEN(1,12)+RANDBETWEEN(1,12)+RANDBETWEEN(1,12)+RANDBETWEEN(1,12)+RANDBETWEEN(1,12)</f>
        <v>38</v>
      </c>
      <c r="K7" s="169">
        <f ca="1">RANDBETWEEN(1,12)+RANDBETWEEN(1,12)+RANDBETWEEN(1,12)+RANDBETWEEN(1,12)+RANDBETWEEN(1,12)+RANDBETWEEN(1,12)+RANDBETWEEN(1,12)+RANDBETWEEN(1,12)+RANDBETWEEN(1,12)</f>
        <v>67</v>
      </c>
      <c r="L7" s="11">
        <f ca="1">RANDBETWEEN(1,12)+RANDBETWEEN(1,12)+RANDBETWEEN(1,12)+RANDBETWEEN(1,12)+RANDBETWEEN(1,12)+RANDBETWEEN(1,12)+RANDBETWEEN(1,12)+RANDBETWEEN(1,12)+RANDBETWEEN(1,12)+RANDBETWEEN(1,12)</f>
        <v>54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8</v>
      </c>
      <c r="D8" s="10">
        <f ca="1">RANDBETWEEN(1,20)+RANDBETWEEN(1,20)</f>
        <v>19</v>
      </c>
      <c r="E8" s="10">
        <f ca="1">RANDBETWEEN(1,20)+RANDBETWEEN(1,20)+RANDBETWEEN(1,20)</f>
        <v>35</v>
      </c>
      <c r="F8" s="10">
        <f ca="1">RANDBETWEEN(1,20)+RANDBETWEEN(1,20)+RANDBETWEEN(1,20)+RANDBETWEEN(1,20)</f>
        <v>57</v>
      </c>
      <c r="G8" s="10">
        <f ca="1">RANDBETWEEN(1,20)+RANDBETWEEN(1,20)+RANDBETWEEN(1,20)+RANDBETWEEN(1,20)+RANDBETWEEN(1,20)</f>
        <v>33</v>
      </c>
      <c r="H8" s="169">
        <f ca="1">RANDBETWEEN(1,20)+RANDBETWEEN(1,20)+RANDBETWEEN(1,20)+RANDBETWEEN(1,20)+RANDBETWEEN(1,20)+RANDBETWEEN(1,20)</f>
        <v>90</v>
      </c>
      <c r="I8" s="169">
        <f ca="1">RANDBETWEEN(1,20)+RANDBETWEEN(1,20)+RANDBETWEEN(1,20)+RANDBETWEEN(1,20)+RANDBETWEEN(1,20)+RANDBETWEEN(1,20)+RANDBETWEEN(1,20)</f>
        <v>60</v>
      </c>
      <c r="J8" s="169">
        <f ca="1">RANDBETWEEN(1,20)+RANDBETWEEN(1,20)+RANDBETWEEN(1,20)+RANDBETWEEN(1,20)+RANDBETWEEN(1,20)+RANDBETWEEN(1,20)+RANDBETWEEN(1,20)+RANDBETWEEN(1,20)</f>
        <v>89</v>
      </c>
      <c r="K8" s="169">
        <f ca="1">RANDBETWEEN(1,20)+RANDBETWEEN(1,20)+RANDBETWEEN(1,20)+RANDBETWEEN(1,20)+RANDBETWEEN(1,20)+RANDBETWEEN(1,20)+RANDBETWEEN(1,20)+RANDBETWEEN(1,20)+RANDBETWEEN(1,20)</f>
        <v>73</v>
      </c>
      <c r="L8" s="11">
        <f ca="1">RANDBETWEEN(1,20)+RANDBETWEEN(1,20)+RANDBETWEEN(1,20)+RANDBETWEEN(1,20)+RANDBETWEEN(1,20)+RANDBETWEEN(1,20)+RANDBETWEEN(1,20)+RANDBETWEEN(1,20)+RANDBETWEEN(1,20)+RANDBETWEEN(1,20)</f>
        <v>111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31</v>
      </c>
      <c r="D9" s="13">
        <f ca="1">RANDBETWEEN(1,100)+RANDBETWEEN(1,100)</f>
        <v>127</v>
      </c>
      <c r="E9" s="13">
        <f ca="1">RANDBETWEEN(1,100)+RANDBETWEEN(1,100)+RANDBETWEEN(1,100)</f>
        <v>114</v>
      </c>
      <c r="F9" s="13">
        <f ca="1">RANDBETWEEN(1,100)+RANDBETWEEN(1,100)+RANDBETWEEN(1,100)+RANDBETWEEN(1,100)</f>
        <v>276</v>
      </c>
      <c r="G9" s="13">
        <f ca="1">RANDBETWEEN(1,100)+RANDBETWEEN(1,100)+RANDBETWEEN(1,100)+RANDBETWEEN(1,100)+RANDBETWEEN(1,100)</f>
        <v>255</v>
      </c>
      <c r="H9" s="170">
        <f ca="1">RANDBETWEEN(1,100)+RANDBETWEEN(1,100)+RANDBETWEEN(1,100)+RANDBETWEEN(1,100)+RANDBETWEEN(1,100)+RANDBETWEEN(1,100)</f>
        <v>289</v>
      </c>
      <c r="I9" s="170">
        <f ca="1">RANDBETWEEN(1,100)+RANDBETWEEN(1,100)+RANDBETWEEN(1,100)+RANDBETWEEN(1,100)+RANDBETWEEN(1,100)+RANDBETWEEN(1,100)+RANDBETWEEN(1,100)</f>
        <v>361</v>
      </c>
      <c r="J9" s="170">
        <f ca="1">RANDBETWEEN(1,100)+RANDBETWEEN(1,100)+RANDBETWEEN(1,100)+RANDBETWEEN(1,100)+RANDBETWEEN(1,100)+RANDBETWEEN(1,100)+RANDBETWEEN(1,100)+RANDBETWEEN(1,100)</f>
        <v>292</v>
      </c>
      <c r="K9" s="170">
        <f ca="1">RANDBETWEEN(1,100)+RANDBETWEEN(1,100)+RANDBETWEEN(1,100)+RANDBETWEEN(1,100)+RANDBETWEEN(1,100)+RANDBETWEEN(1,100)+RANDBETWEEN(1,100)+RANDBETWEEN(1,100)+RANDBETWEEN(1,100)</f>
        <v>473</v>
      </c>
      <c r="L9" s="14">
        <f ca="1">RANDBETWEEN(1,100)+RANDBETWEEN(1,100)+RANDBETWEEN(1,100)+RANDBETWEEN(1,100)+RANDBETWEEN(1,100)+RANDBETWEEN(1,100)+RANDBETWEEN(1,100)+RANDBETWEEN(1,100)+RANDBETWEEN(1,100)+RANDBETWEEN(1,100)</f>
        <v>475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Initiative</vt:lpstr>
      <vt:lpstr>Members</vt:lpstr>
      <vt:lpstr>Skills</vt:lpstr>
      <vt:lpstr>Spells</vt:lpstr>
      <vt:lpstr>Attacks</vt:lpstr>
      <vt:lpstr>Saves</vt:lpstr>
      <vt:lpstr>hps</vt:lpstr>
      <vt:lpstr>Rolls</vt:lpstr>
      <vt:lpstr>Skills!Print_Area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2023-03-22T11:45:50Z</cp:lastPrinted>
  <dcterms:created xsi:type="dcterms:W3CDTF">2014-01-30T16:13:23Z</dcterms:created>
  <dcterms:modified xsi:type="dcterms:W3CDTF">2024-05-14T18:51:05Z</dcterms:modified>
</cp:coreProperties>
</file>