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Used\Battle Tallies\"/>
    </mc:Choice>
  </mc:AlternateContent>
  <xr:revisionPtr revIDLastSave="0" documentId="8_{115D477E-AAB1-4A8A-A2B3-A03E823F6D24}" xr6:coauthVersionLast="47" xr6:coauthVersionMax="47" xr10:uidLastSave="{00000000-0000-0000-0000-000000000000}"/>
  <bookViews>
    <workbookView xWindow="-108" yWindow="-108" windowWidth="23256" windowHeight="13176" tabRatio="494" activeTab="6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0" l="1"/>
  <c r="K10" i="10" s="1"/>
  <c r="M10" i="10" s="1"/>
  <c r="J11" i="10"/>
  <c r="K11" i="10"/>
  <c r="M11" i="10"/>
  <c r="J12" i="10"/>
  <c r="K12" i="10"/>
  <c r="M12" i="10" s="1"/>
  <c r="J13" i="10"/>
  <c r="K13" i="10"/>
  <c r="M13" i="10" s="1"/>
  <c r="J14" i="10"/>
  <c r="K14" i="10"/>
  <c r="M14" i="10"/>
  <c r="J15" i="10"/>
  <c r="K15" i="10"/>
  <c r="M15" i="10"/>
  <c r="J16" i="10"/>
  <c r="K16" i="10" s="1"/>
  <c r="M16" i="10"/>
  <c r="J17" i="10"/>
  <c r="K17" i="10" s="1"/>
  <c r="M17" i="10" s="1"/>
  <c r="J18" i="10"/>
  <c r="K18" i="10" s="1"/>
  <c r="M18" i="10"/>
  <c r="J15" i="9"/>
  <c r="J16" i="9"/>
  <c r="J17" i="9"/>
  <c r="M3" i="10"/>
  <c r="J3" i="10"/>
  <c r="K3" i="10" s="1"/>
  <c r="M6" i="10"/>
  <c r="J6" i="10"/>
  <c r="K6" i="10" s="1"/>
  <c r="J9" i="10"/>
  <c r="K9" i="10" s="1"/>
  <c r="M9" i="10" s="1"/>
  <c r="D9" i="1"/>
  <c r="E4" i="1" l="1"/>
  <c r="E2" i="1"/>
  <c r="E3" i="1"/>
  <c r="E5" i="1"/>
  <c r="D9" i="5" l="1"/>
  <c r="B9" i="5"/>
  <c r="D23" i="10"/>
  <c r="I29" i="1" l="1"/>
  <c r="I28" i="1"/>
  <c r="I30" i="1" s="1"/>
  <c r="I31" i="1" s="1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Z19" i="5"/>
  <c r="Z18" i="5"/>
  <c r="Z17" i="5"/>
  <c r="Z16" i="5"/>
  <c r="Z15" i="5"/>
  <c r="Z14" i="5"/>
  <c r="Z13" i="5"/>
  <c r="Z12" i="5"/>
  <c r="Z11" i="5"/>
  <c r="Z10" i="5"/>
  <c r="Z9" i="5"/>
  <c r="Z8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C9" i="5"/>
  <c r="D8" i="5"/>
  <c r="C8" i="5"/>
  <c r="B8" i="5"/>
  <c r="M4" i="13"/>
  <c r="L4" i="13"/>
  <c r="K4" i="13"/>
  <c r="J4" i="13"/>
  <c r="I4" i="13"/>
  <c r="H4" i="13"/>
  <c r="M3" i="13"/>
  <c r="L3" i="13"/>
  <c r="K3" i="13"/>
  <c r="J3" i="13"/>
  <c r="I3" i="13"/>
  <c r="H3" i="13"/>
  <c r="M2" i="13"/>
  <c r="L2" i="13"/>
  <c r="K2" i="13"/>
  <c r="J2" i="13"/>
  <c r="I2" i="13"/>
  <c r="H2" i="13"/>
  <c r="M1" i="13"/>
  <c r="L1" i="13"/>
  <c r="K1" i="13"/>
  <c r="J1" i="13"/>
  <c r="I1" i="13"/>
  <c r="H1" i="13"/>
  <c r="G1" i="13"/>
  <c r="F1" i="13"/>
  <c r="AI11" i="12"/>
  <c r="AJ9" i="12"/>
  <c r="AI9" i="12"/>
  <c r="AE9" i="12"/>
  <c r="AJ5" i="12"/>
  <c r="AJ4" i="12"/>
  <c r="AB4" i="12"/>
  <c r="Z4" i="12"/>
  <c r="AP13" i="12"/>
  <c r="AP12" i="12"/>
  <c r="AP11" i="12"/>
  <c r="AP9" i="12"/>
  <c r="AP7" i="12"/>
  <c r="AP2" i="12"/>
  <c r="AP6" i="12"/>
  <c r="AP5" i="12"/>
  <c r="AP4" i="12"/>
  <c r="AE11" i="12"/>
  <c r="AJ8" i="12"/>
  <c r="AE8" i="12"/>
  <c r="AJ7" i="12"/>
  <c r="AJ12" i="12"/>
  <c r="AJ10" i="12"/>
  <c r="AE2" i="12" l="1"/>
  <c r="AC2" i="12"/>
  <c r="AA2" i="12"/>
  <c r="Y2" i="12"/>
  <c r="AE13" i="12" l="1"/>
  <c r="Y12" i="12"/>
  <c r="AE12" i="12"/>
  <c r="AC12" i="12"/>
  <c r="AA12" i="12"/>
  <c r="AE6" i="12"/>
  <c r="AC3" i="12"/>
  <c r="AA3" i="12"/>
  <c r="Y3" i="12"/>
  <c r="AE3" i="12"/>
  <c r="AE7" i="12"/>
  <c r="AG3" i="12"/>
  <c r="AD3" i="12"/>
  <c r="Z3" i="12"/>
  <c r="X3" i="12"/>
  <c r="W3" i="12"/>
  <c r="V3" i="12"/>
  <c r="T3" i="12"/>
  <c r="R3" i="12"/>
  <c r="AJ3" i="12" s="1"/>
  <c r="P3" i="12"/>
  <c r="AI3" i="12" s="1"/>
  <c r="N3" i="12"/>
  <c r="AF3" i="12" s="1"/>
  <c r="AH3" i="12" s="1"/>
  <c r="L3" i="12"/>
  <c r="AG11" i="12"/>
  <c r="AD11" i="12"/>
  <c r="Z11" i="12"/>
  <c r="X11" i="12"/>
  <c r="AB11" i="12" s="1"/>
  <c r="W11" i="12"/>
  <c r="V11" i="12"/>
  <c r="T11" i="12"/>
  <c r="R11" i="12"/>
  <c r="AJ11" i="12" s="1"/>
  <c r="P11" i="12"/>
  <c r="N11" i="12"/>
  <c r="AF11" i="12" s="1"/>
  <c r="AH11" i="12" s="1"/>
  <c r="L11" i="12"/>
  <c r="AG12" i="12"/>
  <c r="AD12" i="12"/>
  <c r="Z12" i="12"/>
  <c r="X12" i="12"/>
  <c r="W12" i="12"/>
  <c r="V12" i="12"/>
  <c r="T12" i="12"/>
  <c r="R12" i="12"/>
  <c r="P12" i="12"/>
  <c r="AI12" i="12" s="1"/>
  <c r="N12" i="12"/>
  <c r="AF12" i="12" s="1"/>
  <c r="AH12" i="12" s="1"/>
  <c r="L12" i="12"/>
  <c r="AG10" i="12"/>
  <c r="AD10" i="12"/>
  <c r="Z10" i="12"/>
  <c r="X10" i="12"/>
  <c r="AB10" i="12" s="1"/>
  <c r="W10" i="12"/>
  <c r="V10" i="12"/>
  <c r="T10" i="12"/>
  <c r="R10" i="12"/>
  <c r="P10" i="12"/>
  <c r="AI10" i="12" s="1"/>
  <c r="N10" i="12"/>
  <c r="AF10" i="12" s="1"/>
  <c r="AH10" i="12" s="1"/>
  <c r="L10" i="12"/>
  <c r="AG9" i="12"/>
  <c r="AD9" i="12"/>
  <c r="Z9" i="12"/>
  <c r="X9" i="12"/>
  <c r="AB9" i="12" s="1"/>
  <c r="W9" i="12"/>
  <c r="V9" i="12"/>
  <c r="T9" i="12"/>
  <c r="R9" i="12"/>
  <c r="P9" i="12"/>
  <c r="N9" i="12"/>
  <c r="AF9" i="12" s="1"/>
  <c r="AH9" i="12" s="1"/>
  <c r="L9" i="12"/>
  <c r="B2" i="5"/>
  <c r="C2" i="5"/>
  <c r="D2" i="5"/>
  <c r="AB12" i="12" l="1"/>
  <c r="AB3" i="12"/>
  <c r="AA18" i="5"/>
  <c r="AB18" i="5" s="1"/>
  <c r="AA17" i="5"/>
  <c r="AB17" i="5" s="1"/>
  <c r="AA16" i="5"/>
  <c r="AB16" i="5" s="1"/>
  <c r="AA15" i="5"/>
  <c r="AB15" i="5" s="1"/>
  <c r="AA14" i="5"/>
  <c r="AB14" i="5" s="1"/>
  <c r="AA13" i="5"/>
  <c r="AB13" i="5" s="1"/>
  <c r="AA12" i="5"/>
  <c r="AB12" i="5" s="1"/>
  <c r="AA11" i="5"/>
  <c r="AB11" i="5" s="1"/>
  <c r="AA10" i="5"/>
  <c r="AB10" i="5" s="1"/>
  <c r="AA9" i="5"/>
  <c r="AB9" i="5" s="1"/>
  <c r="AA8" i="5"/>
  <c r="AB8" i="5" s="1"/>
  <c r="AA32" i="5" l="1"/>
  <c r="AB32" i="5" s="1"/>
  <c r="AA31" i="5"/>
  <c r="AB31" i="5" s="1"/>
  <c r="AA30" i="5"/>
  <c r="AB30" i="5" s="1"/>
  <c r="AA29" i="5"/>
  <c r="AB29" i="5" s="1"/>
  <c r="AA28" i="5"/>
  <c r="AB28" i="5" s="1"/>
  <c r="AA27" i="5"/>
  <c r="AB27" i="5" s="1"/>
  <c r="AA26" i="5"/>
  <c r="AB26" i="5" s="1"/>
  <c r="AA25" i="5"/>
  <c r="AB25" i="5" s="1"/>
  <c r="AA24" i="5"/>
  <c r="AB24" i="5" s="1"/>
  <c r="J2" i="9"/>
  <c r="K2" i="9"/>
  <c r="N2" i="9" s="1"/>
  <c r="J3" i="9"/>
  <c r="K3" i="9"/>
  <c r="N3" i="9" s="1"/>
  <c r="J4" i="9"/>
  <c r="K4" i="9"/>
  <c r="J5" i="9"/>
  <c r="K5" i="9"/>
  <c r="N5" i="9" s="1"/>
  <c r="L4" i="9" l="1"/>
  <c r="L3" i="9"/>
  <c r="N4" i="9"/>
  <c r="L5" i="9"/>
  <c r="L2" i="9"/>
  <c r="AA23" i="5"/>
  <c r="AB23" i="5" s="1"/>
  <c r="AA22" i="5"/>
  <c r="AB22" i="5" s="1"/>
  <c r="AA21" i="5"/>
  <c r="AB21" i="5" s="1"/>
  <c r="K11" i="9" l="1"/>
  <c r="N11" i="9" s="1"/>
  <c r="J11" i="9"/>
  <c r="J6" i="9"/>
  <c r="K6" i="9"/>
  <c r="N6" i="9" s="1"/>
  <c r="K9" i="9"/>
  <c r="N9" i="9" s="1"/>
  <c r="J9" i="9"/>
  <c r="K8" i="9"/>
  <c r="N8" i="9" s="1"/>
  <c r="J8" i="9"/>
  <c r="Z5" i="5"/>
  <c r="D8" i="7"/>
  <c r="E8" i="7" s="1"/>
  <c r="D2" i="7"/>
  <c r="E2" i="7" s="1"/>
  <c r="D3" i="7"/>
  <c r="E3" i="7" s="1"/>
  <c r="D4" i="7"/>
  <c r="E4" i="7" s="1"/>
  <c r="D5" i="7"/>
  <c r="E5" i="7" s="1"/>
  <c r="D6" i="7"/>
  <c r="E6" i="7" s="1"/>
  <c r="K10" i="9"/>
  <c r="N10" i="9" s="1"/>
  <c r="J10" i="9"/>
  <c r="L11" i="9" l="1"/>
  <c r="L9" i="9"/>
  <c r="L6" i="9"/>
  <c r="L8" i="9"/>
  <c r="L10" i="9"/>
  <c r="K14" i="9"/>
  <c r="N14" i="9" s="1"/>
  <c r="J14" i="9"/>
  <c r="J7" i="9"/>
  <c r="K7" i="9"/>
  <c r="X5" i="12"/>
  <c r="W5" i="12"/>
  <c r="V5" i="12"/>
  <c r="T5" i="12"/>
  <c r="R5" i="12"/>
  <c r="P5" i="12"/>
  <c r="AI5" i="12" s="1"/>
  <c r="N5" i="12"/>
  <c r="L5" i="12"/>
  <c r="X4" i="12"/>
  <c r="W4" i="12"/>
  <c r="V4" i="12"/>
  <c r="T4" i="12"/>
  <c r="R4" i="12"/>
  <c r="P4" i="12"/>
  <c r="AI4" i="12" s="1"/>
  <c r="N4" i="12"/>
  <c r="L4" i="12"/>
  <c r="X2" i="12"/>
  <c r="W2" i="12"/>
  <c r="V2" i="12"/>
  <c r="T2" i="12"/>
  <c r="R2" i="12"/>
  <c r="AJ2" i="12" s="1"/>
  <c r="P2" i="12"/>
  <c r="AI2" i="12" s="1"/>
  <c r="N2" i="12"/>
  <c r="L2" i="12"/>
  <c r="J13" i="9"/>
  <c r="V4" i="5"/>
  <c r="AA4" i="5" s="1"/>
  <c r="AB4" i="5" s="1"/>
  <c r="AA5" i="5"/>
  <c r="AB5" i="5" s="1"/>
  <c r="L7" i="9" l="1"/>
  <c r="L14" i="9"/>
  <c r="N7" i="9"/>
  <c r="V3" i="5" l="1"/>
  <c r="AA3" i="5" s="1"/>
  <c r="AB3" i="5" s="1"/>
  <c r="J12" i="9"/>
  <c r="K12" i="9"/>
  <c r="N12" i="9" s="1"/>
  <c r="L12" i="9" l="1"/>
  <c r="M7" i="1"/>
  <c r="M6" i="1"/>
  <c r="AD8" i="12"/>
  <c r="K17" i="9"/>
  <c r="N17" i="9" s="1"/>
  <c r="L17" i="9" l="1"/>
  <c r="J24" i="10"/>
  <c r="K24" i="10" s="1"/>
  <c r="M24" i="10" s="1"/>
  <c r="J25" i="10"/>
  <c r="K25" i="10" s="1"/>
  <c r="M25" i="10" s="1"/>
  <c r="J26" i="10"/>
  <c r="K26" i="10" s="1"/>
  <c r="M26" i="10" s="1"/>
  <c r="N13" i="12" l="1"/>
  <c r="AF13" i="12" s="1"/>
  <c r="AG13" i="12"/>
  <c r="J5" i="7"/>
  <c r="K5" i="7" s="1"/>
  <c r="J6" i="7"/>
  <c r="K6" i="7" s="1"/>
  <c r="J7" i="7"/>
  <c r="K7" i="7" s="1"/>
  <c r="J8" i="7"/>
  <c r="K8" i="7" s="1"/>
  <c r="J9" i="7"/>
  <c r="K9" i="7" s="1"/>
  <c r="J10" i="7"/>
  <c r="K10" i="7" s="1"/>
  <c r="M51" i="13"/>
  <c r="L51" i="13"/>
  <c r="K51" i="13"/>
  <c r="J51" i="13"/>
  <c r="I51" i="13"/>
  <c r="H51" i="13"/>
  <c r="G51" i="13"/>
  <c r="F51" i="13"/>
  <c r="E1" i="13"/>
  <c r="D1" i="13"/>
  <c r="C1" i="13"/>
  <c r="B1" i="13"/>
  <c r="AD13" i="12"/>
  <c r="Z13" i="12"/>
  <c r="X13" i="12"/>
  <c r="AB13" i="12" s="1"/>
  <c r="W13" i="12"/>
  <c r="V13" i="12"/>
  <c r="T13" i="12"/>
  <c r="R13" i="12"/>
  <c r="AJ13" i="12" s="1"/>
  <c r="P13" i="12"/>
  <c r="AI13" i="12" s="1"/>
  <c r="L13" i="12"/>
  <c r="E51" i="13" l="1"/>
  <c r="AH13" i="12"/>
  <c r="D10" i="7"/>
  <c r="E10" i="7" s="1"/>
  <c r="D9" i="7"/>
  <c r="E9" i="7" s="1"/>
  <c r="D7" i="7"/>
  <c r="E7" i="7" s="1"/>
  <c r="K16" i="9"/>
  <c r="N16" i="9" s="1"/>
  <c r="L16" i="9" l="1"/>
  <c r="AA20" i="5" l="1"/>
  <c r="AB20" i="5" s="1"/>
  <c r="K15" i="9"/>
  <c r="N15" i="9" s="1"/>
  <c r="K13" i="9"/>
  <c r="N13" i="9" s="1"/>
  <c r="L15" i="9" l="1"/>
  <c r="L13" i="9"/>
  <c r="AA7" i="5" l="1"/>
  <c r="AB7" i="5" s="1"/>
  <c r="M20" i="10"/>
  <c r="J20" i="10"/>
  <c r="K20" i="10" s="1"/>
  <c r="M19" i="10"/>
  <c r="J19" i="10"/>
  <c r="K19" i="10" s="1"/>
  <c r="J4" i="10" l="1"/>
  <c r="K4" i="10" s="1"/>
  <c r="M4" i="10" s="1"/>
  <c r="J8" i="10"/>
  <c r="K8" i="10" s="1"/>
  <c r="M8" i="10" s="1"/>
  <c r="J4" i="7" l="1"/>
  <c r="K4" i="7" s="1"/>
  <c r="J3" i="7"/>
  <c r="K3" i="7" s="1"/>
  <c r="J2" i="7"/>
  <c r="K2" i="7" s="1"/>
  <c r="J23" i="10" l="1"/>
  <c r="K23" i="10" s="1"/>
  <c r="M23" i="10" s="1"/>
  <c r="J27" i="10"/>
  <c r="K27" i="10" s="1"/>
  <c r="M27" i="10"/>
  <c r="J28" i="10"/>
  <c r="K28" i="10" s="1"/>
  <c r="M28" i="10"/>
  <c r="J29" i="10"/>
  <c r="K29" i="10" s="1"/>
  <c r="M29" i="10"/>
  <c r="O49" i="13" l="1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AG6" i="12" l="1"/>
  <c r="F2" i="13"/>
  <c r="X6" i="12"/>
  <c r="AB6" i="12" s="1"/>
  <c r="AB5" i="12"/>
  <c r="X8" i="12"/>
  <c r="AB8" i="12" s="1"/>
  <c r="X7" i="12"/>
  <c r="AB7" i="12" s="1"/>
  <c r="F3" i="13"/>
  <c r="AG4" i="12"/>
  <c r="AD4" i="12"/>
  <c r="F4" i="13" s="1"/>
  <c r="AG7" i="12"/>
  <c r="AD7" i="12"/>
  <c r="Z7" i="12"/>
  <c r="W7" i="12"/>
  <c r="V7" i="12"/>
  <c r="T7" i="12"/>
  <c r="R7" i="12"/>
  <c r="P7" i="12"/>
  <c r="AI7" i="12" s="1"/>
  <c r="N7" i="12"/>
  <c r="AF7" i="12" s="1"/>
  <c r="AH7" i="12" s="1"/>
  <c r="L7" i="12"/>
  <c r="AG8" i="12"/>
  <c r="Z8" i="12"/>
  <c r="W8" i="12"/>
  <c r="V8" i="12"/>
  <c r="T8" i="12"/>
  <c r="R8" i="12"/>
  <c r="P8" i="12"/>
  <c r="AI8" i="12" s="1"/>
  <c r="N8" i="12"/>
  <c r="AF8" i="12" s="1"/>
  <c r="AH8" i="12" s="1"/>
  <c r="L8" i="12"/>
  <c r="AG5" i="12"/>
  <c r="AD5" i="12"/>
  <c r="Z5" i="12"/>
  <c r="AD6" i="12"/>
  <c r="Z6" i="12"/>
  <c r="W6" i="12"/>
  <c r="V6" i="12"/>
  <c r="T6" i="12"/>
  <c r="R6" i="12"/>
  <c r="AJ6" i="12" s="1"/>
  <c r="P6" i="12"/>
  <c r="AI6" i="12" s="1"/>
  <c r="N6" i="12"/>
  <c r="AF6" i="12" s="1"/>
  <c r="AH6" i="12" s="1"/>
  <c r="L6" i="12"/>
  <c r="AG2" i="12"/>
  <c r="AD2" i="12"/>
  <c r="G4" i="13" s="1"/>
  <c r="Z2" i="12"/>
  <c r="G2" i="13" s="1"/>
  <c r="AB2" i="12"/>
  <c r="G3" i="13" s="1"/>
  <c r="B51" i="13"/>
  <c r="AA19" i="5"/>
  <c r="AB19" i="5" s="1"/>
  <c r="D3" i="13" l="1"/>
  <c r="C51" i="13"/>
  <c r="D51" i="13"/>
  <c r="D2" i="13"/>
  <c r="C4" i="13"/>
  <c r="B3" i="13"/>
  <c r="D4" i="13"/>
  <c r="C2" i="13"/>
  <c r="E3" i="13"/>
  <c r="E2" i="13"/>
  <c r="E4" i="13"/>
  <c r="B2" i="13"/>
  <c r="AF5" i="12"/>
  <c r="AF4" i="12"/>
  <c r="C3" i="13"/>
  <c r="B4" i="13"/>
  <c r="AF2" i="12"/>
  <c r="C50" i="13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P30" i="13"/>
  <c r="R14" i="13"/>
  <c r="R40" i="13"/>
  <c r="R46" i="13"/>
  <c r="AH5" i="12" l="1"/>
  <c r="AH4" i="12"/>
  <c r="AH2" i="12"/>
  <c r="R24" i="13"/>
  <c r="T24" i="13" s="1"/>
  <c r="R25" i="13"/>
  <c r="T25" i="13" s="1"/>
  <c r="P2" i="13"/>
  <c r="R45" i="13"/>
  <c r="T45" i="13" s="1"/>
  <c r="R39" i="13"/>
  <c r="T39" i="13" s="1"/>
  <c r="R38" i="13"/>
  <c r="T38" i="13" s="1"/>
  <c r="R23" i="13"/>
  <c r="T23" i="13" s="1"/>
  <c r="R7" i="13"/>
  <c r="T7" i="13" s="1"/>
  <c r="R31" i="13"/>
  <c r="T31" i="13" s="1"/>
  <c r="R17" i="13"/>
  <c r="T17" i="13" s="1"/>
  <c r="R48" i="13"/>
  <c r="T48" i="13" s="1"/>
  <c r="R15" i="13"/>
  <c r="T15" i="13" s="1"/>
  <c r="R32" i="13"/>
  <c r="T32" i="13" s="1"/>
  <c r="R18" i="13"/>
  <c r="T18" i="13" s="1"/>
  <c r="R16" i="13"/>
  <c r="T16" i="13" s="1"/>
  <c r="R33" i="13"/>
  <c r="T33" i="13" s="1"/>
  <c r="R47" i="13"/>
  <c r="T47" i="13" s="1"/>
  <c r="R9" i="13"/>
  <c r="T9" i="13" s="1"/>
  <c r="R26" i="13"/>
  <c r="T26" i="13" s="1"/>
  <c r="R3" i="13"/>
  <c r="T3" i="13" s="1"/>
  <c r="R19" i="13"/>
  <c r="T19" i="13" s="1"/>
  <c r="R43" i="13"/>
  <c r="T43" i="13" s="1"/>
  <c r="P4" i="13"/>
  <c r="P12" i="13"/>
  <c r="R20" i="13"/>
  <c r="T20" i="13" s="1"/>
  <c r="R28" i="13"/>
  <c r="T28" i="13" s="1"/>
  <c r="R36" i="13"/>
  <c r="T36" i="13" s="1"/>
  <c r="R44" i="13"/>
  <c r="T44" i="13" s="1"/>
  <c r="R49" i="13"/>
  <c r="T49" i="13" s="1"/>
  <c r="R10" i="13"/>
  <c r="T10" i="13" s="1"/>
  <c r="R34" i="13"/>
  <c r="T34" i="13" s="1"/>
  <c r="P11" i="13"/>
  <c r="R35" i="13"/>
  <c r="T35" i="13" s="1"/>
  <c r="R5" i="13"/>
  <c r="T5" i="13" s="1"/>
  <c r="P13" i="13"/>
  <c r="P21" i="13"/>
  <c r="R29" i="13"/>
  <c r="T29" i="13" s="1"/>
  <c r="R37" i="13"/>
  <c r="T37" i="13" s="1"/>
  <c r="R8" i="13"/>
  <c r="T8" i="13" s="1"/>
  <c r="R41" i="13"/>
  <c r="T41" i="13" s="1"/>
  <c r="R42" i="13"/>
  <c r="T42" i="13" s="1"/>
  <c r="R27" i="13"/>
  <c r="T27" i="13" s="1"/>
  <c r="P6" i="13"/>
  <c r="R22" i="13"/>
  <c r="T22" i="13" s="1"/>
  <c r="T40" i="13"/>
  <c r="P46" i="13"/>
  <c r="R30" i="13"/>
  <c r="T30" i="13" s="1"/>
  <c r="P14" i="13"/>
  <c r="P45" i="13"/>
  <c r="T14" i="13"/>
  <c r="T46" i="13"/>
  <c r="P40" i="13"/>
  <c r="P23" i="13" l="1"/>
  <c r="P39" i="13"/>
  <c r="R2" i="13"/>
  <c r="T2" i="13" s="1"/>
  <c r="P17" i="13"/>
  <c r="P24" i="13"/>
  <c r="P25" i="13"/>
  <c r="P38" i="13"/>
  <c r="P9" i="13"/>
  <c r="P28" i="13"/>
  <c r="P5" i="13"/>
  <c r="P27" i="13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E6" i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E7" i="1" l="1"/>
  <c r="V2" i="5" l="1"/>
  <c r="J7" i="10" l="1"/>
  <c r="K7" i="10" s="1"/>
  <c r="M7" i="10" s="1"/>
  <c r="M8" i="1" l="1"/>
  <c r="M38" i="1" l="1"/>
  <c r="I9" i="1" l="1"/>
  <c r="T1" i="10" l="1"/>
  <c r="AA2" i="5" l="1"/>
  <c r="AB2" i="5" s="1"/>
  <c r="J2" i="10" l="1"/>
  <c r="K2" i="10" s="1"/>
  <c r="M2" i="10" s="1"/>
  <c r="J5" i="10"/>
  <c r="K5" i="10" s="1"/>
  <c r="M5" i="10" s="1"/>
  <c r="I8" i="1" l="1"/>
  <c r="I10" i="1" s="1"/>
  <c r="M10" i="1" s="1"/>
  <c r="I11" i="1" l="1"/>
  <c r="M11" i="1" s="1"/>
  <c r="M12" i="1" l="1"/>
  <c r="M13" i="1" l="1"/>
  <c r="AA6" i="5"/>
  <c r="AB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3218ABA0-E0C5-46CC-A834-3263B7F84CBD}">
      <text>
        <r>
          <rPr>
            <i/>
            <sz val="12"/>
            <color indexed="81"/>
            <rFont val="Times New Roman"/>
            <family val="1"/>
          </rPr>
          <t>Cat’s Grace +1
Aid +1</t>
        </r>
      </text>
    </comment>
    <comment ref="C2" authorId="0" shapeId="0" xr:uid="{3DBC7938-17B4-4E79-9BA3-10C3AEE58586}">
      <text>
        <r>
          <rPr>
            <i/>
            <sz val="12"/>
            <color indexed="81"/>
            <rFont val="Times New Roman"/>
            <family val="1"/>
          </rPr>
          <t>Mage Armor +4
Aid +1</t>
        </r>
      </text>
    </comment>
    <comment ref="D2" authorId="0" shapeId="0" xr:uid="{4B967EC4-E2E9-4C5E-B754-21C848711D94}">
      <text>
        <r>
          <rPr>
            <i/>
            <sz val="12"/>
            <color indexed="81"/>
            <rFont val="Times New Roman"/>
            <family val="1"/>
          </rPr>
          <t>Mage Armor +4
Cat’s Grace +1
Aid +1</t>
        </r>
      </text>
    </comment>
    <comment ref="B9" authorId="0" shapeId="0" xr:uid="{7781E54F-6E43-4A85-ABE1-D2805971E43D}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D9" authorId="0" shapeId="0" xr:uid="{50A0C1A9-4E2C-46C6-B871-E19D9040C3E4}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</commentList>
</comments>
</file>

<file path=xl/sharedStrings.xml><?xml version="1.0" encoding="utf-8"?>
<sst xmlns="http://schemas.openxmlformats.org/spreadsheetml/2006/main" count="896" uniqueCount="347">
  <si>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</si>
  <si>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</si>
  <si>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</si>
  <si>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</si>
  <si>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</si>
  <si>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</si>
  <si>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</si>
  <si>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</si>
  <si>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</si>
  <si>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</si>
  <si>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</si>
  <si>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</si>
  <si>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</si>
  <si>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</si>
  <si>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</si>
  <si>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</si>
  <si>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</si>
  <si>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</si>
  <si>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</si>
  <si>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</si>
  <si>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</si>
  <si>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</si>
  <si>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</si>
  <si>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</si>
  <si>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</si>
  <si>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</si>
  <si>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</si>
  <si>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</si>
  <si>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</si>
  <si>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</si>
  <si>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</si>
  <si>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</si>
  <si>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</si>
  <si>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</si>
  <si>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</si>
  <si>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</si>
  <si>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</si>
  <si>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</si>
  <si>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</si>
  <si>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</si>
  <si>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</si>
  <si>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</si>
  <si>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</si>
  <si>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</si>
  <si>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</si>
  <si>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</si>
  <si>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</si>
  <si>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</si>
  <si>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</si>
  <si>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</si>
  <si>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</si>
  <si>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</si>
  <si>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</si>
  <si>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</si>
  <si>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</si>
  <si>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</si>
  <si>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</si>
  <si>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</si>
  <si>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</si>
  <si>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</si>
  <si>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</si>
  <si>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</si>
  <si>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</si>
  <si>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</si>
  <si>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</si>
  <si>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</si>
  <si>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</si>
  <si>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</si>
  <si>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</si>
  <si>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</si>
  <si>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</si>
  <si>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</si>
  <si>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</si>
  <si>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</si>
  <si>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</si>
  <si>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</si>
  <si>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</si>
  <si>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</si>
  <si>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</si>
  <si>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</si>
  <si>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</si>
  <si>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</si>
  <si>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</si>
  <si>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</si>
  <si>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</si>
  <si>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</si>
  <si>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</si>
  <si>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</si>
  <si>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</si>
  <si>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</si>
  <si>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</si>
  <si>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</si>
  <si>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</si>
  <si>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</si>
  <si>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</si>
  <si>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</si>
  <si>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</si>
  <si>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</si>
  <si>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</si>
  <si>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Speed</t>
  </si>
  <si>
    <t>DR</t>
  </si>
  <si>
    <t>7d</t>
  </si>
  <si>
    <t>8d</t>
  </si>
  <si>
    <t>9d</t>
  </si>
  <si>
    <t>10d</t>
  </si>
  <si>
    <t>Nihm</t>
  </si>
  <si>
    <t>Kassuq</t>
  </si>
  <si>
    <t>Hound Archon</t>
  </si>
  <si>
    <t>Baldoor</t>
  </si>
  <si>
    <t>Cleric of Moradin</t>
  </si>
  <si>
    <t>þ</t>
  </si>
  <si>
    <t>Use Magic Device</t>
  </si>
  <si>
    <t>Disable Device</t>
  </si>
  <si>
    <t>Survival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</si>
  <si>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</si>
  <si>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</si>
  <si>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</si>
  <si>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</si>
  <si>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</si>
  <si>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</si>
  <si>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</si>
  <si>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</si>
  <si>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</si>
  <si>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</si>
  <si>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</si>
  <si>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</si>
  <si>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</si>
  <si>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</si>
  <si>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</si>
  <si>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</si>
  <si>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</si>
  <si>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</si>
  <si>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</si>
  <si>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</si>
  <si>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</si>
  <si>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</si>
  <si>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</si>
  <si>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</si>
  <si>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</si>
  <si>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</si>
  <si>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</si>
  <si>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Spells Known</t>
  </si>
  <si>
    <t>Spells Prepared / Cast</t>
  </si>
  <si>
    <t>Weapons</t>
  </si>
  <si>
    <t>Armor</t>
  </si>
  <si>
    <t>Armor Bonus</t>
  </si>
  <si>
    <t>Notable Equipment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</si>
  <si>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</si>
  <si>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</si>
  <si>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</si>
  <si>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</si>
  <si>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</si>
  <si>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</si>
  <si>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</si>
  <si>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</si>
  <si>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</si>
  <si>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</si>
  <si>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</si>
  <si>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</si>
  <si>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</si>
  <si>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</si>
  <si>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</si>
  <si>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</si>
  <si>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</si>
  <si>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</si>
  <si>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</si>
  <si>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</si>
  <si>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</si>
  <si>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</si>
  <si>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</si>
  <si>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</si>
  <si>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</si>
  <si>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</si>
  <si>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</si>
  <si>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</si>
  <si>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</si>
  <si>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</si>
  <si>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</si>
  <si>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</si>
  <si>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</si>
  <si>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</si>
  <si>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</si>
  <si>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</si>
  <si>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</si>
  <si>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</si>
  <si>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</si>
  <si>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</si>
  <si>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</si>
  <si>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</si>
  <si>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</si>
  <si>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</si>
  <si>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</si>
  <si>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</si>
  <si>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</si>
  <si>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</si>
  <si>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Region</t>
  </si>
  <si>
    <t>Current Effects</t>
  </si>
  <si>
    <t>Abilities / Feats</t>
  </si>
  <si>
    <t>Haal</t>
  </si>
  <si>
    <t>Detect Evil</t>
  </si>
  <si>
    <t>Summon Monster I</t>
  </si>
  <si>
    <t>Spiritual Weapon</t>
  </si>
  <si>
    <t>Aid</t>
  </si>
  <si>
    <t>Grapple</t>
  </si>
  <si>
    <t>Ranger-Druid</t>
  </si>
  <si>
    <t>Cloistered Cleric of Lathander-Fighter</t>
  </si>
  <si>
    <t>Bite</t>
  </si>
  <si>
    <t>1d6+3</t>
  </si>
  <si>
    <t>Lucky</t>
  </si>
  <si>
    <t>Craft:  []</t>
  </si>
  <si>
    <t>Profession:  []</t>
  </si>
  <si>
    <t>Sorceress</t>
  </si>
  <si>
    <t>Amara</t>
  </si>
  <si>
    <t>20’</t>
  </si>
  <si>
    <t>Horse</t>
  </si>
  <si>
    <t>Flaming Sphere</t>
  </si>
  <si>
    <t>Trip</t>
  </si>
  <si>
    <t>Claw 1</t>
  </si>
  <si>
    <t>Claw 2</t>
  </si>
  <si>
    <t>1d6+4</t>
  </si>
  <si>
    <t>1d6+2</t>
  </si>
  <si>
    <t>2d8+6</t>
  </si>
  <si>
    <t>Javelin</t>
  </si>
  <si>
    <t>Staff +2</t>
  </si>
  <si>
    <t>1d6+1+2</t>
  </si>
  <si>
    <t>Sling +1</t>
  </si>
  <si>
    <t>1d4+1+1</t>
  </si>
  <si>
    <t>Touch Attack</t>
  </si>
  <si>
    <t>varies</t>
  </si>
  <si>
    <t>Ranged Touch Attack</t>
  </si>
  <si>
    <t>40’</t>
  </si>
  <si>
    <t>Ranged / Finesse</t>
  </si>
  <si>
    <t>Poisondusk Lizardfolk</t>
  </si>
  <si>
    <t>Red Knight Worshippers</t>
  </si>
  <si>
    <t>Poisondusk Marshal</t>
  </si>
  <si>
    <t>Poisondusk Commando</t>
  </si>
  <si>
    <t>Poisondusk Commando 1</t>
  </si>
  <si>
    <t>Poisondusk Commando 2</t>
  </si>
  <si>
    <t>Poisondusk Commando 3</t>
  </si>
  <si>
    <t>Poisondusk Commando 4</t>
  </si>
  <si>
    <t>Poisondusk Commando 5</t>
  </si>
  <si>
    <t>Poisondusk Commando 6</t>
  </si>
  <si>
    <t>Poisondusk Commando 7</t>
  </si>
  <si>
    <t>Poisondusk Commando 8</t>
  </si>
  <si>
    <t>Poisondusk Commando 9</t>
  </si>
  <si>
    <t>Poisondusk Commando 10</t>
  </si>
  <si>
    <t>Poisondusk Commando 11</t>
  </si>
  <si>
    <t>Poisondusk Commando 12</t>
  </si>
  <si>
    <t>Legionnaire Xiomara</t>
  </si>
  <si>
    <t>Ranger</t>
  </si>
  <si>
    <t>Paladin</t>
  </si>
  <si>
    <t>Samurai</t>
  </si>
  <si>
    <t>Knight</t>
  </si>
  <si>
    <t>Monk</t>
  </si>
  <si>
    <t>Warrior</t>
  </si>
  <si>
    <t>Straubry</t>
  </si>
  <si>
    <t>Visigo</t>
  </si>
  <si>
    <t>Captain Serge</t>
  </si>
  <si>
    <t>Kalishna</t>
  </si>
  <si>
    <t>Iñigo</t>
  </si>
  <si>
    <t>Katsuro</t>
  </si>
  <si>
    <t>Pathfinder</t>
  </si>
  <si>
    <t>Srebrenovich</t>
  </si>
  <si>
    <t>Castout</t>
  </si>
  <si>
    <t>of Red Knight</t>
  </si>
  <si>
    <t>Sir Pontif</t>
  </si>
  <si>
    <t>Dame Fucscia</t>
  </si>
  <si>
    <t>Sister Ritika</t>
  </si>
  <si>
    <t>Zhardhavi</t>
  </si>
  <si>
    <t>Grogg</t>
  </si>
  <si>
    <t>Twothrows</t>
  </si>
  <si>
    <t>Duchess Rafina</t>
  </si>
  <si>
    <t>of the Dallas Meadow</t>
  </si>
  <si>
    <t>Donatus</t>
  </si>
  <si>
    <t>Daggerfreud</t>
  </si>
  <si>
    <t>Human</t>
  </si>
  <si>
    <t>Half-orc</t>
  </si>
  <si>
    <t>Red Knight</t>
  </si>
  <si>
    <t>Half-elf</t>
  </si>
  <si>
    <t>Dwarf</t>
  </si>
  <si>
    <t>M</t>
  </si>
  <si>
    <t>F</t>
  </si>
  <si>
    <t>LN</t>
  </si>
  <si>
    <t>LG</t>
  </si>
  <si>
    <t>?</t>
  </si>
  <si>
    <t>Paladin (5) Pious Templar (3)</t>
  </si>
  <si>
    <t>Fighter (3) Cleric (3)</t>
  </si>
  <si>
    <t>Aristocrat (5) Wizard (3)</t>
  </si>
  <si>
    <t>Extend Spell, Investigator, Negotiator, Persuasive</t>
  </si>
  <si>
    <t>Daze, Dancing Lights, Ghost Sound / Charm Person, Karmic Aura, Shield / Daze Monster</t>
  </si>
  <si>
    <t>All cleric spells level 0 - 2</t>
  </si>
  <si>
    <t>Daze 2, Dancing Lights, Ghost Sound / Charm Person, Karmic Aura, Shield / Daze Monster 2</t>
  </si>
  <si>
    <t>Speak with Animals</t>
  </si>
  <si>
    <t>Rhino’s Rush</t>
  </si>
  <si>
    <r>
      <t xml:space="preserve">Bless Water, Lesser Restoration / </t>
    </r>
    <r>
      <rPr>
        <sz val="10"/>
        <color rgb="FFFF0000"/>
        <rFont val="Times New Roman"/>
        <family val="1"/>
      </rPr>
      <t>Undetectable Alignment</t>
    </r>
  </si>
  <si>
    <t>Bless Water, Lesser Restoration / Undetectable Alignment</t>
  </si>
  <si>
    <t>Precise Shot, Weapon Proficiency ~ Longbow, Weapon Focus (Longbow), Rapid Shot</t>
  </si>
  <si>
    <t>Precise Shot, Weapon Proficiency ~ Longbow, Weapon Focus (Longbow), Quick Draw</t>
  </si>
  <si>
    <t>Point Blank Shot, Weapon Focus ~ Longbow, Precise Shot, Far Shot</t>
  </si>
  <si>
    <t>Power Attack, True Believer, Weapon Focus: Greatsword</t>
  </si>
  <si>
    <t>Power Attack, Improved Grapple, Stunning Fist, Improved Initiative</t>
  </si>
  <si>
    <t>Dodge, Extra Turning, Combat Expertise</t>
  </si>
  <si>
    <t>Power Attack, Endurance, Combat Reflexes</t>
  </si>
  <si>
    <t>Power Attack, True Believer, Weapon Focus: Bastard Sword, Sacred Healing</t>
  </si>
  <si>
    <t>-</t>
  </si>
  <si>
    <t>Longbow +1</t>
  </si>
  <si>
    <t>Longbow +1; Longsword +1</t>
  </si>
  <si>
    <t>Weapon Focus: Falchion, Combat Exptertise, Persuasive</t>
  </si>
  <si>
    <t>Weapon Focus: Katana, Combat Exptertise, Quick Draw, Toughness</t>
  </si>
  <si>
    <t>Cavalier (PrC)</t>
  </si>
  <si>
    <t>NPC has no basic class levels</t>
  </si>
  <si>
    <t>Banded +1</t>
  </si>
  <si>
    <t>Full Plate +2</t>
  </si>
  <si>
    <t>Breastplate +1</t>
  </si>
  <si>
    <t>Half-Plate +1</t>
  </si>
  <si>
    <t>Full Plate +1</t>
  </si>
  <si>
    <t>Chain Shirt +1</t>
  </si>
  <si>
    <t>Splint +1</t>
  </si>
  <si>
    <t>Chainmail +1</t>
  </si>
  <si>
    <t>Studded Leather +2</t>
  </si>
  <si>
    <t>Leather +2</t>
  </si>
  <si>
    <t>Scout</t>
  </si>
  <si>
    <t>Power Attack, Cleave, Toughness, Endurance</t>
  </si>
  <si>
    <t>Quarterstaff +1</t>
  </si>
  <si>
    <t>Greatsword +1</t>
  </si>
  <si>
    <t>Katana +1</t>
  </si>
  <si>
    <t>Falchion +1</t>
  </si>
  <si>
    <t>Heavy Mace +1</t>
  </si>
  <si>
    <t>Light Mace +1</t>
  </si>
  <si>
    <t>Morningstar +1</t>
  </si>
  <si>
    <t>Bastard Sword +2</t>
  </si>
  <si>
    <t>Hand Crossbow +2</t>
  </si>
  <si>
    <t>all</t>
  </si>
  <si>
    <t>Red Knight Party Composition</t>
  </si>
  <si>
    <t>Shield</t>
  </si>
  <si>
    <t>Serge</t>
  </si>
  <si>
    <t>Duchess</t>
  </si>
  <si>
    <t>Detect Magic</t>
  </si>
  <si>
    <r>
      <rPr>
        <sz val="10"/>
        <color rgb="FFFF0000"/>
        <rFont val="Times New Roman"/>
        <family val="1"/>
      </rPr>
      <t>Detect Magic</t>
    </r>
    <r>
      <rPr>
        <sz val="10"/>
        <rFont val="Times New Roman"/>
        <family val="1"/>
      </rPr>
      <t>, Message, Purify Food &amp; Drink, Read Magic / Divine Favor, Nimbus of Light, Sanctuary / Conjure Ice Beast II, Obscuring Snow</t>
    </r>
  </si>
  <si>
    <t>not here</t>
  </si>
  <si>
    <t>Invisibility</t>
  </si>
  <si>
    <t>40’ - 60’</t>
  </si>
  <si>
    <t>Blackscale Warrior</t>
  </si>
  <si>
    <t>Blackscale Caster</t>
  </si>
  <si>
    <t>MW Spear (oiled)</t>
  </si>
  <si>
    <t>Cat’s Grace</t>
  </si>
  <si>
    <t>Bull’s Strength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</si>
</sst>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sz val="10"/>
      <color rgb="FFFF0000"/>
      <name val="Times New Roman"/>
      <family val="1"/>
    </font>
    <font>
      <i/>
      <sz val="12"/>
      <color indexed="8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7"/>
        <bgColor indexed="64"/>
      </patternFill>
    </fill>
  </fills>
  <borders count="79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4" fillId="0" borderId="0"/>
  </cellStyleXfs>
  <cellXfs count="33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19" borderId="48" xfId="0" applyFont="1" applyFill="1" applyBorder="1" applyAlignment="1">
      <alignment horizontal="center" vertical="center"/>
    </xf>
    <xf numFmtId="0" fontId="15" fillId="25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49" xfId="0" applyNumberFormat="1" applyFont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 wrapText="1"/>
    </xf>
    <xf numFmtId="0" fontId="6" fillId="28" borderId="50" xfId="0" applyFont="1" applyFill="1" applyBorder="1" applyAlignment="1">
      <alignment horizontal="center" vertical="center" wrapText="1"/>
    </xf>
    <xf numFmtId="0" fontId="2" fillId="29" borderId="50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48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5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3" fillId="2" borderId="57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6" fillId="0" borderId="59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27" fillId="0" borderId="59" xfId="2" applyFont="1" applyBorder="1" applyAlignment="1">
      <alignment horizontal="center" vertical="center"/>
    </xf>
    <xf numFmtId="0" fontId="28" fillId="0" borderId="59" xfId="2" applyFont="1" applyBorder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30" fillId="0" borderId="59" xfId="2" applyFont="1" applyBorder="1" applyAlignment="1">
      <alignment horizontal="center" vertical="center"/>
    </xf>
    <xf numFmtId="0" fontId="31" fillId="0" borderId="59" xfId="2" applyFont="1" applyBorder="1" applyAlignment="1">
      <alignment horizontal="center" vertical="center"/>
    </xf>
    <xf numFmtId="0" fontId="32" fillId="0" borderId="59" xfId="2" applyFont="1" applyBorder="1" applyAlignment="1">
      <alignment horizontal="center" vertical="center"/>
    </xf>
    <xf numFmtId="0" fontId="33" fillId="0" borderId="59" xfId="2" applyFont="1" applyBorder="1" applyAlignment="1">
      <alignment horizontal="center" vertical="center"/>
    </xf>
    <xf numFmtId="0" fontId="35" fillId="0" borderId="59" xfId="13" applyFont="1" applyBorder="1" applyAlignment="1">
      <alignment horizontal="center" vertical="center"/>
    </xf>
    <xf numFmtId="0" fontId="30" fillId="0" borderId="59" xfId="2" applyFont="1" applyBorder="1" applyAlignment="1">
      <alignment horizontal="centerContinuous" vertical="center"/>
    </xf>
    <xf numFmtId="0" fontId="28" fillId="0" borderId="59" xfId="2" applyFont="1" applyBorder="1" applyAlignment="1">
      <alignment horizontal="centerContinuous" vertical="center"/>
    </xf>
    <xf numFmtId="0" fontId="29" fillId="0" borderId="59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7" fillId="0" borderId="59" xfId="2" applyFont="1" applyBorder="1" applyAlignment="1">
      <alignment horizontal="center" vertical="center"/>
    </xf>
    <xf numFmtId="49" fontId="4" fillId="0" borderId="59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8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14" xfId="13" applyFont="1" applyBorder="1" applyAlignment="1">
      <alignment horizontal="center" vertical="center" wrapText="1"/>
    </xf>
    <xf numFmtId="0" fontId="3" fillId="0" borderId="56" xfId="13" applyFont="1" applyBorder="1" applyAlignment="1">
      <alignment horizontal="center" vertical="center" wrapText="1"/>
    </xf>
    <xf numFmtId="0" fontId="3" fillId="0" borderId="61" xfId="13" applyFont="1" applyBorder="1" applyAlignment="1">
      <alignment horizontal="center" vertical="center" wrapText="1"/>
    </xf>
    <xf numFmtId="0" fontId="34" fillId="0" borderId="8" xfId="13" applyBorder="1" applyAlignment="1">
      <alignment horizontal="center" vertical="center" wrapText="1"/>
    </xf>
    <xf numFmtId="0" fontId="34" fillId="0" borderId="56" xfId="13" applyBorder="1" applyAlignment="1">
      <alignment horizontal="center" vertical="center" wrapText="1"/>
    </xf>
    <xf numFmtId="164" fontId="34" fillId="0" borderId="63" xfId="13" applyNumberFormat="1" applyBorder="1" applyAlignment="1">
      <alignment horizontal="center" vertical="center" wrapText="1"/>
    </xf>
    <xf numFmtId="0" fontId="34" fillId="0" borderId="63" xfId="13" applyBorder="1" applyAlignment="1">
      <alignment horizontal="center" vertical="center" wrapText="1"/>
    </xf>
    <xf numFmtId="0" fontId="39" fillId="0" borderId="14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39" fillId="0" borderId="18" xfId="13" applyFont="1" applyBorder="1" applyAlignment="1">
      <alignment horizontal="center" vertical="center" wrapText="1"/>
    </xf>
    <xf numFmtId="0" fontId="41" fillId="0" borderId="21" xfId="13" applyFont="1" applyBorder="1" applyAlignment="1">
      <alignment horizontal="center" vertical="center" wrapText="1"/>
    </xf>
    <xf numFmtId="0" fontId="39" fillId="0" borderId="28" xfId="13" applyFont="1" applyBorder="1" applyAlignment="1">
      <alignment horizontal="center" vertical="center" wrapText="1"/>
    </xf>
    <xf numFmtId="0" fontId="42" fillId="0" borderId="56" xfId="13" applyFont="1" applyBorder="1" applyAlignment="1">
      <alignment horizontal="center" vertical="center" wrapText="1"/>
    </xf>
    <xf numFmtId="0" fontId="34" fillId="0" borderId="62" xfId="13" quotePrefix="1" applyBorder="1" applyAlignment="1">
      <alignment horizontal="center" vertical="center" wrapText="1"/>
    </xf>
    <xf numFmtId="0" fontId="34" fillId="0" borderId="64" xfId="13" quotePrefix="1" applyBorder="1" applyAlignment="1">
      <alignment horizontal="center" vertical="center" wrapText="1"/>
    </xf>
    <xf numFmtId="0" fontId="43" fillId="0" borderId="63" xfId="13" quotePrefix="1" applyFont="1" applyBorder="1" applyAlignment="1">
      <alignment horizontal="center" vertical="center" wrapText="1"/>
    </xf>
    <xf numFmtId="0" fontId="26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44" fillId="31" borderId="65" xfId="12" applyFont="1" applyFill="1" applyBorder="1" applyAlignment="1">
      <alignment horizontal="centerContinuous" vertical="center"/>
    </xf>
    <xf numFmtId="0" fontId="44" fillId="31" borderId="49" xfId="12" applyFont="1" applyFill="1" applyBorder="1" applyAlignment="1">
      <alignment horizontal="center" vertical="center"/>
    </xf>
    <xf numFmtId="0" fontId="44" fillId="31" borderId="49" xfId="12" applyFont="1" applyFill="1" applyBorder="1" applyAlignment="1">
      <alignment horizontal="center" vertical="center" wrapText="1"/>
    </xf>
    <xf numFmtId="0" fontId="36" fillId="9" borderId="50" xfId="12" applyFont="1" applyFill="1" applyBorder="1" applyAlignment="1">
      <alignment horizontal="center" vertical="center" wrapText="1"/>
    </xf>
    <xf numFmtId="0" fontId="44" fillId="31" borderId="66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4" fillId="28" borderId="67" xfId="12" applyFont="1" applyFill="1" applyBorder="1" applyAlignment="1">
      <alignment horizontal="center" vertical="center" wrapText="1"/>
    </xf>
    <xf numFmtId="0" fontId="45" fillId="0" borderId="36" xfId="12" applyFont="1" applyBorder="1" applyAlignment="1">
      <alignment vertical="center"/>
    </xf>
    <xf numFmtId="0" fontId="38" fillId="0" borderId="30" xfId="12" applyFont="1" applyBorder="1" applyAlignment="1">
      <alignment horizontal="center" vertical="center"/>
    </xf>
    <xf numFmtId="0" fontId="46" fillId="0" borderId="30" xfId="12" applyFont="1" applyBorder="1" applyAlignment="1">
      <alignment horizontal="center" vertical="center" wrapText="1"/>
    </xf>
    <xf numFmtId="0" fontId="38" fillId="0" borderId="30" xfId="12" applyFont="1" applyBorder="1" applyAlignment="1">
      <alignment horizontal="center" vertical="center" wrapText="1"/>
    </xf>
    <xf numFmtId="1" fontId="38" fillId="0" borderId="30" xfId="12" applyNumberFormat="1" applyFont="1" applyBorder="1" applyAlignment="1">
      <alignment horizontal="center" vertical="center" wrapText="1"/>
    </xf>
    <xf numFmtId="0" fontId="47" fillId="9" borderId="58" xfId="12" applyFont="1" applyFill="1" applyBorder="1" applyAlignment="1">
      <alignment horizontal="center" vertical="center"/>
    </xf>
    <xf numFmtId="0" fontId="38" fillId="0" borderId="68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8" fillId="0" borderId="69" xfId="12" quotePrefix="1" applyFont="1" applyBorder="1" applyAlignment="1">
      <alignment horizontal="center" vertical="center"/>
    </xf>
    <xf numFmtId="0" fontId="48" fillId="0" borderId="36" xfId="12" applyFont="1" applyBorder="1" applyAlignment="1">
      <alignment vertical="center"/>
    </xf>
    <xf numFmtId="0" fontId="29" fillId="0" borderId="58" xfId="12" applyFont="1" applyBorder="1" applyAlignment="1">
      <alignment horizontal="center" vertical="center"/>
    </xf>
    <xf numFmtId="0" fontId="46" fillId="0" borderId="70" xfId="12" applyFont="1" applyBorder="1" applyAlignment="1">
      <alignment vertical="center"/>
    </xf>
    <xf numFmtId="0" fontId="38" fillId="0" borderId="32" xfId="12" applyFont="1" applyBorder="1" applyAlignment="1">
      <alignment horizontal="center" vertical="center"/>
    </xf>
    <xf numFmtId="0" fontId="36" fillId="0" borderId="32" xfId="12" applyFont="1" applyBorder="1" applyAlignment="1">
      <alignment horizontal="center" vertical="center" wrapText="1"/>
    </xf>
    <xf numFmtId="0" fontId="38" fillId="0" borderId="32" xfId="12" applyFont="1" applyBorder="1" applyAlignment="1">
      <alignment horizontal="center" vertical="center" wrapText="1"/>
    </xf>
    <xf numFmtId="1" fontId="38" fillId="0" borderId="32" xfId="12" applyNumberFormat="1" applyFont="1" applyBorder="1" applyAlignment="1">
      <alignment horizontal="center" vertical="center" wrapText="1"/>
    </xf>
    <xf numFmtId="0" fontId="38" fillId="0" borderId="71" xfId="12" quotePrefix="1" applyFont="1" applyBorder="1" applyAlignment="1">
      <alignment horizontal="center" vertical="center"/>
    </xf>
    <xf numFmtId="0" fontId="31" fillId="0" borderId="36" xfId="12" applyFont="1" applyBorder="1" applyAlignment="1">
      <alignment vertical="center"/>
    </xf>
    <xf numFmtId="49" fontId="49" fillId="0" borderId="30" xfId="12" applyNumberFormat="1" applyFont="1" applyBorder="1" applyAlignment="1">
      <alignment horizontal="center" vertical="center"/>
    </xf>
    <xf numFmtId="0" fontId="49" fillId="0" borderId="58" xfId="12" applyFont="1" applyBorder="1" applyAlignment="1">
      <alignment horizontal="center" vertical="center"/>
    </xf>
    <xf numFmtId="0" fontId="31" fillId="0" borderId="58" xfId="12" applyFont="1" applyBorder="1" applyAlignment="1">
      <alignment horizontal="center" vertical="center"/>
    </xf>
    <xf numFmtId="0" fontId="38" fillId="0" borderId="58" xfId="12" applyFont="1" applyBorder="1" applyAlignment="1">
      <alignment horizontal="center" vertical="center"/>
    </xf>
    <xf numFmtId="49" fontId="38" fillId="0" borderId="58" xfId="12" applyNumberFormat="1" applyFont="1" applyBorder="1" applyAlignment="1">
      <alignment horizontal="center" vertical="center"/>
    </xf>
    <xf numFmtId="0" fontId="50" fillId="0" borderId="0" xfId="12" applyFont="1" applyAlignment="1">
      <alignment vertical="center"/>
    </xf>
    <xf numFmtId="0" fontId="29" fillId="0" borderId="36" xfId="12" applyFont="1" applyBorder="1" applyAlignment="1">
      <alignment vertical="center"/>
    </xf>
    <xf numFmtId="49" fontId="51" fillId="0" borderId="30" xfId="12" applyNumberFormat="1" applyFont="1" applyBorder="1" applyAlignment="1">
      <alignment horizontal="center" vertical="center"/>
    </xf>
    <xf numFmtId="0" fontId="51" fillId="0" borderId="58" xfId="12" applyFont="1" applyBorder="1" applyAlignment="1">
      <alignment horizontal="center" vertical="center"/>
    </xf>
    <xf numFmtId="0" fontId="52" fillId="0" borderId="0" xfId="12" applyFont="1" applyAlignment="1">
      <alignment vertical="center"/>
    </xf>
    <xf numFmtId="0" fontId="33" fillId="0" borderId="36" xfId="12" applyFont="1" applyBorder="1" applyAlignment="1">
      <alignment vertical="center"/>
    </xf>
    <xf numFmtId="49" fontId="53" fillId="0" borderId="30" xfId="12" applyNumberFormat="1" applyFont="1" applyBorder="1" applyAlignment="1">
      <alignment horizontal="center" vertical="center"/>
    </xf>
    <xf numFmtId="0" fontId="53" fillId="0" borderId="58" xfId="12" applyFont="1" applyBorder="1" applyAlignment="1">
      <alignment horizontal="center" vertical="center"/>
    </xf>
    <xf numFmtId="0" fontId="33" fillId="0" borderId="58" xfId="12" applyFont="1" applyBorder="1" applyAlignment="1">
      <alignment horizontal="center" vertical="center"/>
    </xf>
    <xf numFmtId="0" fontId="54" fillId="0" borderId="0" xfId="12" applyFont="1" applyAlignment="1">
      <alignment vertical="center"/>
    </xf>
    <xf numFmtId="0" fontId="27" fillId="0" borderId="36" xfId="12" applyFont="1" applyBorder="1" applyAlignment="1">
      <alignment vertical="center"/>
    </xf>
    <xf numFmtId="49" fontId="55" fillId="0" borderId="30" xfId="12" applyNumberFormat="1" applyFont="1" applyBorder="1" applyAlignment="1">
      <alignment horizontal="center" vertical="center"/>
    </xf>
    <xf numFmtId="0" fontId="55" fillId="0" borderId="58" xfId="12" applyFont="1" applyBorder="1" applyAlignment="1">
      <alignment horizontal="center" vertical="center"/>
    </xf>
    <xf numFmtId="0" fontId="27" fillId="0" borderId="58" xfId="12" applyFont="1" applyBorder="1" applyAlignment="1">
      <alignment horizontal="center" vertical="center"/>
    </xf>
    <xf numFmtId="0" fontId="56" fillId="0" borderId="0" xfId="12" applyFont="1" applyAlignment="1">
      <alignment vertical="center"/>
    </xf>
    <xf numFmtId="0" fontId="30" fillId="0" borderId="36" xfId="12" applyFont="1" applyBorder="1" applyAlignment="1">
      <alignment vertical="center"/>
    </xf>
    <xf numFmtId="49" fontId="57" fillId="0" borderId="30" xfId="12" applyNumberFormat="1" applyFont="1" applyBorder="1" applyAlignment="1">
      <alignment horizontal="center" vertical="center"/>
    </xf>
    <xf numFmtId="0" fontId="57" fillId="0" borderId="58" xfId="12" applyFont="1" applyBorder="1" applyAlignment="1">
      <alignment horizontal="center" vertical="center"/>
    </xf>
    <xf numFmtId="0" fontId="30" fillId="0" borderId="58" xfId="12" applyFont="1" applyBorder="1" applyAlignment="1">
      <alignment horizontal="center" vertical="center"/>
    </xf>
    <xf numFmtId="0" fontId="58" fillId="0" borderId="0" xfId="12" applyFont="1" applyAlignment="1">
      <alignment vertical="center"/>
    </xf>
    <xf numFmtId="0" fontId="32" fillId="0" borderId="36" xfId="12" applyFont="1" applyBorder="1" applyAlignment="1">
      <alignment vertical="center"/>
    </xf>
    <xf numFmtId="49" fontId="59" fillId="0" borderId="30" xfId="12" applyNumberFormat="1" applyFont="1" applyBorder="1" applyAlignment="1">
      <alignment horizontal="center" vertical="center"/>
    </xf>
    <xf numFmtId="0" fontId="59" fillId="0" borderId="58" xfId="12" applyFont="1" applyBorder="1" applyAlignment="1">
      <alignment horizontal="center" vertical="center"/>
    </xf>
    <xf numFmtId="0" fontId="32" fillId="0" borderId="58" xfId="12" applyFont="1" applyBorder="1" applyAlignment="1">
      <alignment horizontal="center" vertical="center"/>
    </xf>
    <xf numFmtId="0" fontId="29" fillId="0" borderId="38" xfId="12" applyFont="1" applyBorder="1" applyAlignment="1">
      <alignment vertical="center"/>
    </xf>
    <xf numFmtId="0" fontId="38" fillId="0" borderId="72" xfId="12" applyFont="1" applyBorder="1" applyAlignment="1">
      <alignment horizontal="center" vertical="center"/>
    </xf>
    <xf numFmtId="49" fontId="51" fillId="0" borderId="72" xfId="12" applyNumberFormat="1" applyFont="1" applyBorder="1" applyAlignment="1">
      <alignment horizontal="center" vertical="center"/>
    </xf>
    <xf numFmtId="0" fontId="51" fillId="0" borderId="73" xfId="12" applyFont="1" applyBorder="1" applyAlignment="1">
      <alignment horizontal="center" vertical="center"/>
    </xf>
    <xf numFmtId="0" fontId="29" fillId="0" borderId="73" xfId="12" applyFont="1" applyBorder="1" applyAlignment="1">
      <alignment horizontal="center" vertical="center"/>
    </xf>
    <xf numFmtId="49" fontId="38" fillId="0" borderId="73" xfId="12" applyNumberFormat="1" applyFont="1" applyBorder="1" applyAlignment="1">
      <alignment horizontal="center" vertical="center"/>
    </xf>
    <xf numFmtId="0" fontId="47" fillId="9" borderId="72" xfId="12" applyFont="1" applyFill="1" applyBorder="1" applyAlignment="1">
      <alignment horizontal="center" vertical="center"/>
    </xf>
    <xf numFmtId="0" fontId="38" fillId="0" borderId="74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59" xfId="2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43" fillId="13" borderId="62" xfId="13" applyFont="1" applyFill="1" applyBorder="1" applyAlignment="1">
      <alignment horizontal="center" vertical="center" wrapText="1"/>
    </xf>
    <xf numFmtId="49" fontId="43" fillId="13" borderId="61" xfId="13" applyNumberFormat="1" applyFont="1" applyFill="1" applyBorder="1" applyAlignment="1">
      <alignment horizontal="center" vertical="center" wrapText="1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25" fillId="0" borderId="28" xfId="13" applyFont="1" applyBorder="1" applyAlignment="1">
      <alignment horizontal="right" vertical="center" wrapText="1"/>
    </xf>
    <xf numFmtId="0" fontId="34" fillId="0" borderId="62" xfId="13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right" vertical="center"/>
    </xf>
    <xf numFmtId="0" fontId="2" fillId="0" borderId="75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7" fillId="5" borderId="76" xfId="0" applyFont="1" applyFill="1" applyBorder="1" applyAlignment="1">
      <alignment horizontal="center" vertical="center"/>
    </xf>
    <xf numFmtId="0" fontId="7" fillId="5" borderId="77" xfId="0" applyFont="1" applyFill="1" applyBorder="1" applyAlignment="1">
      <alignment horizontal="center" vertical="center"/>
    </xf>
    <xf numFmtId="0" fontId="7" fillId="5" borderId="7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" fillId="0" borderId="14" xfId="13" quotePrefix="1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7" fillId="5" borderId="8" xfId="13" applyFont="1" applyFill="1" applyBorder="1" applyAlignment="1">
      <alignment horizontal="center" vertical="center"/>
    </xf>
    <xf numFmtId="0" fontId="44" fillId="5" borderId="49" xfId="12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2" fillId="7" borderId="36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7" xfId="0" quotePrefix="1" applyFill="1" applyBorder="1" applyAlignment="1">
      <alignment vertical="center"/>
    </xf>
    <xf numFmtId="164" fontId="0" fillId="7" borderId="0" xfId="0" applyNumberFormat="1" applyFill="1" applyAlignment="1">
      <alignment horizontal="center" vertical="center"/>
    </xf>
    <xf numFmtId="0" fontId="2" fillId="7" borderId="38" xfId="0" applyFont="1" applyFill="1" applyBorder="1" applyAlignment="1">
      <alignment horizontal="right" vertical="center"/>
    </xf>
    <xf numFmtId="164" fontId="0" fillId="7" borderId="39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43" fillId="0" borderId="62" xfId="13" applyFont="1" applyBorder="1" applyAlignment="1">
      <alignment horizontal="center" vertical="center" wrapText="1"/>
    </xf>
    <xf numFmtId="49" fontId="43" fillId="0" borderId="61" xfId="13" applyNumberFormat="1" applyFont="1" applyBorder="1" applyAlignment="1">
      <alignment horizontal="center" vertical="center" wrapText="1"/>
    </xf>
    <xf numFmtId="0" fontId="23" fillId="13" borderId="25" xfId="0" applyFont="1" applyFill="1" applyBorder="1" applyAlignment="1">
      <alignment horizontal="right" vertical="center"/>
    </xf>
    <xf numFmtId="0" fontId="15" fillId="6" borderId="48" xfId="0" applyFont="1" applyFill="1" applyBorder="1" applyAlignment="1">
      <alignment horizontal="center" vertical="center"/>
    </xf>
    <xf numFmtId="0" fontId="0" fillId="13" borderId="36" xfId="0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25" fillId="6" borderId="28" xfId="13" applyFont="1" applyFill="1" applyBorder="1" applyAlignment="1">
      <alignment horizontal="right" vertical="center" wrapText="1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3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B346EFC-9CE3-4E2A-AD98-4345535505CF}"/>
  </tableStyles>
  <colors>
    <mruColors>
      <color rgb="FF00FFFF"/>
      <color rgb="FF008000"/>
      <color rgb="FF99FF99"/>
      <color rgb="FF00CCFF"/>
      <color rgb="FFFF00FF"/>
      <color rgb="FF3333FF"/>
      <color rgb="FF0033CC"/>
      <color rgb="FF9900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24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14</c:v>
                </c:pt>
                <c:pt idx="5">
                  <c:v>25</c:v>
                </c:pt>
                <c:pt idx="6">
                  <c:v>20</c:v>
                </c:pt>
                <c:pt idx="7">
                  <c:v>27</c:v>
                </c:pt>
                <c:pt idx="8">
                  <c:v>25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17</c:v>
                </c:pt>
                <c:pt idx="6">
                  <c:v>27</c:v>
                </c:pt>
                <c:pt idx="7">
                  <c:v>40</c:v>
                </c:pt>
                <c:pt idx="8">
                  <c:v>48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18</c:v>
                </c:pt>
                <c:pt idx="3">
                  <c:v>26</c:v>
                </c:pt>
                <c:pt idx="4">
                  <c:v>30</c:v>
                </c:pt>
                <c:pt idx="5">
                  <c:v>37</c:v>
                </c:pt>
                <c:pt idx="6">
                  <c:v>47</c:v>
                </c:pt>
                <c:pt idx="7">
                  <c:v>37</c:v>
                </c:pt>
                <c:pt idx="8">
                  <c:v>44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3</c:v>
                </c:pt>
                <c:pt idx="2">
                  <c:v>14</c:v>
                </c:pt>
                <c:pt idx="3">
                  <c:v>27</c:v>
                </c:pt>
                <c:pt idx="4">
                  <c:v>39</c:v>
                </c:pt>
                <c:pt idx="5">
                  <c:v>42</c:v>
                </c:pt>
                <c:pt idx="6">
                  <c:v>57</c:v>
                </c:pt>
                <c:pt idx="7">
                  <c:v>56</c:v>
                </c:pt>
                <c:pt idx="8">
                  <c:v>43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8</c:v>
                </c:pt>
                <c:pt idx="1">
                  <c:v>11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81</c:v>
                </c:pt>
                <c:pt idx="6">
                  <c:v>54</c:v>
                </c:pt>
                <c:pt idx="7">
                  <c:v>92</c:v>
                </c:pt>
                <c:pt idx="8">
                  <c:v>105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16</c:v>
                </c:pt>
                <c:pt idx="6">
                  <c:v>14</c:v>
                </c:pt>
                <c:pt idx="7">
                  <c:v>16</c:v>
                </c:pt>
                <c:pt idx="8">
                  <c:v>24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14</c:v>
                </c:pt>
                <c:pt idx="5">
                  <c:v>25</c:v>
                </c:pt>
                <c:pt idx="6">
                  <c:v>20</c:v>
                </c:pt>
                <c:pt idx="7">
                  <c:v>27</c:v>
                </c:pt>
                <c:pt idx="8">
                  <c:v>25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6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17</c:v>
                </c:pt>
                <c:pt idx="6">
                  <c:v>27</c:v>
                </c:pt>
                <c:pt idx="7">
                  <c:v>40</c:v>
                </c:pt>
                <c:pt idx="8">
                  <c:v>48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18</c:v>
                </c:pt>
                <c:pt idx="3">
                  <c:v>26</c:v>
                </c:pt>
                <c:pt idx="4">
                  <c:v>30</c:v>
                </c:pt>
                <c:pt idx="5">
                  <c:v>37</c:v>
                </c:pt>
                <c:pt idx="6">
                  <c:v>47</c:v>
                </c:pt>
                <c:pt idx="7">
                  <c:v>37</c:v>
                </c:pt>
                <c:pt idx="8">
                  <c:v>44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3</c:v>
                </c:pt>
                <c:pt idx="2">
                  <c:v>14</c:v>
                </c:pt>
                <c:pt idx="3">
                  <c:v>27</c:v>
                </c:pt>
                <c:pt idx="4">
                  <c:v>39</c:v>
                </c:pt>
                <c:pt idx="5">
                  <c:v>42</c:v>
                </c:pt>
                <c:pt idx="6">
                  <c:v>57</c:v>
                </c:pt>
                <c:pt idx="7">
                  <c:v>56</c:v>
                </c:pt>
                <c:pt idx="8">
                  <c:v>43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8</c:v>
                </c:pt>
                <c:pt idx="1">
                  <c:v>11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81</c:v>
                </c:pt>
                <c:pt idx="6">
                  <c:v>54</c:v>
                </c:pt>
                <c:pt idx="7">
                  <c:v>92</c:v>
                </c:pt>
                <c:pt idx="8">
                  <c:v>105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11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18</c:v>
                </c:pt>
                <c:pt idx="5">
                  <c:v>14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26</c:v>
                </c:pt>
                <c:pt idx="5">
                  <c:v>27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14</c:v>
                </c:pt>
                <c:pt idx="3">
                  <c:v>28</c:v>
                </c:pt>
                <c:pt idx="4">
                  <c:v>30</c:v>
                </c:pt>
                <c:pt idx="5">
                  <c:v>39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25</c:v>
                </c:pt>
                <c:pt idx="3">
                  <c:v>17</c:v>
                </c:pt>
                <c:pt idx="4">
                  <c:v>37</c:v>
                </c:pt>
                <c:pt idx="5">
                  <c:v>42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16</c:v>
                </c:pt>
                <c:pt idx="1">
                  <c:v>14</c:v>
                </c:pt>
                <c:pt idx="2">
                  <c:v>20</c:v>
                </c:pt>
                <c:pt idx="3">
                  <c:v>27</c:v>
                </c:pt>
                <c:pt idx="4">
                  <c:v>47</c:v>
                </c:pt>
                <c:pt idx="5">
                  <c:v>57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17</c:v>
                </c:pt>
                <c:pt idx="1">
                  <c:v>16</c:v>
                </c:pt>
                <c:pt idx="2">
                  <c:v>27</c:v>
                </c:pt>
                <c:pt idx="3">
                  <c:v>40</c:v>
                </c:pt>
                <c:pt idx="4">
                  <c:v>37</c:v>
                </c:pt>
                <c:pt idx="5">
                  <c:v>56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16</c:v>
                </c:pt>
                <c:pt idx="1">
                  <c:v>24</c:v>
                </c:pt>
                <c:pt idx="2">
                  <c:v>25</c:v>
                </c:pt>
                <c:pt idx="3">
                  <c:v>48</c:v>
                </c:pt>
                <c:pt idx="4">
                  <c:v>44</c:v>
                </c:pt>
                <c:pt idx="5">
                  <c:v>43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17</c:v>
                </c:pt>
                <c:pt idx="1">
                  <c:v>26</c:v>
                </c:pt>
                <c:pt idx="2">
                  <c:v>36</c:v>
                </c:pt>
                <c:pt idx="3">
                  <c:v>38</c:v>
                </c:pt>
                <c:pt idx="4">
                  <c:v>50</c:v>
                </c:pt>
                <c:pt idx="5">
                  <c:v>72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0</xdr:colOff>
      <xdr:row>10</xdr:row>
      <xdr:rowOff>0</xdr:rowOff>
    </xdr:from>
    <xdr:to>
      <xdr:col>45</xdr:col>
      <xdr:colOff>1066800</xdr:colOff>
      <xdr:row>11</xdr:row>
      <xdr:rowOff>432114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8C54A9-0E6E-6A8F-5772-D0DA3B77B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7560" y="3893820"/>
          <a:ext cx="3429000" cy="828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14</xdr:row>
      <xdr:rowOff>106681</xdr:rowOff>
    </xdr:from>
    <xdr:to>
      <xdr:col>19</xdr:col>
      <xdr:colOff>238126</xdr:colOff>
      <xdr:row>32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showGridLines="0" zoomScaleNormal="100" workbookViewId="0"/>
  </sheetViews>
  <sheetFormatPr defaultRowHeight="15.6" x14ac:dyDescent="0.3"/>
  <cols>
    <col min="1" max="1" width="20.6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4.19921875" style="43" customWidth="1"/>
    <col min="8" max="8" width="17.8984375" style="43" bestFit="1" customWidth="1"/>
    <col min="9" max="9" width="4.8984375" style="43" bestFit="1" customWidth="1"/>
    <col min="10" max="10" width="31.8984375" style="43" bestFit="1" customWidth="1"/>
    <col min="11" max="11" width="4.19921875" style="43" customWidth="1"/>
    <col min="12" max="12" width="19.59765625" style="43" bestFit="1" customWidth="1"/>
    <col min="13" max="13" width="7.3984375" style="43" bestFit="1" customWidth="1"/>
    <col min="14" max="14" width="14.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99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0" t="s">
        <v>106</v>
      </c>
      <c r="B2" s="70">
        <v>1</v>
      </c>
      <c r="C2" s="44">
        <v>6</v>
      </c>
      <c r="D2" s="45">
        <v>13</v>
      </c>
      <c r="E2" s="44">
        <f t="shared" ref="E2:E7" si="0">SUM(C2:D2)</f>
        <v>19</v>
      </c>
      <c r="F2" s="44" t="s">
        <v>341</v>
      </c>
      <c r="H2" s="71" t="s">
        <v>0</v>
      </c>
      <c r="I2" s="72" t="s">
        <v>21</v>
      </c>
      <c r="J2" s="73" t="s">
        <v>22</v>
      </c>
      <c r="L2" s="119" t="s">
        <v>0</v>
      </c>
      <c r="M2" s="120" t="s">
        <v>82</v>
      </c>
      <c r="N2" s="121" t="s">
        <v>64</v>
      </c>
    </row>
    <row r="3" spans="1:14" x14ac:dyDescent="0.3">
      <c r="A3" s="70" t="s">
        <v>212</v>
      </c>
      <c r="B3" s="70">
        <v>1</v>
      </c>
      <c r="C3" s="44">
        <v>4</v>
      </c>
      <c r="D3" s="45">
        <v>13</v>
      </c>
      <c r="E3" s="44">
        <f t="shared" si="0"/>
        <v>17</v>
      </c>
      <c r="F3" s="44" t="s">
        <v>5</v>
      </c>
      <c r="H3" s="299" t="s">
        <v>212</v>
      </c>
      <c r="I3" s="70">
        <v>6</v>
      </c>
      <c r="J3" s="74" t="s">
        <v>211</v>
      </c>
      <c r="L3" s="300" t="s">
        <v>232</v>
      </c>
      <c r="M3" s="301">
        <v>6</v>
      </c>
      <c r="N3" s="302"/>
    </row>
    <row r="4" spans="1:14" x14ac:dyDescent="0.3">
      <c r="A4" s="70" t="s">
        <v>105</v>
      </c>
      <c r="B4" s="70">
        <v>1</v>
      </c>
      <c r="C4" s="44">
        <v>4</v>
      </c>
      <c r="D4" s="45">
        <v>13</v>
      </c>
      <c r="E4" s="44">
        <f t="shared" si="0"/>
        <v>17</v>
      </c>
      <c r="F4" s="44" t="s">
        <v>5</v>
      </c>
      <c r="H4" s="330" t="s">
        <v>108</v>
      </c>
      <c r="I4" s="331">
        <v>6</v>
      </c>
      <c r="J4" s="332" t="s">
        <v>109</v>
      </c>
      <c r="L4" s="303"/>
      <c r="M4" s="111"/>
      <c r="N4" s="122"/>
    </row>
    <row r="5" spans="1:14" ht="16.2" thickBot="1" x14ac:dyDescent="0.35">
      <c r="A5" s="70" t="s">
        <v>198</v>
      </c>
      <c r="B5" s="70">
        <v>1</v>
      </c>
      <c r="C5" s="44">
        <v>0</v>
      </c>
      <c r="D5" s="45">
        <v>13</v>
      </c>
      <c r="E5" s="44">
        <f t="shared" si="0"/>
        <v>13</v>
      </c>
      <c r="F5" s="44" t="s">
        <v>5</v>
      </c>
      <c r="H5" s="299" t="s">
        <v>198</v>
      </c>
      <c r="I5" s="70">
        <v>6</v>
      </c>
      <c r="J5" s="74" t="s">
        <v>205</v>
      </c>
      <c r="L5" s="123"/>
      <c r="M5" s="124"/>
      <c r="N5" s="125"/>
    </row>
    <row r="6" spans="1:14" x14ac:dyDescent="0.3">
      <c r="A6" s="64" t="s">
        <v>233</v>
      </c>
      <c r="B6" s="64">
        <v>1</v>
      </c>
      <c r="C6" s="44">
        <v>3</v>
      </c>
      <c r="D6" s="45">
        <v>8</v>
      </c>
      <c r="E6" s="44">
        <f t="shared" si="0"/>
        <v>11</v>
      </c>
      <c r="F6" s="44" t="s">
        <v>213</v>
      </c>
      <c r="H6" s="299" t="s">
        <v>106</v>
      </c>
      <c r="I6" s="70">
        <v>6</v>
      </c>
      <c r="J6" s="74" t="s">
        <v>107</v>
      </c>
      <c r="L6" s="126" t="s">
        <v>23</v>
      </c>
      <c r="M6" s="127">
        <f>SUM(M3:M5)</f>
        <v>6</v>
      </c>
      <c r="N6" s="122"/>
    </row>
    <row r="7" spans="1:14" ht="16.2" thickBot="1" x14ac:dyDescent="0.35">
      <c r="A7" s="111" t="s">
        <v>232</v>
      </c>
      <c r="B7" s="111">
        <v>2</v>
      </c>
      <c r="C7" s="44">
        <v>0</v>
      </c>
      <c r="D7" s="45">
        <v>3</v>
      </c>
      <c r="E7" s="44">
        <f t="shared" si="0"/>
        <v>3</v>
      </c>
      <c r="F7" s="44" t="s">
        <v>230</v>
      </c>
      <c r="H7" s="158" t="s">
        <v>105</v>
      </c>
      <c r="I7" s="159">
        <v>6</v>
      </c>
      <c r="J7" s="160" t="s">
        <v>204</v>
      </c>
      <c r="L7" s="126" t="s">
        <v>94</v>
      </c>
      <c r="M7" s="127">
        <f>AVERAGE(M3:M5)</f>
        <v>6</v>
      </c>
      <c r="N7" s="122"/>
    </row>
    <row r="8" spans="1:14" ht="16.2" thickBot="1" x14ac:dyDescent="0.35">
      <c r="H8" s="75" t="s">
        <v>23</v>
      </c>
      <c r="I8" s="76">
        <f>SUM(I3:I7)</f>
        <v>30</v>
      </c>
      <c r="J8" s="74"/>
      <c r="L8" s="128" t="s">
        <v>24</v>
      </c>
      <c r="M8" s="152">
        <f>COUNT(M5:M5)</f>
        <v>0</v>
      </c>
      <c r="N8" s="129"/>
    </row>
    <row r="9" spans="1:14" ht="16.2" thickTop="1" x14ac:dyDescent="0.3">
      <c r="D9" s="45">
        <f t="shared" ref="D9" ca="1" si="1">RANDBETWEEN(1,20)</f>
        <v>18</v>
      </c>
      <c r="H9" s="75" t="s">
        <v>24</v>
      </c>
      <c r="I9" s="76">
        <f>COUNT(I3:I7)</f>
        <v>5</v>
      </c>
      <c r="J9" s="77"/>
    </row>
    <row r="10" spans="1:14" x14ac:dyDescent="0.3">
      <c r="H10" s="75" t="s">
        <v>26</v>
      </c>
      <c r="I10" s="78">
        <f>I8/4</f>
        <v>7.5</v>
      </c>
      <c r="J10" s="74" t="s">
        <v>27</v>
      </c>
      <c r="L10" s="83" t="s">
        <v>30</v>
      </c>
      <c r="M10" s="84">
        <f>I10</f>
        <v>7.5</v>
      </c>
      <c r="N10" s="82"/>
    </row>
    <row r="11" spans="1:14" ht="16.2" thickBot="1" x14ac:dyDescent="0.35">
      <c r="H11" s="79" t="s">
        <v>28</v>
      </c>
      <c r="I11" s="80">
        <f>I10*2</f>
        <v>15</v>
      </c>
      <c r="J11" s="81" t="s">
        <v>29</v>
      </c>
      <c r="L11" s="83" t="s">
        <v>31</v>
      </c>
      <c r="M11" s="84">
        <f>I11</f>
        <v>15</v>
      </c>
      <c r="N11" s="82"/>
    </row>
    <row r="12" spans="1:14" ht="16.2" thickTop="1" x14ac:dyDescent="0.3">
      <c r="H12" s="82"/>
      <c r="I12" s="82"/>
      <c r="J12" s="82"/>
      <c r="L12" s="83" t="s">
        <v>32</v>
      </c>
      <c r="M12" s="84">
        <f>I8</f>
        <v>30</v>
      </c>
      <c r="N12" s="82"/>
    </row>
    <row r="13" spans="1:14" x14ac:dyDescent="0.3">
      <c r="H13" s="82"/>
      <c r="I13" s="82"/>
      <c r="J13" s="82"/>
      <c r="L13" s="85" t="s">
        <v>33</v>
      </c>
      <c r="M13" s="84">
        <f>M6</f>
        <v>6</v>
      </c>
      <c r="N13" s="82"/>
    </row>
    <row r="14" spans="1:14" ht="16.2" thickBot="1" x14ac:dyDescent="0.35">
      <c r="H14" s="39" t="s">
        <v>333</v>
      </c>
      <c r="I14" s="39"/>
      <c r="J14" s="39"/>
    </row>
    <row r="15" spans="1:14" ht="16.8" thickTop="1" thickBot="1" x14ac:dyDescent="0.35">
      <c r="H15" s="311" t="s">
        <v>0</v>
      </c>
      <c r="I15" s="312" t="s">
        <v>21</v>
      </c>
      <c r="J15" s="313" t="s">
        <v>22</v>
      </c>
    </row>
    <row r="16" spans="1:14" x14ac:dyDescent="0.3">
      <c r="H16" s="314" t="s">
        <v>248</v>
      </c>
      <c r="I16" s="64">
        <v>8</v>
      </c>
      <c r="J16" s="315" t="s">
        <v>285</v>
      </c>
    </row>
    <row r="17" spans="8:10" x14ac:dyDescent="0.3">
      <c r="H17" s="314" t="s">
        <v>271</v>
      </c>
      <c r="I17" s="64">
        <v>8</v>
      </c>
      <c r="J17" s="315" t="s">
        <v>287</v>
      </c>
    </row>
    <row r="18" spans="8:10" x14ac:dyDescent="0.3">
      <c r="H18" s="314" t="s">
        <v>255</v>
      </c>
      <c r="I18" s="64">
        <v>7</v>
      </c>
      <c r="J18" s="315" t="s">
        <v>321</v>
      </c>
    </row>
    <row r="19" spans="8:10" x14ac:dyDescent="0.3">
      <c r="H19" s="314" t="s">
        <v>256</v>
      </c>
      <c r="I19" s="64">
        <v>7</v>
      </c>
      <c r="J19" s="315" t="s">
        <v>321</v>
      </c>
    </row>
    <row r="20" spans="8:10" x14ac:dyDescent="0.3">
      <c r="H20" s="314" t="s">
        <v>257</v>
      </c>
      <c r="I20" s="64">
        <v>7</v>
      </c>
      <c r="J20" s="315" t="s">
        <v>249</v>
      </c>
    </row>
    <row r="21" spans="8:10" x14ac:dyDescent="0.3">
      <c r="H21" s="314" t="s">
        <v>258</v>
      </c>
      <c r="I21" s="64">
        <v>6</v>
      </c>
      <c r="J21" s="315" t="s">
        <v>250</v>
      </c>
    </row>
    <row r="22" spans="8:10" x14ac:dyDescent="0.3">
      <c r="H22" s="314" t="s">
        <v>259</v>
      </c>
      <c r="I22" s="64">
        <v>6</v>
      </c>
      <c r="J22" s="315" t="s">
        <v>251</v>
      </c>
    </row>
    <row r="23" spans="8:10" x14ac:dyDescent="0.3">
      <c r="H23" s="314" t="s">
        <v>266</v>
      </c>
      <c r="I23" s="64">
        <v>6</v>
      </c>
      <c r="J23" s="315" t="s">
        <v>252</v>
      </c>
    </row>
    <row r="24" spans="8:10" x14ac:dyDescent="0.3">
      <c r="H24" s="314" t="s">
        <v>267</v>
      </c>
      <c r="I24" s="64">
        <v>6</v>
      </c>
      <c r="J24" s="315" t="s">
        <v>253</v>
      </c>
    </row>
    <row r="25" spans="8:10" x14ac:dyDescent="0.3">
      <c r="H25" s="314" t="s">
        <v>265</v>
      </c>
      <c r="I25" s="64">
        <v>6</v>
      </c>
      <c r="J25" s="315" t="s">
        <v>309</v>
      </c>
    </row>
    <row r="26" spans="8:10" x14ac:dyDescent="0.3">
      <c r="H26" s="314" t="s">
        <v>269</v>
      </c>
      <c r="I26" s="64">
        <v>6</v>
      </c>
      <c r="J26" s="315" t="s">
        <v>286</v>
      </c>
    </row>
    <row r="27" spans="8:10" ht="16.2" thickBot="1" x14ac:dyDescent="0.35">
      <c r="H27" s="316" t="s">
        <v>273</v>
      </c>
      <c r="I27" s="317">
        <v>5</v>
      </c>
      <c r="J27" s="318" t="s">
        <v>254</v>
      </c>
    </row>
    <row r="28" spans="8:10" x14ac:dyDescent="0.3">
      <c r="H28" s="319" t="s">
        <v>23</v>
      </c>
      <c r="I28" s="320">
        <f>SUM(I16:I27)</f>
        <v>78</v>
      </c>
      <c r="J28" s="315"/>
    </row>
    <row r="29" spans="8:10" x14ac:dyDescent="0.3">
      <c r="H29" s="319" t="s">
        <v>24</v>
      </c>
      <c r="I29" s="320">
        <f>COUNT(I16:I27)</f>
        <v>12</v>
      </c>
      <c r="J29" s="321"/>
    </row>
    <row r="30" spans="8:10" x14ac:dyDescent="0.3">
      <c r="H30" s="319" t="s">
        <v>26</v>
      </c>
      <c r="I30" s="322">
        <f>I28/4</f>
        <v>19.5</v>
      </c>
      <c r="J30" s="315" t="s">
        <v>27</v>
      </c>
    </row>
    <row r="31" spans="8:10" ht="16.2" thickBot="1" x14ac:dyDescent="0.35">
      <c r="H31" s="323" t="s">
        <v>28</v>
      </c>
      <c r="I31" s="324">
        <f>I30*2</f>
        <v>39</v>
      </c>
      <c r="J31" s="325" t="s">
        <v>29</v>
      </c>
    </row>
    <row r="32" spans="8:10" ht="16.2" thickTop="1" x14ac:dyDescent="0.3">
      <c r="H32" s="82"/>
      <c r="I32" s="82"/>
      <c r="J32" s="82"/>
    </row>
    <row r="33" spans="8:14" x14ac:dyDescent="0.3">
      <c r="H33" s="82"/>
      <c r="I33" s="82"/>
      <c r="J33" s="82"/>
    </row>
    <row r="34" spans="8:14" x14ac:dyDescent="0.3">
      <c r="H34" s="82"/>
      <c r="I34" s="82"/>
      <c r="J34" s="82"/>
      <c r="L34" s="83"/>
      <c r="M34" s="84"/>
      <c r="N34" s="82"/>
    </row>
    <row r="35" spans="8:14" x14ac:dyDescent="0.3">
      <c r="H35" s="82"/>
      <c r="I35" s="82"/>
      <c r="J35" s="82"/>
      <c r="L35" s="83"/>
      <c r="M35" s="84"/>
      <c r="N35" s="82"/>
    </row>
    <row r="36" spans="8:14" x14ac:dyDescent="0.3">
      <c r="H36" s="82"/>
      <c r="I36" s="82"/>
      <c r="J36" s="82"/>
      <c r="L36" s="83"/>
      <c r="M36" s="84"/>
      <c r="N36" s="82"/>
    </row>
    <row r="37" spans="8:14" x14ac:dyDescent="0.3">
      <c r="H37" s="82"/>
      <c r="I37" s="82"/>
      <c r="J37" s="82"/>
      <c r="N37" s="82"/>
    </row>
    <row r="38" spans="8:14" x14ac:dyDescent="0.3">
      <c r="H38" s="82"/>
      <c r="I38" s="82"/>
      <c r="J38" s="82"/>
      <c r="L38" s="85" t="s">
        <v>33</v>
      </c>
      <c r="M38" s="84">
        <f>M30</f>
        <v>0</v>
      </c>
    </row>
    <row r="39" spans="8:14" x14ac:dyDescent="0.3">
      <c r="H39" s="82"/>
      <c r="I39" s="82"/>
      <c r="J39" s="82"/>
    </row>
  </sheetData>
  <sortState xmlns:xlrd2="http://schemas.microsoft.com/office/spreadsheetml/2017/richdata2" ref="A2:F7">
    <sortCondition descending="1" ref="E2:E7"/>
    <sortCondition descending="1" ref="C2:C7"/>
  </sortState>
  <conditionalFormatting sqref="M13">
    <cfRule type="cellIs" dxfId="30" priority="1438" operator="greaterThan">
      <formula>$M$12</formula>
    </cfRule>
    <cfRule type="cellIs" dxfId="29" priority="1439" operator="between">
      <formula>$M$11</formula>
      <formula>$M$12</formula>
    </cfRule>
    <cfRule type="cellIs" dxfId="28" priority="1440" operator="between">
      <formula>$M$10</formula>
      <formula>$M$11</formula>
    </cfRule>
    <cfRule type="cellIs" dxfId="27" priority="1441" operator="lessThan">
      <formula>$M$10</formula>
    </cfRule>
  </conditionalFormatting>
  <conditionalFormatting sqref="M38">
    <cfRule type="cellIs" dxfId="26" priority="1" operator="greaterThan">
      <formula>$M$12</formula>
    </cfRule>
    <cfRule type="cellIs" dxfId="25" priority="2" operator="between">
      <formula>$M$11</formula>
      <formula>$M$12</formula>
    </cfRule>
    <cfRule type="cellIs" dxfId="24" priority="3" operator="between">
      <formula>$M$10</formula>
      <formula>$M$11</formula>
    </cfRule>
    <cfRule type="cellIs" dxfId="23" priority="4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13"/>
  <sheetViews>
    <sheetView showGridLines="0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13.59765625" style="212" bestFit="1" customWidth="1"/>
    <col min="2" max="2" width="13.09765625" style="212" bestFit="1" customWidth="1"/>
    <col min="3" max="3" width="9.796875" style="304" bestFit="1" customWidth="1"/>
    <col min="4" max="4" width="11.19921875" style="193" customWidth="1"/>
    <col min="5" max="5" width="13" style="193" customWidth="1"/>
    <col min="6" max="6" width="5" style="213" bestFit="1" customWidth="1"/>
    <col min="7" max="7" width="4" style="213" bestFit="1" customWidth="1"/>
    <col min="8" max="8" width="4.296875" style="213" bestFit="1" customWidth="1"/>
    <col min="9" max="9" width="10.19921875" style="193" bestFit="1" customWidth="1"/>
    <col min="10" max="10" width="6.796875" style="213" bestFit="1" customWidth="1"/>
    <col min="11" max="11" width="3.69921875" style="213" bestFit="1" customWidth="1"/>
    <col min="12" max="12" width="3.19921875" style="213" customWidth="1"/>
    <col min="13" max="13" width="4.59765625" style="213" customWidth="1"/>
    <col min="14" max="14" width="3.19921875" style="213" customWidth="1"/>
    <col min="15" max="15" width="4.8984375" style="213" bestFit="1" customWidth="1"/>
    <col min="16" max="16" width="3.19921875" style="213" customWidth="1"/>
    <col min="17" max="17" width="3.69921875" style="213" bestFit="1" customWidth="1"/>
    <col min="18" max="18" width="3.19921875" style="213" customWidth="1"/>
    <col min="19" max="19" width="4.59765625" style="213" customWidth="1"/>
    <col min="20" max="20" width="3.19921875" style="213" customWidth="1"/>
    <col min="21" max="21" width="4.796875" style="213" customWidth="1"/>
    <col min="22" max="22" width="3.19921875" style="213" customWidth="1"/>
    <col min="23" max="23" width="4.3984375" style="213" bestFit="1" customWidth="1"/>
    <col min="24" max="24" width="4.296875" style="213" bestFit="1" customWidth="1"/>
    <col min="25" max="25" width="5" style="213" bestFit="1" customWidth="1"/>
    <col min="26" max="26" width="3.296875" style="213" customWidth="1"/>
    <col min="27" max="27" width="4.19921875" style="213" bestFit="1" customWidth="1"/>
    <col min="28" max="28" width="3.296875" style="213" customWidth="1"/>
    <col min="29" max="29" width="4.296875" style="213" bestFit="1" customWidth="1"/>
    <col min="30" max="30" width="3.296875" style="213" customWidth="1"/>
    <col min="31" max="31" width="5.3984375" style="213" bestFit="1" customWidth="1"/>
    <col min="32" max="32" width="5.5" style="213" bestFit="1" customWidth="1"/>
    <col min="33" max="33" width="3.69921875" style="193" bestFit="1" customWidth="1"/>
    <col min="34" max="34" width="6.796875" style="193" bestFit="1" customWidth="1"/>
    <col min="35" max="35" width="4" style="213" bestFit="1" customWidth="1"/>
    <col min="36" max="36" width="11.59765625" style="213" bestFit="1" customWidth="1"/>
    <col min="37" max="37" width="34.3984375" style="213" customWidth="1"/>
    <col min="38" max="38" width="26.8984375" style="213" customWidth="1"/>
    <col min="39" max="39" width="20.59765625" style="213" bestFit="1" customWidth="1"/>
    <col min="40" max="40" width="23.69921875" style="213" bestFit="1" customWidth="1"/>
    <col min="41" max="41" width="11.69921875" style="213" bestFit="1" customWidth="1"/>
    <col min="42" max="42" width="12.796875" style="213" bestFit="1" customWidth="1"/>
    <col min="43" max="43" width="27.3984375" style="213" bestFit="1" customWidth="1"/>
    <col min="44" max="44" width="20.69921875" style="193" bestFit="1" customWidth="1"/>
    <col min="45" max="45" width="31" style="193" bestFit="1" customWidth="1"/>
    <col min="46" max="46" width="30.69921875" style="193" bestFit="1" customWidth="1"/>
    <col min="47" max="47" width="31.5" style="193" customWidth="1"/>
    <col min="48" max="48" width="13" style="193" bestFit="1" customWidth="1"/>
    <col min="49" max="16384" width="8.5" style="213"/>
  </cols>
  <sheetData>
    <row r="1" spans="1:44" ht="17.399999999999999" thickBot="1" x14ac:dyDescent="0.35">
      <c r="A1" s="176" t="s">
        <v>114</v>
      </c>
      <c r="B1" s="176" t="s">
        <v>115</v>
      </c>
      <c r="C1" s="177" t="s">
        <v>1</v>
      </c>
      <c r="D1" s="280" t="s">
        <v>116</v>
      </c>
      <c r="E1" s="280" t="s">
        <v>117</v>
      </c>
      <c r="F1" s="177" t="s">
        <v>21</v>
      </c>
      <c r="G1" s="177" t="s">
        <v>118</v>
      </c>
      <c r="H1" s="177" t="s">
        <v>119</v>
      </c>
      <c r="I1" s="280" t="s">
        <v>120</v>
      </c>
      <c r="J1" s="178" t="s">
        <v>195</v>
      </c>
      <c r="K1" s="179" t="s">
        <v>121</v>
      </c>
      <c r="L1" s="180" t="s">
        <v>122</v>
      </c>
      <c r="M1" s="181" t="s">
        <v>123</v>
      </c>
      <c r="N1" s="180" t="s">
        <v>124</v>
      </c>
      <c r="O1" s="182" t="s">
        <v>125</v>
      </c>
      <c r="P1" s="180" t="s">
        <v>126</v>
      </c>
      <c r="Q1" s="183" t="s">
        <v>127</v>
      </c>
      <c r="R1" s="180" t="s">
        <v>128</v>
      </c>
      <c r="S1" s="184" t="s">
        <v>129</v>
      </c>
      <c r="T1" s="180" t="s">
        <v>130</v>
      </c>
      <c r="U1" s="185" t="s">
        <v>131</v>
      </c>
      <c r="V1" s="180" t="s">
        <v>132</v>
      </c>
      <c r="W1" s="186" t="s">
        <v>133</v>
      </c>
      <c r="X1" s="181" t="s">
        <v>134</v>
      </c>
      <c r="Y1" s="187" t="s">
        <v>135</v>
      </c>
      <c r="Z1" s="188" t="s">
        <v>40</v>
      </c>
      <c r="AA1" s="189" t="s">
        <v>136</v>
      </c>
      <c r="AB1" s="188" t="s">
        <v>41</v>
      </c>
      <c r="AC1" s="190" t="s">
        <v>137</v>
      </c>
      <c r="AD1" s="188" t="s">
        <v>42</v>
      </c>
      <c r="AE1" s="179" t="s">
        <v>36</v>
      </c>
      <c r="AF1" s="191" t="s">
        <v>44</v>
      </c>
      <c r="AG1" s="191" t="s">
        <v>138</v>
      </c>
      <c r="AH1" s="191" t="s">
        <v>45</v>
      </c>
      <c r="AI1" s="182" t="s">
        <v>139</v>
      </c>
      <c r="AJ1" s="182" t="s">
        <v>140</v>
      </c>
      <c r="AK1" s="192" t="s">
        <v>197</v>
      </c>
      <c r="AL1" s="177" t="s">
        <v>141</v>
      </c>
      <c r="AM1" s="177" t="s">
        <v>142</v>
      </c>
      <c r="AN1" s="177" t="s">
        <v>143</v>
      </c>
      <c r="AO1" s="177" t="s">
        <v>144</v>
      </c>
      <c r="AP1" s="177" t="s">
        <v>145</v>
      </c>
      <c r="AQ1" s="177" t="s">
        <v>146</v>
      </c>
      <c r="AR1" s="178" t="s">
        <v>196</v>
      </c>
    </row>
    <row r="2" spans="1:44" s="193" customFormat="1" ht="46.8" x14ac:dyDescent="0.3">
      <c r="A2" s="286" t="s">
        <v>248</v>
      </c>
      <c r="B2" s="286" t="s">
        <v>264</v>
      </c>
      <c r="C2" s="308" t="s">
        <v>277</v>
      </c>
      <c r="D2" s="195" t="s">
        <v>275</v>
      </c>
      <c r="E2" s="195" t="s">
        <v>285</v>
      </c>
      <c r="F2" s="194">
        <v>8</v>
      </c>
      <c r="G2" s="195" t="s">
        <v>281</v>
      </c>
      <c r="H2" s="195">
        <v>36</v>
      </c>
      <c r="I2" s="195" t="s">
        <v>282</v>
      </c>
      <c r="J2" s="198" t="s">
        <v>284</v>
      </c>
      <c r="K2" s="287">
        <v>15</v>
      </c>
      <c r="L2" s="199" t="str">
        <f t="shared" ref="L2:L13" si="0">IF(K2&gt;9.9,CONCATENATE("+",ROUNDDOWN((K2-10) / 2,0)),ROUNDUP((K2-10) / 2,0))</f>
        <v>+2</v>
      </c>
      <c r="M2" s="199">
        <v>12</v>
      </c>
      <c r="N2" s="199" t="str">
        <f t="shared" ref="N2:N13" si="1">IF(M2&gt;9.9,CONCATENATE("+",ROUNDDOWN((M2-10) / 2,0)),ROUNDUP((M2-10) / 2,0))</f>
        <v>+1</v>
      </c>
      <c r="O2" s="199">
        <v>17</v>
      </c>
      <c r="P2" s="199" t="str">
        <f t="shared" ref="P2:P13" si="2">IF(O2&gt;9.9,CONCATENATE("+",ROUNDDOWN((O2-10) / 2,0)),ROUNDUP((O2-10) / 2,0))</f>
        <v>+3</v>
      </c>
      <c r="Q2" s="199">
        <v>11</v>
      </c>
      <c r="R2" s="199" t="str">
        <f t="shared" ref="R2:R13" si="3">IF(Q2&gt;9.9,CONCATENATE("+",ROUNDDOWN((Q2-10) / 2,0)),ROUNDUP((Q2-10) / 2,0))</f>
        <v>+0</v>
      </c>
      <c r="S2" s="199">
        <v>13</v>
      </c>
      <c r="T2" s="199" t="str">
        <f t="shared" ref="T2:T13" si="4">IF(S2&gt;9.9,CONCATENATE("+",ROUNDDOWN((S2-10) / 2,0)),ROUNDUP((S2-10) / 2,0))</f>
        <v>+1</v>
      </c>
      <c r="U2" s="200">
        <v>15</v>
      </c>
      <c r="V2" s="200" t="str">
        <f t="shared" ref="V2:V13" si="5">IF(U2&gt;9.9,CONCATENATE("+",ROUNDDOWN((U2-10) / 2,0)),ROUNDUP((U2-10) / 2,0))</f>
        <v>+2</v>
      </c>
      <c r="W2" s="201">
        <f t="shared" ref="W2:W13" si="6">AVERAGE(K2,M2,O2,Q2,S2,U2)</f>
        <v>13.833333333333334</v>
      </c>
      <c r="X2" s="202" t="str">
        <f t="shared" ref="X2:X13" si="7">IF(M2&gt;9.9,CONCATENATE("+",ROUNDDOWN((M2-10) / 2,0)),ROUNDUP((M2-10) / 2,0))</f>
        <v>+1</v>
      </c>
      <c r="Y2" s="203">
        <f>4+3</f>
        <v>7</v>
      </c>
      <c r="Z2" s="204">
        <f t="shared" ref="Z2:Z13" si="8">IF(O2&gt;9.9,(ROUNDDOWN((O2-10) / 2,0)),ROUNDUP((O2-10) / 2,0))+Y2</f>
        <v>10</v>
      </c>
      <c r="AA2" s="205">
        <f>4+1</f>
        <v>5</v>
      </c>
      <c r="AB2" s="206">
        <f t="shared" ref="AB2:AB13" si="9">AA2+X2</f>
        <v>6</v>
      </c>
      <c r="AC2" s="205">
        <f>1+3</f>
        <v>4</v>
      </c>
      <c r="AD2" s="208">
        <f t="shared" ref="AD2:AD13" si="10">IF(S2&gt;9.9,(ROUNDDOWN((S2-10) / 2,0)),ROUNDUP((S2-10) / 2,0))+AC2</f>
        <v>5</v>
      </c>
      <c r="AE2" s="209">
        <f>F2</f>
        <v>8</v>
      </c>
      <c r="AF2" s="200">
        <f t="shared" ref="AF2:AF13" si="11">10+N2</f>
        <v>11</v>
      </c>
      <c r="AG2" s="200">
        <f t="shared" ref="AG2:AG13" si="12">10+AP2</f>
        <v>20</v>
      </c>
      <c r="AH2" s="200">
        <f t="shared" ref="AH2:AH13" si="13">AF2+AP2</f>
        <v>21</v>
      </c>
      <c r="AI2" s="209">
        <f>(F2*10*0.75)+(P2+F2)</f>
        <v>71</v>
      </c>
      <c r="AJ2" s="210">
        <f>(2+R2)*F2+3</f>
        <v>19</v>
      </c>
      <c r="AK2" s="211" t="s">
        <v>303</v>
      </c>
      <c r="AL2" s="326" t="s">
        <v>295</v>
      </c>
      <c r="AM2" s="327" t="s">
        <v>294</v>
      </c>
      <c r="AN2" s="196" t="s">
        <v>330</v>
      </c>
      <c r="AO2" s="195" t="s">
        <v>312</v>
      </c>
      <c r="AP2" s="197">
        <f>8+2</f>
        <v>10</v>
      </c>
      <c r="AQ2" s="197"/>
      <c r="AR2" s="198"/>
    </row>
    <row r="3" spans="1:44" s="193" customFormat="1" ht="52.8" x14ac:dyDescent="0.3">
      <c r="A3" s="333" t="s">
        <v>271</v>
      </c>
      <c r="B3" s="333" t="s">
        <v>272</v>
      </c>
      <c r="C3" s="308" t="s">
        <v>277</v>
      </c>
      <c r="D3" s="195" t="s">
        <v>275</v>
      </c>
      <c r="E3" s="195" t="s">
        <v>287</v>
      </c>
      <c r="F3" s="194">
        <v>8</v>
      </c>
      <c r="G3" s="195" t="s">
        <v>281</v>
      </c>
      <c r="H3" s="195">
        <v>37</v>
      </c>
      <c r="I3" s="195" t="s">
        <v>283</v>
      </c>
      <c r="J3" s="198" t="s">
        <v>284</v>
      </c>
      <c r="K3" s="287">
        <v>8</v>
      </c>
      <c r="L3" s="199">
        <f t="shared" si="0"/>
        <v>-1</v>
      </c>
      <c r="M3" s="199">
        <v>11</v>
      </c>
      <c r="N3" s="199" t="str">
        <f t="shared" si="1"/>
        <v>+0</v>
      </c>
      <c r="O3" s="199">
        <v>9</v>
      </c>
      <c r="P3" s="199">
        <f t="shared" si="2"/>
        <v>-1</v>
      </c>
      <c r="Q3" s="199">
        <v>18</v>
      </c>
      <c r="R3" s="199" t="str">
        <f t="shared" si="3"/>
        <v>+4</v>
      </c>
      <c r="S3" s="199">
        <v>16</v>
      </c>
      <c r="T3" s="199" t="str">
        <f t="shared" si="4"/>
        <v>+3</v>
      </c>
      <c r="U3" s="200">
        <v>17</v>
      </c>
      <c r="V3" s="200" t="str">
        <f t="shared" si="5"/>
        <v>+3</v>
      </c>
      <c r="W3" s="201">
        <f t="shared" si="6"/>
        <v>13.166666666666666</v>
      </c>
      <c r="X3" s="202" t="str">
        <f t="shared" si="7"/>
        <v>+0</v>
      </c>
      <c r="Y3" s="203">
        <f>1+1</f>
        <v>2</v>
      </c>
      <c r="Z3" s="204">
        <f t="shared" si="8"/>
        <v>1</v>
      </c>
      <c r="AA3" s="205">
        <f>1+2</f>
        <v>3</v>
      </c>
      <c r="AB3" s="206">
        <f t="shared" si="9"/>
        <v>3</v>
      </c>
      <c r="AC3" s="205">
        <f>4+3</f>
        <v>7</v>
      </c>
      <c r="AD3" s="208">
        <f t="shared" si="10"/>
        <v>10</v>
      </c>
      <c r="AE3" s="209">
        <f>3+1</f>
        <v>4</v>
      </c>
      <c r="AF3" s="200">
        <f t="shared" si="11"/>
        <v>10</v>
      </c>
      <c r="AG3" s="200">
        <f t="shared" si="12"/>
        <v>10</v>
      </c>
      <c r="AH3" s="200">
        <f t="shared" si="13"/>
        <v>10</v>
      </c>
      <c r="AI3" s="209">
        <f>(F3*4*0.75)+(P3+F3)</f>
        <v>31</v>
      </c>
      <c r="AJ3" s="210">
        <f>(6+R3)*F3+3</f>
        <v>83</v>
      </c>
      <c r="AK3" s="211" t="s">
        <v>288</v>
      </c>
      <c r="AL3" s="326" t="s">
        <v>289</v>
      </c>
      <c r="AM3" s="327" t="s">
        <v>291</v>
      </c>
      <c r="AN3" s="196" t="s">
        <v>331</v>
      </c>
      <c r="AO3" s="195" t="s">
        <v>304</v>
      </c>
      <c r="AP3" s="197">
        <v>0</v>
      </c>
      <c r="AQ3" s="197"/>
      <c r="AR3" s="198"/>
    </row>
    <row r="4" spans="1:44" s="193" customFormat="1" ht="31.2" x14ac:dyDescent="0.3">
      <c r="A4" s="333" t="s">
        <v>255</v>
      </c>
      <c r="B4" s="333" t="s">
        <v>262</v>
      </c>
      <c r="C4" s="308" t="s">
        <v>277</v>
      </c>
      <c r="D4" s="195" t="s">
        <v>275</v>
      </c>
      <c r="E4" s="195" t="s">
        <v>321</v>
      </c>
      <c r="F4" s="194">
        <v>7</v>
      </c>
      <c r="G4" s="195" t="s">
        <v>281</v>
      </c>
      <c r="H4" s="195">
        <v>32</v>
      </c>
      <c r="I4" s="195" t="s">
        <v>282</v>
      </c>
      <c r="J4" s="198" t="s">
        <v>284</v>
      </c>
      <c r="K4" s="287">
        <v>11</v>
      </c>
      <c r="L4" s="199" t="str">
        <f t="shared" si="0"/>
        <v>+0</v>
      </c>
      <c r="M4" s="199">
        <v>14</v>
      </c>
      <c r="N4" s="199" t="str">
        <f t="shared" si="1"/>
        <v>+2</v>
      </c>
      <c r="O4" s="199">
        <v>12</v>
      </c>
      <c r="P4" s="199" t="str">
        <f t="shared" si="2"/>
        <v>+1</v>
      </c>
      <c r="Q4" s="199">
        <v>11</v>
      </c>
      <c r="R4" s="199" t="str">
        <f t="shared" si="3"/>
        <v>+0</v>
      </c>
      <c r="S4" s="199">
        <v>12</v>
      </c>
      <c r="T4" s="199" t="str">
        <f t="shared" si="4"/>
        <v>+1</v>
      </c>
      <c r="U4" s="200">
        <v>10</v>
      </c>
      <c r="V4" s="200" t="str">
        <f t="shared" si="5"/>
        <v>+0</v>
      </c>
      <c r="W4" s="201">
        <f t="shared" si="6"/>
        <v>11.666666666666666</v>
      </c>
      <c r="X4" s="202" t="str">
        <f t="shared" si="7"/>
        <v>+2</v>
      </c>
      <c r="Y4" s="203">
        <v>2</v>
      </c>
      <c r="Z4" s="204">
        <f t="shared" si="8"/>
        <v>3</v>
      </c>
      <c r="AA4" s="205">
        <v>5</v>
      </c>
      <c r="AB4" s="206">
        <f t="shared" si="9"/>
        <v>7</v>
      </c>
      <c r="AC4" s="207">
        <v>2</v>
      </c>
      <c r="AD4" s="208">
        <f t="shared" si="10"/>
        <v>3</v>
      </c>
      <c r="AE4" s="209">
        <v>5</v>
      </c>
      <c r="AF4" s="200">
        <f t="shared" si="11"/>
        <v>12</v>
      </c>
      <c r="AG4" s="200">
        <f t="shared" si="12"/>
        <v>15</v>
      </c>
      <c r="AH4" s="200">
        <f t="shared" si="13"/>
        <v>17</v>
      </c>
      <c r="AI4" s="209">
        <f>(F4*8*0.75)+(P4+F4)</f>
        <v>50</v>
      </c>
      <c r="AJ4" s="210">
        <f>(8+R4)*F4+3</f>
        <v>59</v>
      </c>
      <c r="AK4" s="211" t="s">
        <v>297</v>
      </c>
      <c r="AL4" s="282"/>
      <c r="AM4" s="283"/>
      <c r="AN4" s="196" t="s">
        <v>305</v>
      </c>
      <c r="AO4" s="195" t="s">
        <v>319</v>
      </c>
      <c r="AP4" s="197">
        <f>3+2</f>
        <v>5</v>
      </c>
      <c r="AQ4" s="197"/>
      <c r="AR4" s="198"/>
    </row>
    <row r="5" spans="1:44" s="193" customFormat="1" ht="26.4" x14ac:dyDescent="0.3">
      <c r="A5" s="333" t="s">
        <v>256</v>
      </c>
      <c r="B5" s="333" t="s">
        <v>261</v>
      </c>
      <c r="C5" s="308" t="s">
        <v>277</v>
      </c>
      <c r="D5" s="195" t="s">
        <v>275</v>
      </c>
      <c r="E5" s="195" t="s">
        <v>321</v>
      </c>
      <c r="F5" s="194">
        <v>7</v>
      </c>
      <c r="G5" s="195" t="s">
        <v>280</v>
      </c>
      <c r="H5" s="195">
        <v>25</v>
      </c>
      <c r="I5" s="195" t="s">
        <v>282</v>
      </c>
      <c r="J5" s="198" t="s">
        <v>284</v>
      </c>
      <c r="K5" s="287">
        <v>9</v>
      </c>
      <c r="L5" s="199">
        <f t="shared" si="0"/>
        <v>-1</v>
      </c>
      <c r="M5" s="199">
        <v>15</v>
      </c>
      <c r="N5" s="199" t="str">
        <f t="shared" si="1"/>
        <v>+2</v>
      </c>
      <c r="O5" s="199">
        <v>11</v>
      </c>
      <c r="P5" s="199" t="str">
        <f t="shared" si="2"/>
        <v>+0</v>
      </c>
      <c r="Q5" s="199">
        <v>12</v>
      </c>
      <c r="R5" s="199" t="str">
        <f t="shared" si="3"/>
        <v>+1</v>
      </c>
      <c r="S5" s="199">
        <v>13</v>
      </c>
      <c r="T5" s="199" t="str">
        <f t="shared" si="4"/>
        <v>+1</v>
      </c>
      <c r="U5" s="200">
        <v>11</v>
      </c>
      <c r="V5" s="200" t="str">
        <f t="shared" si="5"/>
        <v>+0</v>
      </c>
      <c r="W5" s="201">
        <f t="shared" si="6"/>
        <v>11.833333333333334</v>
      </c>
      <c r="X5" s="202" t="str">
        <f t="shared" si="7"/>
        <v>+2</v>
      </c>
      <c r="Y5" s="203">
        <v>2</v>
      </c>
      <c r="Z5" s="204">
        <f t="shared" si="8"/>
        <v>2</v>
      </c>
      <c r="AA5" s="205">
        <v>5</v>
      </c>
      <c r="AB5" s="206">
        <f t="shared" si="9"/>
        <v>7</v>
      </c>
      <c r="AC5" s="207">
        <v>2</v>
      </c>
      <c r="AD5" s="208">
        <f t="shared" si="10"/>
        <v>3</v>
      </c>
      <c r="AE5" s="209">
        <v>5</v>
      </c>
      <c r="AF5" s="200">
        <f t="shared" si="11"/>
        <v>12</v>
      </c>
      <c r="AG5" s="200">
        <f t="shared" si="12"/>
        <v>14</v>
      </c>
      <c r="AH5" s="200">
        <f t="shared" si="13"/>
        <v>16</v>
      </c>
      <c r="AI5" s="209">
        <f>(F5*8*0.75)+(P5+F5)</f>
        <v>49</v>
      </c>
      <c r="AJ5" s="210">
        <f>(8+R5)*F5+3</f>
        <v>66</v>
      </c>
      <c r="AK5" s="211" t="s">
        <v>296</v>
      </c>
      <c r="AL5" s="282"/>
      <c r="AM5" s="283"/>
      <c r="AN5" s="196" t="s">
        <v>305</v>
      </c>
      <c r="AO5" s="195" t="s">
        <v>320</v>
      </c>
      <c r="AP5" s="197">
        <f>2+2</f>
        <v>4</v>
      </c>
      <c r="AQ5" s="197"/>
      <c r="AR5" s="198"/>
    </row>
    <row r="6" spans="1:44" ht="31.2" x14ac:dyDescent="0.3">
      <c r="A6" s="333" t="s">
        <v>257</v>
      </c>
      <c r="B6" s="333" t="s">
        <v>263</v>
      </c>
      <c r="C6" s="308" t="s">
        <v>277</v>
      </c>
      <c r="D6" s="195" t="s">
        <v>275</v>
      </c>
      <c r="E6" s="195" t="s">
        <v>249</v>
      </c>
      <c r="F6" s="194">
        <v>7</v>
      </c>
      <c r="G6" s="195" t="s">
        <v>280</v>
      </c>
      <c r="H6" s="195">
        <v>29</v>
      </c>
      <c r="I6" s="195" t="s">
        <v>282</v>
      </c>
      <c r="J6" s="198" t="s">
        <v>284</v>
      </c>
      <c r="K6" s="287">
        <v>14</v>
      </c>
      <c r="L6" s="199" t="str">
        <f t="shared" si="0"/>
        <v>+2</v>
      </c>
      <c r="M6" s="199">
        <v>16</v>
      </c>
      <c r="N6" s="199" t="str">
        <f t="shared" si="1"/>
        <v>+3</v>
      </c>
      <c r="O6" s="199">
        <v>13</v>
      </c>
      <c r="P6" s="199" t="str">
        <f t="shared" si="2"/>
        <v>+1</v>
      </c>
      <c r="Q6" s="199">
        <v>9</v>
      </c>
      <c r="R6" s="199">
        <f t="shared" si="3"/>
        <v>-1</v>
      </c>
      <c r="S6" s="199">
        <v>13</v>
      </c>
      <c r="T6" s="199" t="str">
        <f t="shared" si="4"/>
        <v>+1</v>
      </c>
      <c r="U6" s="200">
        <v>12</v>
      </c>
      <c r="V6" s="200" t="str">
        <f t="shared" si="5"/>
        <v>+1</v>
      </c>
      <c r="W6" s="201">
        <f t="shared" si="6"/>
        <v>12.833333333333334</v>
      </c>
      <c r="X6" s="202" t="str">
        <f t="shared" si="7"/>
        <v>+3</v>
      </c>
      <c r="Y6" s="203">
        <v>5</v>
      </c>
      <c r="Z6" s="204">
        <f t="shared" si="8"/>
        <v>6</v>
      </c>
      <c r="AA6" s="205">
        <v>5</v>
      </c>
      <c r="AB6" s="206">
        <f t="shared" si="9"/>
        <v>8</v>
      </c>
      <c r="AC6" s="207">
        <v>2</v>
      </c>
      <c r="AD6" s="208">
        <f t="shared" si="10"/>
        <v>3</v>
      </c>
      <c r="AE6" s="209">
        <f>F6</f>
        <v>7</v>
      </c>
      <c r="AF6" s="200">
        <f t="shared" si="11"/>
        <v>13</v>
      </c>
      <c r="AG6" s="200">
        <f t="shared" si="12"/>
        <v>16</v>
      </c>
      <c r="AH6" s="200">
        <f t="shared" si="13"/>
        <v>19</v>
      </c>
      <c r="AI6" s="209">
        <f>(F6*8*0.75)+(P6+F6)</f>
        <v>50</v>
      </c>
      <c r="AJ6" s="210">
        <f>(6+R6)*F6+3</f>
        <v>38</v>
      </c>
      <c r="AK6" s="211" t="s">
        <v>298</v>
      </c>
      <c r="AL6" s="326" t="s">
        <v>292</v>
      </c>
      <c r="AM6" s="327" t="s">
        <v>292</v>
      </c>
      <c r="AN6" s="196" t="s">
        <v>306</v>
      </c>
      <c r="AO6" s="195" t="s">
        <v>313</v>
      </c>
      <c r="AP6" s="197">
        <f>5+1</f>
        <v>6</v>
      </c>
      <c r="AQ6" s="197"/>
      <c r="AR6" s="198"/>
    </row>
    <row r="7" spans="1:44" ht="26.4" x14ac:dyDescent="0.3">
      <c r="A7" s="333" t="s">
        <v>258</v>
      </c>
      <c r="B7" s="333" t="s">
        <v>264</v>
      </c>
      <c r="C7" s="308" t="s">
        <v>277</v>
      </c>
      <c r="D7" s="195" t="s">
        <v>275</v>
      </c>
      <c r="E7" s="195" t="s">
        <v>250</v>
      </c>
      <c r="F7" s="194">
        <v>6</v>
      </c>
      <c r="G7" s="195" t="s">
        <v>281</v>
      </c>
      <c r="H7" s="195">
        <v>31</v>
      </c>
      <c r="I7" s="195" t="s">
        <v>283</v>
      </c>
      <c r="J7" s="198" t="s">
        <v>284</v>
      </c>
      <c r="K7" s="287">
        <v>14</v>
      </c>
      <c r="L7" s="199" t="str">
        <f t="shared" si="0"/>
        <v>+2</v>
      </c>
      <c r="M7" s="199">
        <v>12</v>
      </c>
      <c r="N7" s="199" t="str">
        <f t="shared" si="1"/>
        <v>+1</v>
      </c>
      <c r="O7" s="199">
        <v>16</v>
      </c>
      <c r="P7" s="199" t="str">
        <f t="shared" si="2"/>
        <v>+3</v>
      </c>
      <c r="Q7" s="199">
        <v>10</v>
      </c>
      <c r="R7" s="199" t="str">
        <f t="shared" si="3"/>
        <v>+0</v>
      </c>
      <c r="S7" s="199">
        <v>14</v>
      </c>
      <c r="T7" s="199" t="str">
        <f t="shared" si="4"/>
        <v>+2</v>
      </c>
      <c r="U7" s="200">
        <v>16</v>
      </c>
      <c r="V7" s="200" t="str">
        <f t="shared" si="5"/>
        <v>+3</v>
      </c>
      <c r="W7" s="201">
        <f t="shared" si="6"/>
        <v>13.666666666666666</v>
      </c>
      <c r="X7" s="202" t="str">
        <f t="shared" si="7"/>
        <v>+1</v>
      </c>
      <c r="Y7" s="203">
        <v>5</v>
      </c>
      <c r="Z7" s="204">
        <f t="shared" si="8"/>
        <v>8</v>
      </c>
      <c r="AA7" s="205">
        <v>2</v>
      </c>
      <c r="AB7" s="206">
        <f t="shared" si="9"/>
        <v>3</v>
      </c>
      <c r="AC7" s="207">
        <v>2</v>
      </c>
      <c r="AD7" s="208">
        <f t="shared" si="10"/>
        <v>4</v>
      </c>
      <c r="AE7" s="209">
        <f>F7</f>
        <v>6</v>
      </c>
      <c r="AF7" s="200">
        <f t="shared" si="11"/>
        <v>11</v>
      </c>
      <c r="AG7" s="200">
        <f t="shared" si="12"/>
        <v>18</v>
      </c>
      <c r="AH7" s="200">
        <f t="shared" si="13"/>
        <v>19</v>
      </c>
      <c r="AI7" s="209">
        <f>(F7*10*0.75)+(P7+F7)</f>
        <v>54</v>
      </c>
      <c r="AJ7" s="210">
        <f>(2+R7)*F7+3</f>
        <v>15</v>
      </c>
      <c r="AK7" s="211" t="s">
        <v>299</v>
      </c>
      <c r="AL7" s="326" t="s">
        <v>293</v>
      </c>
      <c r="AM7" s="327" t="s">
        <v>293</v>
      </c>
      <c r="AN7" s="305" t="s">
        <v>324</v>
      </c>
      <c r="AO7" s="195" t="s">
        <v>314</v>
      </c>
      <c r="AP7" s="197">
        <f>7+1</f>
        <v>8</v>
      </c>
      <c r="AQ7" s="197"/>
      <c r="AR7" s="198"/>
    </row>
    <row r="8" spans="1:44" ht="26.4" x14ac:dyDescent="0.3">
      <c r="A8" s="333" t="s">
        <v>259</v>
      </c>
      <c r="B8" s="333" t="s">
        <v>260</v>
      </c>
      <c r="C8" s="308" t="s">
        <v>277</v>
      </c>
      <c r="D8" s="195" t="s">
        <v>275</v>
      </c>
      <c r="E8" s="195" t="s">
        <v>251</v>
      </c>
      <c r="F8" s="194">
        <v>6</v>
      </c>
      <c r="G8" s="195" t="s">
        <v>280</v>
      </c>
      <c r="H8" s="195">
        <v>42</v>
      </c>
      <c r="I8" s="195" t="s">
        <v>283</v>
      </c>
      <c r="J8" s="198" t="s">
        <v>284</v>
      </c>
      <c r="K8" s="287">
        <v>13</v>
      </c>
      <c r="L8" s="199" t="str">
        <f t="shared" si="0"/>
        <v>+1</v>
      </c>
      <c r="M8" s="199">
        <v>11</v>
      </c>
      <c r="N8" s="199" t="str">
        <f t="shared" si="1"/>
        <v>+0</v>
      </c>
      <c r="O8" s="199">
        <v>13</v>
      </c>
      <c r="P8" s="199" t="str">
        <f t="shared" si="2"/>
        <v>+1</v>
      </c>
      <c r="Q8" s="199">
        <v>10</v>
      </c>
      <c r="R8" s="199" t="str">
        <f t="shared" si="3"/>
        <v>+0</v>
      </c>
      <c r="S8" s="199">
        <v>12</v>
      </c>
      <c r="T8" s="199" t="str">
        <f t="shared" si="4"/>
        <v>+1</v>
      </c>
      <c r="U8" s="200">
        <v>13</v>
      </c>
      <c r="V8" s="200" t="str">
        <f t="shared" si="5"/>
        <v>+1</v>
      </c>
      <c r="W8" s="201">
        <f t="shared" si="6"/>
        <v>12</v>
      </c>
      <c r="X8" s="202" t="str">
        <f t="shared" si="7"/>
        <v>+0</v>
      </c>
      <c r="Y8" s="203">
        <v>5</v>
      </c>
      <c r="Z8" s="204">
        <f t="shared" si="8"/>
        <v>6</v>
      </c>
      <c r="AA8" s="205">
        <v>2</v>
      </c>
      <c r="AB8" s="206">
        <f t="shared" si="9"/>
        <v>2</v>
      </c>
      <c r="AC8" s="207">
        <v>2</v>
      </c>
      <c r="AD8" s="208">
        <f t="shared" si="10"/>
        <v>3</v>
      </c>
      <c r="AE8" s="209">
        <f>F8</f>
        <v>6</v>
      </c>
      <c r="AF8" s="200">
        <f t="shared" si="11"/>
        <v>10</v>
      </c>
      <c r="AG8" s="200">
        <f t="shared" si="12"/>
        <v>17</v>
      </c>
      <c r="AH8" s="200">
        <f t="shared" si="13"/>
        <v>17</v>
      </c>
      <c r="AI8" s="209">
        <f>(F8*10*0.75)+(P8+F8)</f>
        <v>52</v>
      </c>
      <c r="AJ8" s="210">
        <f>(2+R8)*F8+3</f>
        <v>15</v>
      </c>
      <c r="AK8" s="211" t="s">
        <v>308</v>
      </c>
      <c r="AL8" s="282"/>
      <c r="AM8" s="283"/>
      <c r="AN8" s="196" t="s">
        <v>325</v>
      </c>
      <c r="AO8" s="195" t="s">
        <v>311</v>
      </c>
      <c r="AP8" s="197">
        <v>7</v>
      </c>
      <c r="AQ8" s="197"/>
      <c r="AR8" s="198"/>
    </row>
    <row r="9" spans="1:44" ht="26.4" x14ac:dyDescent="0.3">
      <c r="A9" s="333" t="s">
        <v>266</v>
      </c>
      <c r="B9" s="333" t="s">
        <v>264</v>
      </c>
      <c r="C9" s="308" t="s">
        <v>277</v>
      </c>
      <c r="D9" s="195" t="s">
        <v>278</v>
      </c>
      <c r="E9" s="195" t="s">
        <v>252</v>
      </c>
      <c r="F9" s="194">
        <v>6</v>
      </c>
      <c r="G9" s="195" t="s">
        <v>281</v>
      </c>
      <c r="H9" s="195">
        <v>77</v>
      </c>
      <c r="I9" s="195" t="s">
        <v>283</v>
      </c>
      <c r="J9" s="198" t="s">
        <v>284</v>
      </c>
      <c r="K9" s="287">
        <v>14</v>
      </c>
      <c r="L9" s="199" t="str">
        <f t="shared" si="0"/>
        <v>+2</v>
      </c>
      <c r="M9" s="199">
        <v>10</v>
      </c>
      <c r="N9" s="199" t="str">
        <f t="shared" si="1"/>
        <v>+0</v>
      </c>
      <c r="O9" s="199">
        <v>13</v>
      </c>
      <c r="P9" s="199" t="str">
        <f t="shared" si="2"/>
        <v>+1</v>
      </c>
      <c r="Q9" s="199">
        <v>11</v>
      </c>
      <c r="R9" s="199" t="str">
        <f t="shared" si="3"/>
        <v>+0</v>
      </c>
      <c r="S9" s="199">
        <v>13</v>
      </c>
      <c r="T9" s="199" t="str">
        <f t="shared" si="4"/>
        <v>+1</v>
      </c>
      <c r="U9" s="200">
        <v>16</v>
      </c>
      <c r="V9" s="200" t="str">
        <f t="shared" si="5"/>
        <v>+3</v>
      </c>
      <c r="W9" s="201">
        <f t="shared" si="6"/>
        <v>12.833333333333334</v>
      </c>
      <c r="X9" s="202" t="str">
        <f t="shared" si="7"/>
        <v>+0</v>
      </c>
      <c r="Y9" s="203">
        <v>2</v>
      </c>
      <c r="Z9" s="204">
        <f t="shared" si="8"/>
        <v>3</v>
      </c>
      <c r="AA9" s="205">
        <v>2</v>
      </c>
      <c r="AB9" s="206">
        <f t="shared" si="9"/>
        <v>2</v>
      </c>
      <c r="AC9" s="207">
        <v>5</v>
      </c>
      <c r="AD9" s="208">
        <f t="shared" si="10"/>
        <v>6</v>
      </c>
      <c r="AE9" s="209">
        <f>F9</f>
        <v>6</v>
      </c>
      <c r="AF9" s="200">
        <f t="shared" si="11"/>
        <v>10</v>
      </c>
      <c r="AG9" s="200">
        <f t="shared" si="12"/>
        <v>19</v>
      </c>
      <c r="AH9" s="200">
        <f t="shared" si="13"/>
        <v>19</v>
      </c>
      <c r="AI9" s="209">
        <f>(F9*12*0.75)+(P9+F9)</f>
        <v>61</v>
      </c>
      <c r="AJ9" s="210">
        <f>(2+R9)*F9</f>
        <v>12</v>
      </c>
      <c r="AK9" s="211" t="s">
        <v>307</v>
      </c>
      <c r="AL9" s="282"/>
      <c r="AM9" s="283"/>
      <c r="AN9" s="196" t="s">
        <v>326</v>
      </c>
      <c r="AO9" s="195" t="s">
        <v>315</v>
      </c>
      <c r="AP9" s="197">
        <f>8+1</f>
        <v>9</v>
      </c>
      <c r="AQ9" s="197"/>
      <c r="AR9" s="198"/>
    </row>
    <row r="10" spans="1:44" ht="26.4" x14ac:dyDescent="0.3">
      <c r="A10" s="333" t="s">
        <v>267</v>
      </c>
      <c r="B10" s="333" t="s">
        <v>268</v>
      </c>
      <c r="C10" s="308" t="s">
        <v>277</v>
      </c>
      <c r="D10" s="195" t="s">
        <v>275</v>
      </c>
      <c r="E10" s="195" t="s">
        <v>253</v>
      </c>
      <c r="F10" s="194">
        <v>6</v>
      </c>
      <c r="G10" s="195" t="s">
        <v>281</v>
      </c>
      <c r="H10" s="195">
        <v>28</v>
      </c>
      <c r="I10" s="195" t="s">
        <v>282</v>
      </c>
      <c r="J10" s="198" t="s">
        <v>284</v>
      </c>
      <c r="K10" s="287">
        <v>12</v>
      </c>
      <c r="L10" s="199" t="str">
        <f t="shared" si="0"/>
        <v>+1</v>
      </c>
      <c r="M10" s="199">
        <v>13</v>
      </c>
      <c r="N10" s="199" t="str">
        <f t="shared" si="1"/>
        <v>+1</v>
      </c>
      <c r="O10" s="199">
        <v>14</v>
      </c>
      <c r="P10" s="199" t="str">
        <f t="shared" si="2"/>
        <v>+2</v>
      </c>
      <c r="Q10" s="199">
        <v>10</v>
      </c>
      <c r="R10" s="199" t="str">
        <f t="shared" si="3"/>
        <v>+0</v>
      </c>
      <c r="S10" s="199">
        <v>14</v>
      </c>
      <c r="T10" s="199" t="str">
        <f t="shared" si="4"/>
        <v>+2</v>
      </c>
      <c r="U10" s="200">
        <v>11</v>
      </c>
      <c r="V10" s="200" t="str">
        <f t="shared" si="5"/>
        <v>+0</v>
      </c>
      <c r="W10" s="201">
        <f t="shared" si="6"/>
        <v>12.333333333333334</v>
      </c>
      <c r="X10" s="202" t="str">
        <f t="shared" si="7"/>
        <v>+1</v>
      </c>
      <c r="Y10" s="203">
        <v>5</v>
      </c>
      <c r="Z10" s="204">
        <f t="shared" si="8"/>
        <v>7</v>
      </c>
      <c r="AA10" s="205">
        <v>5</v>
      </c>
      <c r="AB10" s="206">
        <f t="shared" si="9"/>
        <v>6</v>
      </c>
      <c r="AC10" s="207">
        <v>5</v>
      </c>
      <c r="AD10" s="208">
        <f t="shared" si="10"/>
        <v>7</v>
      </c>
      <c r="AE10" s="209">
        <v>4</v>
      </c>
      <c r="AF10" s="200">
        <f t="shared" si="11"/>
        <v>11</v>
      </c>
      <c r="AG10" s="200">
        <f t="shared" si="12"/>
        <v>10</v>
      </c>
      <c r="AH10" s="200">
        <f t="shared" si="13"/>
        <v>11</v>
      </c>
      <c r="AI10" s="209">
        <f>(F10*8*0.75)+(P10+F10)</f>
        <v>44</v>
      </c>
      <c r="AJ10" s="210">
        <f>(4+R10)*F10+3</f>
        <v>27</v>
      </c>
      <c r="AK10" s="211" t="s">
        <v>300</v>
      </c>
      <c r="AL10" s="282"/>
      <c r="AM10" s="283"/>
      <c r="AN10" s="196" t="s">
        <v>323</v>
      </c>
      <c r="AO10" s="195" t="s">
        <v>304</v>
      </c>
      <c r="AP10" s="197">
        <v>0</v>
      </c>
      <c r="AQ10" s="197"/>
      <c r="AR10" s="198"/>
    </row>
    <row r="11" spans="1:44" ht="31.2" x14ac:dyDescent="0.3">
      <c r="A11" s="333" t="s">
        <v>265</v>
      </c>
      <c r="B11" s="333" t="s">
        <v>264</v>
      </c>
      <c r="C11" s="308" t="s">
        <v>277</v>
      </c>
      <c r="D11" s="195" t="s">
        <v>275</v>
      </c>
      <c r="E11" s="195" t="s">
        <v>309</v>
      </c>
      <c r="F11" s="194">
        <v>6</v>
      </c>
      <c r="G11" s="195" t="s">
        <v>280</v>
      </c>
      <c r="H11" s="195">
        <v>33</v>
      </c>
      <c r="I11" s="195" t="s">
        <v>283</v>
      </c>
      <c r="J11" s="198" t="s">
        <v>284</v>
      </c>
      <c r="K11" s="287">
        <v>14</v>
      </c>
      <c r="L11" s="199" t="str">
        <f t="shared" si="0"/>
        <v>+2</v>
      </c>
      <c r="M11" s="199">
        <v>12</v>
      </c>
      <c r="N11" s="199" t="str">
        <f t="shared" si="1"/>
        <v>+1</v>
      </c>
      <c r="O11" s="199">
        <v>13</v>
      </c>
      <c r="P11" s="199" t="str">
        <f t="shared" si="2"/>
        <v>+1</v>
      </c>
      <c r="Q11" s="199">
        <v>9</v>
      </c>
      <c r="R11" s="199">
        <f t="shared" si="3"/>
        <v>-1</v>
      </c>
      <c r="S11" s="199">
        <v>11</v>
      </c>
      <c r="T11" s="199" t="str">
        <f t="shared" si="4"/>
        <v>+0</v>
      </c>
      <c r="U11" s="200">
        <v>14</v>
      </c>
      <c r="V11" s="200" t="str">
        <f t="shared" si="5"/>
        <v>+2</v>
      </c>
      <c r="W11" s="201">
        <f t="shared" si="6"/>
        <v>12.166666666666666</v>
      </c>
      <c r="X11" s="202" t="str">
        <f t="shared" si="7"/>
        <v>+1</v>
      </c>
      <c r="Y11" s="203">
        <v>5</v>
      </c>
      <c r="Z11" s="204">
        <f t="shared" si="8"/>
        <v>6</v>
      </c>
      <c r="AA11" s="205">
        <v>2</v>
      </c>
      <c r="AB11" s="206">
        <f t="shared" si="9"/>
        <v>3</v>
      </c>
      <c r="AC11" s="207">
        <v>5</v>
      </c>
      <c r="AD11" s="208">
        <f t="shared" si="10"/>
        <v>5</v>
      </c>
      <c r="AE11" s="209">
        <f>F11</f>
        <v>6</v>
      </c>
      <c r="AF11" s="200">
        <f t="shared" si="11"/>
        <v>11</v>
      </c>
      <c r="AG11" s="200">
        <f t="shared" si="12"/>
        <v>17</v>
      </c>
      <c r="AH11" s="200">
        <f t="shared" si="13"/>
        <v>18</v>
      </c>
      <c r="AI11" s="209">
        <f>(F11*10*0.75)+(P11+F11)+3</f>
        <v>55</v>
      </c>
      <c r="AJ11" s="210">
        <f>(2+R11)*F11+3</f>
        <v>9</v>
      </c>
      <c r="AK11" s="211" t="s">
        <v>322</v>
      </c>
      <c r="AL11" s="282"/>
      <c r="AM11" s="283"/>
      <c r="AN11" s="196" t="s">
        <v>327</v>
      </c>
      <c r="AO11" s="195" t="s">
        <v>317</v>
      </c>
      <c r="AP11" s="197">
        <f>6+1</f>
        <v>7</v>
      </c>
      <c r="AQ11" s="197"/>
      <c r="AR11" s="198" t="s">
        <v>310</v>
      </c>
    </row>
    <row r="12" spans="1:44" ht="79.2" x14ac:dyDescent="0.3">
      <c r="A12" s="333" t="s">
        <v>269</v>
      </c>
      <c r="B12" s="333" t="s">
        <v>270</v>
      </c>
      <c r="C12" s="308" t="s">
        <v>277</v>
      </c>
      <c r="D12" s="195" t="s">
        <v>276</v>
      </c>
      <c r="E12" s="195" t="s">
        <v>286</v>
      </c>
      <c r="F12" s="194">
        <v>6</v>
      </c>
      <c r="G12" s="195" t="s">
        <v>280</v>
      </c>
      <c r="H12" s="195">
        <v>35</v>
      </c>
      <c r="I12" s="195" t="s">
        <v>282</v>
      </c>
      <c r="J12" s="198" t="s">
        <v>284</v>
      </c>
      <c r="K12" s="287">
        <v>16</v>
      </c>
      <c r="L12" s="199" t="str">
        <f t="shared" si="0"/>
        <v>+3</v>
      </c>
      <c r="M12" s="199">
        <v>11</v>
      </c>
      <c r="N12" s="199" t="str">
        <f t="shared" si="1"/>
        <v>+0</v>
      </c>
      <c r="O12" s="199">
        <v>16</v>
      </c>
      <c r="P12" s="199" t="str">
        <f t="shared" si="2"/>
        <v>+3</v>
      </c>
      <c r="Q12" s="199">
        <v>10</v>
      </c>
      <c r="R12" s="199" t="str">
        <f t="shared" si="3"/>
        <v>+0</v>
      </c>
      <c r="S12" s="199">
        <v>18</v>
      </c>
      <c r="T12" s="199" t="str">
        <f t="shared" si="4"/>
        <v>+4</v>
      </c>
      <c r="U12" s="200">
        <v>11</v>
      </c>
      <c r="V12" s="200" t="str">
        <f t="shared" si="5"/>
        <v>+0</v>
      </c>
      <c r="W12" s="201">
        <f t="shared" si="6"/>
        <v>13.666666666666666</v>
      </c>
      <c r="X12" s="202" t="str">
        <f t="shared" si="7"/>
        <v>+0</v>
      </c>
      <c r="Y12" s="203">
        <f>3+2</f>
        <v>5</v>
      </c>
      <c r="Z12" s="204">
        <f t="shared" si="8"/>
        <v>8</v>
      </c>
      <c r="AA12" s="205">
        <f>1+1</f>
        <v>2</v>
      </c>
      <c r="AB12" s="206">
        <f t="shared" si="9"/>
        <v>2</v>
      </c>
      <c r="AC12" s="207">
        <f>1+3</f>
        <v>4</v>
      </c>
      <c r="AD12" s="208">
        <f t="shared" si="10"/>
        <v>8</v>
      </c>
      <c r="AE12" s="209">
        <f>F12+3</f>
        <v>9</v>
      </c>
      <c r="AF12" s="200">
        <f t="shared" si="11"/>
        <v>10</v>
      </c>
      <c r="AG12" s="200">
        <f t="shared" si="12"/>
        <v>15</v>
      </c>
      <c r="AH12" s="200">
        <f t="shared" si="13"/>
        <v>15</v>
      </c>
      <c r="AI12" s="209">
        <f>(F12*6*0.75)+(P12+F12)</f>
        <v>36</v>
      </c>
      <c r="AJ12" s="210">
        <f>(6+R12)*F12</f>
        <v>36</v>
      </c>
      <c r="AK12" s="211" t="s">
        <v>301</v>
      </c>
      <c r="AL12" s="326" t="s">
        <v>290</v>
      </c>
      <c r="AM12" s="327" t="s">
        <v>338</v>
      </c>
      <c r="AN12" s="196" t="s">
        <v>328</v>
      </c>
      <c r="AO12" s="195" t="s">
        <v>316</v>
      </c>
      <c r="AP12" s="197">
        <f>4+1</f>
        <v>5</v>
      </c>
      <c r="AQ12" s="197"/>
      <c r="AR12" s="198"/>
    </row>
    <row r="13" spans="1:44" ht="16.8" x14ac:dyDescent="0.3">
      <c r="A13" s="286" t="s">
        <v>273</v>
      </c>
      <c r="B13" s="286" t="s">
        <v>274</v>
      </c>
      <c r="C13" s="308" t="s">
        <v>277</v>
      </c>
      <c r="D13" s="195" t="s">
        <v>279</v>
      </c>
      <c r="E13" s="195" t="s">
        <v>254</v>
      </c>
      <c r="F13" s="194">
        <v>5</v>
      </c>
      <c r="G13" s="195" t="s">
        <v>280</v>
      </c>
      <c r="H13" s="195">
        <v>61</v>
      </c>
      <c r="I13" s="195" t="s">
        <v>283</v>
      </c>
      <c r="J13" s="198" t="s">
        <v>284</v>
      </c>
      <c r="K13" s="287">
        <v>18</v>
      </c>
      <c r="L13" s="199" t="str">
        <f t="shared" si="0"/>
        <v>+4</v>
      </c>
      <c r="M13" s="199">
        <v>13</v>
      </c>
      <c r="N13" s="199" t="str">
        <f t="shared" si="1"/>
        <v>+1</v>
      </c>
      <c r="O13" s="199">
        <v>18</v>
      </c>
      <c r="P13" s="199" t="str">
        <f t="shared" si="2"/>
        <v>+4</v>
      </c>
      <c r="Q13" s="199">
        <v>8</v>
      </c>
      <c r="R13" s="199">
        <f t="shared" si="3"/>
        <v>-1</v>
      </c>
      <c r="S13" s="199">
        <v>8</v>
      </c>
      <c r="T13" s="199">
        <f t="shared" si="4"/>
        <v>-1</v>
      </c>
      <c r="U13" s="200">
        <v>6</v>
      </c>
      <c r="V13" s="200">
        <f t="shared" si="5"/>
        <v>-2</v>
      </c>
      <c r="W13" s="201">
        <f t="shared" si="6"/>
        <v>11.833333333333334</v>
      </c>
      <c r="X13" s="202" t="str">
        <f t="shared" si="7"/>
        <v>+1</v>
      </c>
      <c r="Y13" s="203">
        <v>4</v>
      </c>
      <c r="Z13" s="204">
        <f t="shared" si="8"/>
        <v>8</v>
      </c>
      <c r="AA13" s="205">
        <v>1</v>
      </c>
      <c r="AB13" s="206">
        <f t="shared" si="9"/>
        <v>2</v>
      </c>
      <c r="AC13" s="207">
        <v>1</v>
      </c>
      <c r="AD13" s="208">
        <f t="shared" si="10"/>
        <v>0</v>
      </c>
      <c r="AE13" s="209">
        <f>F13</f>
        <v>5</v>
      </c>
      <c r="AF13" s="200">
        <f t="shared" si="11"/>
        <v>11</v>
      </c>
      <c r="AG13" s="200">
        <f t="shared" si="12"/>
        <v>16</v>
      </c>
      <c r="AH13" s="200">
        <f t="shared" si="13"/>
        <v>17</v>
      </c>
      <c r="AI13" s="209">
        <f>(F13*6*0.75)+(P13+F13)</f>
        <v>31.5</v>
      </c>
      <c r="AJ13" s="210">
        <f>(6+R13)*F13</f>
        <v>25</v>
      </c>
      <c r="AK13" s="211" t="s">
        <v>302</v>
      </c>
      <c r="AL13" s="282"/>
      <c r="AM13" s="283"/>
      <c r="AN13" s="196" t="s">
        <v>329</v>
      </c>
      <c r="AO13" s="195" t="s">
        <v>318</v>
      </c>
      <c r="AP13" s="197">
        <f>5+1</f>
        <v>6</v>
      </c>
      <c r="AQ13" s="197"/>
      <c r="AR13" s="198"/>
    </row>
  </sheetData>
  <sortState xmlns:xlrd2="http://schemas.microsoft.com/office/spreadsheetml/2017/richdata2" ref="A2:AR13">
    <sortCondition descending="1" ref="F2:F13"/>
  </sortState>
  <pageMargins left="0.15" right="0.75" top="0.32" bottom="0.33" header="0.25" footer="0.25"/>
  <pageSetup orientation="landscape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276" bestFit="1" customWidth="1"/>
    <col min="2" max="2" width="12.19921875" style="276" bestFit="1" customWidth="1"/>
    <col min="3" max="3" width="8.796875" style="276" bestFit="1" customWidth="1"/>
    <col min="4" max="4" width="9.296875" style="276" bestFit="1" customWidth="1"/>
    <col min="5" max="5" width="6.8984375" style="276" bestFit="1" customWidth="1"/>
    <col min="6" max="6" width="8.3984375" style="276" bestFit="1" customWidth="1"/>
    <col min="7" max="7" width="9.3984375" style="276" bestFit="1" customWidth="1"/>
    <col min="8" max="8" width="5.796875" style="276" bestFit="1" customWidth="1"/>
    <col min="9" max="9" width="8.09765625" style="276" bestFit="1" customWidth="1"/>
    <col min="10" max="10" width="6.69921875" style="276" bestFit="1" customWidth="1"/>
    <col min="11" max="11" width="6.59765625" style="276" bestFit="1" customWidth="1"/>
    <col min="12" max="12" width="6.8984375" style="276" bestFit="1" customWidth="1"/>
    <col min="13" max="13" width="8.69921875" style="276" bestFit="1" customWidth="1"/>
    <col min="14" max="14" width="11.59765625" style="278" hidden="1" customWidth="1"/>
    <col min="15" max="15" width="6.5" style="278" hidden="1" customWidth="1"/>
    <col min="16" max="16" width="9.19921875" style="278" bestFit="1" customWidth="1"/>
    <col min="17" max="17" width="6.69921875" style="278" bestFit="1" customWidth="1"/>
    <col min="18" max="18" width="5.8984375" style="278" bestFit="1" customWidth="1"/>
    <col min="19" max="19" width="4.69921875" style="278" bestFit="1" customWidth="1"/>
    <col min="20" max="20" width="6.8984375" style="278" bestFit="1" customWidth="1"/>
    <col min="21" max="21" width="6.19921875" style="276" bestFit="1" customWidth="1"/>
    <col min="22" max="22" width="2" style="228" customWidth="1"/>
    <col min="23" max="23" width="12.59765625" style="228" bestFit="1" customWidth="1"/>
    <col min="24" max="16384" width="13" style="228"/>
  </cols>
  <sheetData>
    <row r="1" spans="1:23" s="219" customFormat="1" ht="34.799999999999997" thickTop="1" thickBot="1" x14ac:dyDescent="0.35">
      <c r="A1" s="214" t="s">
        <v>148</v>
      </c>
      <c r="B1" s="309" t="str">
        <f>Members!A2</f>
        <v>Legionnaire Xiomara</v>
      </c>
      <c r="C1" s="309" t="str">
        <f>Members!A3</f>
        <v>Duchess Rafina</v>
      </c>
      <c r="D1" s="309" t="str">
        <f>Members!A4</f>
        <v>Straubry</v>
      </c>
      <c r="E1" s="309" t="str">
        <f>Members!A5</f>
        <v>Visigo</v>
      </c>
      <c r="F1" s="309" t="str">
        <f>Members!A6</f>
        <v>Captain Serge</v>
      </c>
      <c r="G1" s="309" t="str">
        <f>Members!A7</f>
        <v>Kalishna</v>
      </c>
      <c r="H1" s="309" t="str">
        <f>Members!A8</f>
        <v>Iñigo</v>
      </c>
      <c r="I1" s="309" t="str">
        <f>Members!A9</f>
        <v>Dame Fucscia</v>
      </c>
      <c r="J1" s="309" t="str">
        <f>Members!A10</f>
        <v>Sister Ritika</v>
      </c>
      <c r="K1" s="309" t="str">
        <f>Members!A11</f>
        <v>Sir Pontif</v>
      </c>
      <c r="L1" s="309" t="str">
        <f>Members!A12</f>
        <v>Grogg</v>
      </c>
      <c r="M1" s="309" t="str">
        <f>Members!A13</f>
        <v>Donatus</v>
      </c>
      <c r="N1" s="215" t="s">
        <v>149</v>
      </c>
      <c r="O1" s="215" t="s">
        <v>150</v>
      </c>
      <c r="P1" s="216" t="s">
        <v>151</v>
      </c>
      <c r="Q1" s="216" t="s">
        <v>152</v>
      </c>
      <c r="R1" s="216" t="s">
        <v>25</v>
      </c>
      <c r="S1" s="217" t="s">
        <v>3</v>
      </c>
      <c r="T1" s="215" t="s">
        <v>98</v>
      </c>
      <c r="U1" s="218" t="s">
        <v>85</v>
      </c>
      <c r="W1" s="220" t="s">
        <v>153</v>
      </c>
    </row>
    <row r="2" spans="1:23" s="219" customFormat="1" ht="17.399999999999999" thickBot="1" x14ac:dyDescent="0.35">
      <c r="A2" s="221" t="s">
        <v>40</v>
      </c>
      <c r="B2" s="222">
        <f>VLOOKUP(B$1,Members!$A$2:$AD$18,26,FALSE)</f>
        <v>10</v>
      </c>
      <c r="C2" s="222">
        <f>VLOOKUP(C$1,Members!$A$2:$AD$18,26,FALSE)</f>
        <v>1</v>
      </c>
      <c r="D2" s="222">
        <f>VLOOKUP(D$1,Members!$A$2:$AD$18,26,FALSE)</f>
        <v>3</v>
      </c>
      <c r="E2" s="222">
        <f>VLOOKUP(E$1,Members!$A$2:$AD$18,26,FALSE)</f>
        <v>2</v>
      </c>
      <c r="F2" s="222">
        <f>VLOOKUP(F$1,Members!$A$2:$AD$18,26,FALSE)</f>
        <v>6</v>
      </c>
      <c r="G2" s="222">
        <f>VLOOKUP(G$1,Members!$A$2:$AD$18,26,FALSE)</f>
        <v>8</v>
      </c>
      <c r="H2" s="222">
        <f>VLOOKUP(H$1,Members!$A$2:$AD$18,26,FALSE)</f>
        <v>6</v>
      </c>
      <c r="I2" s="222">
        <f>VLOOKUP(I$1,Members!$A$2:$AD$18,26,FALSE)</f>
        <v>3</v>
      </c>
      <c r="J2" s="222">
        <f>VLOOKUP(J$1,Members!$A$2:$AD$18,26,FALSE)</f>
        <v>7</v>
      </c>
      <c r="K2" s="222">
        <f>VLOOKUP(K$1,Members!$A$2:$AD$18,26,FALSE)</f>
        <v>6</v>
      </c>
      <c r="L2" s="222">
        <f>VLOOKUP(L$1,Members!$A$2:$AD$18,26,FALSE)</f>
        <v>8</v>
      </c>
      <c r="M2" s="222">
        <f>VLOOKUP(M$1,Members!$A$2:$AD$18,26,FALSE)</f>
        <v>8</v>
      </c>
      <c r="N2" s="222" t="s">
        <v>126</v>
      </c>
      <c r="O2" s="222" t="str">
        <f>INDEX(Members!$L$2:$V$20,MATCH($W$2,Members!$A$2:$A$20,0),MATCH(N2,Members!$L$1:$V$1,0))</f>
        <v>+3</v>
      </c>
      <c r="P2" s="223" t="str">
        <f t="shared" ref="P2:P49" si="0">CONCATENATE(LEFT(N2,3)," (",O2,")")</f>
        <v>Con (+3)</v>
      </c>
      <c r="Q2" s="224">
        <v>0</v>
      </c>
      <c r="R2" s="225">
        <f t="shared" ref="R2:R49" si="1">O2+HLOOKUP($W$2,$B$1:$M$49,MATCH(A2,$A$1:$A$49,0),FALSE)</f>
        <v>11</v>
      </c>
      <c r="S2" s="226">
        <f t="shared" ref="S2:S49" ca="1" si="2">RANDBETWEEN(1,20)</f>
        <v>6</v>
      </c>
      <c r="T2" s="225">
        <f t="shared" ref="T2:T49" ca="1" si="3">SUM(R2:S2)</f>
        <v>17</v>
      </c>
      <c r="U2" s="227"/>
      <c r="V2" s="228"/>
      <c r="W2" s="229" t="s">
        <v>269</v>
      </c>
    </row>
    <row r="3" spans="1:23" s="219" customFormat="1" ht="17.399999999999999" thickTop="1" x14ac:dyDescent="0.3">
      <c r="A3" s="230" t="s">
        <v>41</v>
      </c>
      <c r="B3" s="222">
        <f>VLOOKUP(B$1,Members!$A$2:$AD$18,28,FALSE)</f>
        <v>6</v>
      </c>
      <c r="C3" s="222">
        <f>VLOOKUP(C$1,Members!$A$2:$AD$18,28,FALSE)</f>
        <v>3</v>
      </c>
      <c r="D3" s="222">
        <f>VLOOKUP(D$1,Members!$A$2:$AD$18,28,FALSE)</f>
        <v>7</v>
      </c>
      <c r="E3" s="222">
        <f>VLOOKUP(E$1,Members!$A$2:$AD$18,28,FALSE)</f>
        <v>7</v>
      </c>
      <c r="F3" s="222">
        <f>VLOOKUP(F$1,Members!$A$2:$AD$18,28,FALSE)</f>
        <v>8</v>
      </c>
      <c r="G3" s="222">
        <f>VLOOKUP(G$1,Members!$A$2:$AD$18,28,FALSE)</f>
        <v>3</v>
      </c>
      <c r="H3" s="222">
        <f>VLOOKUP(H$1,Members!$A$2:$AD$18,28,FALSE)</f>
        <v>2</v>
      </c>
      <c r="I3" s="222">
        <f>VLOOKUP(I$1,Members!$A$2:$AD$18,28,FALSE)</f>
        <v>2</v>
      </c>
      <c r="J3" s="222">
        <f>VLOOKUP(J$1,Members!$A$2:$AD$18,28,FALSE)</f>
        <v>6</v>
      </c>
      <c r="K3" s="222">
        <f>VLOOKUP(K$1,Members!$A$2:$AD$18,28,FALSE)</f>
        <v>3</v>
      </c>
      <c r="L3" s="222">
        <f>VLOOKUP(L$1,Members!$A$2:$AD$18,28,FALSE)</f>
        <v>2</v>
      </c>
      <c r="M3" s="222">
        <f>VLOOKUP(M$1,Members!$A$2:$AD$18,28,FALSE)</f>
        <v>2</v>
      </c>
      <c r="N3" s="222" t="s">
        <v>124</v>
      </c>
      <c r="O3" s="222" t="str">
        <f>INDEX(Members!$L$2:$V$20,MATCH($W$2,Members!$A$2:$A$20,0),MATCH(N3,Members!$L$1:$V$1,0))</f>
        <v>+0</v>
      </c>
      <c r="P3" s="231" t="str">
        <f t="shared" si="0"/>
        <v>Dex (+0)</v>
      </c>
      <c r="Q3" s="224">
        <v>0</v>
      </c>
      <c r="R3" s="225">
        <f t="shared" si="1"/>
        <v>2</v>
      </c>
      <c r="S3" s="226">
        <f t="shared" ca="1" si="2"/>
        <v>14</v>
      </c>
      <c r="T3" s="225">
        <f t="shared" ca="1" si="3"/>
        <v>16</v>
      </c>
      <c r="U3" s="227"/>
      <c r="V3" s="228"/>
    </row>
    <row r="4" spans="1:23" s="219" customFormat="1" ht="16.8" x14ac:dyDescent="0.3">
      <c r="A4" s="232" t="s">
        <v>42</v>
      </c>
      <c r="B4" s="233">
        <f>VLOOKUP(B$1,Members!$A$2:$AD$18,30,FALSE)</f>
        <v>5</v>
      </c>
      <c r="C4" s="233">
        <f>VLOOKUP(C$1,Members!$A$2:$AD$18,30,FALSE)</f>
        <v>10</v>
      </c>
      <c r="D4" s="233">
        <f>VLOOKUP(D$1,Members!$A$2:$AD$18,30,FALSE)</f>
        <v>3</v>
      </c>
      <c r="E4" s="233">
        <f>VLOOKUP(E$1,Members!$A$2:$AD$18,30,FALSE)</f>
        <v>3</v>
      </c>
      <c r="F4" s="233">
        <f>VLOOKUP(F$1,Members!$A$2:$AD$18,30,FALSE)</f>
        <v>3</v>
      </c>
      <c r="G4" s="233">
        <f>VLOOKUP(G$1,Members!$A$2:$AD$18,30,FALSE)</f>
        <v>4</v>
      </c>
      <c r="H4" s="233">
        <f>VLOOKUP(H$1,Members!$A$2:$AD$18,30,FALSE)</f>
        <v>3</v>
      </c>
      <c r="I4" s="233">
        <f>VLOOKUP(I$1,Members!$A$2:$AD$18,30,FALSE)</f>
        <v>6</v>
      </c>
      <c r="J4" s="233">
        <f>VLOOKUP(J$1,Members!$A$2:$AD$18,30,FALSE)</f>
        <v>7</v>
      </c>
      <c r="K4" s="233">
        <f>VLOOKUP(K$1,Members!$A$2:$AD$18,30,FALSE)</f>
        <v>5</v>
      </c>
      <c r="L4" s="233">
        <f>VLOOKUP(L$1,Members!$A$2:$AD$18,30,FALSE)</f>
        <v>8</v>
      </c>
      <c r="M4" s="233">
        <f>VLOOKUP(M$1,Members!$A$2:$AD$18,30,FALSE)</f>
        <v>0</v>
      </c>
      <c r="N4" s="233" t="s">
        <v>130</v>
      </c>
      <c r="O4" s="233" t="str">
        <f>INDEX(Members!$L$2:$V$20,MATCH($W$2,Members!$A$2:$A$20,0),MATCH(N4,Members!$L$1:$V$1,0))</f>
        <v>+4</v>
      </c>
      <c r="P4" s="234" t="str">
        <f t="shared" si="0"/>
        <v>Wis (+4)</v>
      </c>
      <c r="Q4" s="235">
        <v>0</v>
      </c>
      <c r="R4" s="236">
        <f t="shared" si="1"/>
        <v>12</v>
      </c>
      <c r="S4" s="226">
        <f t="shared" ca="1" si="2"/>
        <v>20</v>
      </c>
      <c r="T4" s="236">
        <f t="shared" ca="1" si="3"/>
        <v>32</v>
      </c>
      <c r="U4" s="237"/>
      <c r="V4" s="228"/>
    </row>
    <row r="5" spans="1:23" s="244" customFormat="1" ht="16.8" x14ac:dyDescent="0.3">
      <c r="A5" s="238" t="s">
        <v>154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39" t="s">
        <v>128</v>
      </c>
      <c r="O5" s="240" t="str">
        <f>INDEX(Members!$L$2:$V$20,MATCH($W$2,Members!$A$2:$A$20,0),MATCH(N5,Members!$L$1:$V$1,0))</f>
        <v>+0</v>
      </c>
      <c r="P5" s="241" t="str">
        <f t="shared" si="0"/>
        <v>Int (+0)</v>
      </c>
      <c r="Q5" s="242" t="s">
        <v>155</v>
      </c>
      <c r="R5" s="243">
        <f t="shared" si="1"/>
        <v>0</v>
      </c>
      <c r="S5" s="226">
        <f t="shared" ca="1" si="2"/>
        <v>9</v>
      </c>
      <c r="T5" s="243">
        <f t="shared" ca="1" si="3"/>
        <v>9</v>
      </c>
      <c r="U5" s="227"/>
      <c r="V5" s="228"/>
    </row>
    <row r="6" spans="1:23" s="248" customFormat="1" ht="16.8" x14ac:dyDescent="0.3">
      <c r="A6" s="245" t="s">
        <v>156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46" t="s">
        <v>124</v>
      </c>
      <c r="O6" s="247" t="str">
        <f>INDEX(Members!$L$2:$V$20,MATCH($W$2,Members!$A$2:$A$20,0),MATCH(N6,Members!$L$1:$V$1,0))</f>
        <v>+0</v>
      </c>
      <c r="P6" s="231" t="str">
        <f t="shared" si="0"/>
        <v>Dex (+0)</v>
      </c>
      <c r="Q6" s="243" t="s">
        <v>155</v>
      </c>
      <c r="R6" s="243">
        <f t="shared" si="1"/>
        <v>0</v>
      </c>
      <c r="S6" s="226">
        <f t="shared" ca="1" si="2"/>
        <v>20</v>
      </c>
      <c r="T6" s="243">
        <f t="shared" ca="1" si="3"/>
        <v>20</v>
      </c>
      <c r="U6" s="227"/>
      <c r="V6" s="228"/>
    </row>
    <row r="7" spans="1:23" s="253" customFormat="1" ht="16.8" x14ac:dyDescent="0.3">
      <c r="A7" s="249" t="s">
        <v>157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50" t="s">
        <v>132</v>
      </c>
      <c r="O7" s="251" t="str">
        <f>INDEX(Members!$L$2:$V$20,MATCH($W$2,Members!$A$2:$A$20,0),MATCH(N7,Members!$L$1:$V$1,0))</f>
        <v>+0</v>
      </c>
      <c r="P7" s="252" t="str">
        <f t="shared" si="0"/>
        <v>Cha (+0)</v>
      </c>
      <c r="Q7" s="243" t="s">
        <v>155</v>
      </c>
      <c r="R7" s="243">
        <f t="shared" si="1"/>
        <v>0</v>
      </c>
      <c r="S7" s="226">
        <f t="shared" ca="1" si="2"/>
        <v>9</v>
      </c>
      <c r="T7" s="243">
        <f t="shared" ca="1" si="3"/>
        <v>9</v>
      </c>
      <c r="U7" s="227"/>
      <c r="V7" s="228"/>
    </row>
    <row r="8" spans="1:23" s="258" customFormat="1" ht="16.8" x14ac:dyDescent="0.3">
      <c r="A8" s="254" t="s">
        <v>158</v>
      </c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55" t="s">
        <v>122</v>
      </c>
      <c r="O8" s="256" t="str">
        <f>INDEX(Members!$L$2:$V$20,MATCH($W$2,Members!$A$2:$A$20,0),MATCH(N8,Members!$L$1:$V$1,0))</f>
        <v>+3</v>
      </c>
      <c r="P8" s="257" t="str">
        <f t="shared" si="0"/>
        <v>Str (+3)</v>
      </c>
      <c r="Q8" s="243" t="s">
        <v>155</v>
      </c>
      <c r="R8" s="243">
        <f t="shared" si="1"/>
        <v>3</v>
      </c>
      <c r="S8" s="226">
        <f t="shared" ca="1" si="2"/>
        <v>15</v>
      </c>
      <c r="T8" s="243">
        <f t="shared" ca="1" si="3"/>
        <v>18</v>
      </c>
      <c r="U8" s="227"/>
      <c r="V8" s="228"/>
    </row>
    <row r="9" spans="1:23" s="258" customFormat="1" ht="16.8" x14ac:dyDescent="0.3">
      <c r="A9" s="259" t="s">
        <v>159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60" t="s">
        <v>126</v>
      </c>
      <c r="O9" s="261" t="str">
        <f>INDEX(Members!$L$2:$V$20,MATCH($W$2,Members!$A$2:$A$20,0),MATCH(N9,Members!$L$1:$V$1,0))</f>
        <v>+3</v>
      </c>
      <c r="P9" s="262" t="str">
        <f t="shared" si="0"/>
        <v>Con (+3)</v>
      </c>
      <c r="Q9" s="243" t="s">
        <v>155</v>
      </c>
      <c r="R9" s="243">
        <f t="shared" si="1"/>
        <v>3</v>
      </c>
      <c r="S9" s="226">
        <f t="shared" ca="1" si="2"/>
        <v>6</v>
      </c>
      <c r="T9" s="243">
        <f t="shared" ca="1" si="3"/>
        <v>9</v>
      </c>
      <c r="U9" s="227"/>
      <c r="V9" s="228"/>
    </row>
    <row r="10" spans="1:23" s="244" customFormat="1" ht="16.8" x14ac:dyDescent="0.3">
      <c r="A10" s="238" t="s">
        <v>209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39" t="s">
        <v>128</v>
      </c>
      <c r="O10" s="240" t="str">
        <f>INDEX(Members!$L$2:$V$20,MATCH($W$2,Members!$A$2:$A$20,0),MATCH(N10,Members!$L$1:$V$1,0))</f>
        <v>+0</v>
      </c>
      <c r="P10" s="241" t="str">
        <f t="shared" si="0"/>
        <v>Int (+0)</v>
      </c>
      <c r="Q10" s="243" t="s">
        <v>155</v>
      </c>
      <c r="R10" s="243">
        <f t="shared" si="1"/>
        <v>0</v>
      </c>
      <c r="S10" s="226">
        <f t="shared" ca="1" si="2"/>
        <v>6</v>
      </c>
      <c r="T10" s="243">
        <f t="shared" ca="1" si="3"/>
        <v>6</v>
      </c>
      <c r="U10" s="227"/>
      <c r="V10" s="228"/>
    </row>
    <row r="11" spans="1:23" s="263" customFormat="1" ht="16.8" x14ac:dyDescent="0.3">
      <c r="A11" s="238" t="s">
        <v>160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39" t="s">
        <v>128</v>
      </c>
      <c r="O11" s="240" t="str">
        <f>INDEX(Members!$L$2:$V$20,MATCH($W$2,Members!$A$2:$A$20,0),MATCH(N11,Members!$L$1:$V$1,0))</f>
        <v>+0</v>
      </c>
      <c r="P11" s="241" t="str">
        <f t="shared" si="0"/>
        <v>Int (+0)</v>
      </c>
      <c r="Q11" s="243" t="s">
        <v>155</v>
      </c>
      <c r="R11" s="243">
        <f t="shared" si="1"/>
        <v>0</v>
      </c>
      <c r="S11" s="226">
        <f t="shared" ca="1" si="2"/>
        <v>2</v>
      </c>
      <c r="T11" s="243">
        <f t="shared" ca="1" si="3"/>
        <v>2</v>
      </c>
      <c r="U11" s="227"/>
    </row>
    <row r="12" spans="1:23" s="248" customFormat="1" ht="16.8" x14ac:dyDescent="0.3">
      <c r="A12" s="249" t="s">
        <v>161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50" t="s">
        <v>132</v>
      </c>
      <c r="O12" s="251" t="str">
        <f>INDEX(Members!$L$2:$V$20,MATCH($W$2,Members!$A$2:$A$20,0),MATCH(N12,Members!$L$1:$V$1,0))</f>
        <v>+0</v>
      </c>
      <c r="P12" s="252" t="str">
        <f t="shared" si="0"/>
        <v>Cha (+0)</v>
      </c>
      <c r="Q12" s="243" t="s">
        <v>155</v>
      </c>
      <c r="R12" s="243">
        <f t="shared" si="1"/>
        <v>0</v>
      </c>
      <c r="S12" s="226">
        <f t="shared" ca="1" si="2"/>
        <v>4</v>
      </c>
      <c r="T12" s="243">
        <f t="shared" ca="1" si="3"/>
        <v>4</v>
      </c>
      <c r="U12" s="227"/>
    </row>
    <row r="13" spans="1:23" s="248" customFormat="1" ht="16.8" x14ac:dyDescent="0.3">
      <c r="A13" s="238" t="s">
        <v>112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39" t="s">
        <v>128</v>
      </c>
      <c r="O13" s="240" t="str">
        <f>INDEX(Members!$L$2:$V$20,MATCH($W$2,Members!$A$2:$A$20,0),MATCH(N13,Members!$L$1:$V$1,0))</f>
        <v>+0</v>
      </c>
      <c r="P13" s="241" t="str">
        <f t="shared" si="0"/>
        <v>Int (+0)</v>
      </c>
      <c r="Q13" s="243" t="s">
        <v>155</v>
      </c>
      <c r="R13" s="243">
        <f t="shared" si="1"/>
        <v>0</v>
      </c>
      <c r="S13" s="226">
        <f t="shared" ca="1" si="2"/>
        <v>17</v>
      </c>
      <c r="T13" s="243">
        <f t="shared" ca="1" si="3"/>
        <v>17</v>
      </c>
      <c r="U13" s="227"/>
    </row>
    <row r="14" spans="1:23" s="248" customFormat="1" ht="16.8" x14ac:dyDescent="0.3">
      <c r="A14" s="249" t="s">
        <v>162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50" t="s">
        <v>132</v>
      </c>
      <c r="O14" s="251" t="str">
        <f>INDEX(Members!$L$2:$V$20,MATCH($W$2,Members!$A$2:$A$20,0),MATCH(N14,Members!$L$1:$V$1,0))</f>
        <v>+0</v>
      </c>
      <c r="P14" s="252" t="str">
        <f t="shared" si="0"/>
        <v>Cha (+0)</v>
      </c>
      <c r="Q14" s="243" t="s">
        <v>155</v>
      </c>
      <c r="R14" s="243">
        <f t="shared" si="1"/>
        <v>0</v>
      </c>
      <c r="S14" s="226">
        <f t="shared" ca="1" si="2"/>
        <v>20</v>
      </c>
      <c r="T14" s="243">
        <f t="shared" ca="1" si="3"/>
        <v>20</v>
      </c>
      <c r="U14" s="227"/>
    </row>
    <row r="15" spans="1:23" s="248" customFormat="1" ht="16.8" x14ac:dyDescent="0.3">
      <c r="A15" s="245" t="s">
        <v>163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46" t="s">
        <v>124</v>
      </c>
      <c r="O15" s="247" t="str">
        <f>INDEX(Members!$L$2:$V$20,MATCH($W$2,Members!$A$2:$A$20,0),MATCH(N15,Members!$L$1:$V$1,0))</f>
        <v>+0</v>
      </c>
      <c r="P15" s="231" t="str">
        <f t="shared" si="0"/>
        <v>Dex (+0)</v>
      </c>
      <c r="Q15" s="243" t="s">
        <v>155</v>
      </c>
      <c r="R15" s="243">
        <f t="shared" si="1"/>
        <v>0</v>
      </c>
      <c r="S15" s="226">
        <f t="shared" ca="1" si="2"/>
        <v>20</v>
      </c>
      <c r="T15" s="243">
        <f t="shared" ca="1" si="3"/>
        <v>20</v>
      </c>
      <c r="U15" s="227"/>
    </row>
    <row r="16" spans="1:23" s="248" customFormat="1" ht="16.8" x14ac:dyDescent="0.3">
      <c r="A16" s="238" t="s">
        <v>164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39" t="s">
        <v>128</v>
      </c>
      <c r="O16" s="240" t="str">
        <f>INDEX(Members!$L$2:$V$20,MATCH($W$2,Members!$A$2:$A$20,0),MATCH(N16,Members!$L$1:$V$1,0))</f>
        <v>+0</v>
      </c>
      <c r="P16" s="241" t="str">
        <f t="shared" si="0"/>
        <v>Int (+0)</v>
      </c>
      <c r="Q16" s="243" t="s">
        <v>155</v>
      </c>
      <c r="R16" s="243">
        <f t="shared" si="1"/>
        <v>0</v>
      </c>
      <c r="S16" s="226">
        <f t="shared" ca="1" si="2"/>
        <v>14</v>
      </c>
      <c r="T16" s="243">
        <f t="shared" ca="1" si="3"/>
        <v>14</v>
      </c>
      <c r="U16" s="227"/>
    </row>
    <row r="17" spans="1:21" s="248" customFormat="1" ht="16.8" x14ac:dyDescent="0.3">
      <c r="A17" s="249" t="s">
        <v>165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50" t="s">
        <v>132</v>
      </c>
      <c r="O17" s="251" t="str">
        <f>INDEX(Members!$L$2:$V$20,MATCH($W$2,Members!$A$2:$A$20,0),MATCH(N17,Members!$L$1:$V$1,0))</f>
        <v>+0</v>
      </c>
      <c r="P17" s="252" t="str">
        <f t="shared" si="0"/>
        <v>Cha (+0)</v>
      </c>
      <c r="Q17" s="243" t="s">
        <v>155</v>
      </c>
      <c r="R17" s="243">
        <f t="shared" si="1"/>
        <v>0</v>
      </c>
      <c r="S17" s="226">
        <f t="shared" ca="1" si="2"/>
        <v>12</v>
      </c>
      <c r="T17" s="243">
        <f t="shared" ca="1" si="3"/>
        <v>12</v>
      </c>
      <c r="U17" s="227"/>
    </row>
    <row r="18" spans="1:21" s="248" customFormat="1" ht="16.8" x14ac:dyDescent="0.3">
      <c r="A18" s="249" t="s">
        <v>166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50" t="s">
        <v>132</v>
      </c>
      <c r="O18" s="251" t="str">
        <f>INDEX(Members!$L$2:$V$20,MATCH($W$2,Members!$A$2:$A$20,0),MATCH(N18,Members!$L$1:$V$1,0))</f>
        <v>+0</v>
      </c>
      <c r="P18" s="252" t="str">
        <f t="shared" si="0"/>
        <v>Cha (+0)</v>
      </c>
      <c r="Q18" s="243" t="s">
        <v>155</v>
      </c>
      <c r="R18" s="243">
        <f t="shared" si="1"/>
        <v>0</v>
      </c>
      <c r="S18" s="226">
        <f t="shared" ca="1" si="2"/>
        <v>19</v>
      </c>
      <c r="T18" s="243">
        <f t="shared" ca="1" si="3"/>
        <v>19</v>
      </c>
      <c r="U18" s="227"/>
    </row>
    <row r="19" spans="1:21" s="248" customFormat="1" ht="16.8" x14ac:dyDescent="0.3">
      <c r="A19" s="264" t="s">
        <v>167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65" t="s">
        <v>130</v>
      </c>
      <c r="O19" s="266" t="str">
        <f>INDEX(Members!$L$2:$V$20,MATCH($W$2,Members!$A$2:$A$20,0),MATCH(N19,Members!$L$1:$V$1,0))</f>
        <v>+4</v>
      </c>
      <c r="P19" s="267" t="str">
        <f t="shared" si="0"/>
        <v>Wis (+4)</v>
      </c>
      <c r="Q19" s="243" t="s">
        <v>155</v>
      </c>
      <c r="R19" s="243">
        <f t="shared" si="1"/>
        <v>4</v>
      </c>
      <c r="S19" s="226">
        <f t="shared" ca="1" si="2"/>
        <v>16</v>
      </c>
      <c r="T19" s="243">
        <f t="shared" ca="1" si="3"/>
        <v>20</v>
      </c>
      <c r="U19" s="227"/>
    </row>
    <row r="20" spans="1:21" s="248" customFormat="1" ht="16.8" x14ac:dyDescent="0.3">
      <c r="A20" s="245" t="s">
        <v>168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46" t="s">
        <v>124</v>
      </c>
      <c r="O20" s="247" t="str">
        <f>INDEX(Members!$L$2:$V$20,MATCH($W$2,Members!$A$2:$A$20,0),MATCH(N20,Members!$L$1:$V$1,0))</f>
        <v>+0</v>
      </c>
      <c r="P20" s="231" t="str">
        <f t="shared" si="0"/>
        <v>Dex (+0)</v>
      </c>
      <c r="Q20" s="243" t="s">
        <v>155</v>
      </c>
      <c r="R20" s="243">
        <f t="shared" si="1"/>
        <v>0</v>
      </c>
      <c r="S20" s="226">
        <f t="shared" ca="1" si="2"/>
        <v>17</v>
      </c>
      <c r="T20" s="243">
        <f t="shared" ca="1" si="3"/>
        <v>17</v>
      </c>
      <c r="U20" s="227"/>
    </row>
    <row r="21" spans="1:21" s="248" customFormat="1" ht="16.8" x14ac:dyDescent="0.3">
      <c r="A21" s="249" t="s">
        <v>169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50" t="s">
        <v>132</v>
      </c>
      <c r="O21" s="251" t="str">
        <f>INDEX(Members!$L$2:$V$20,MATCH($W$2,Members!$A$2:$A$20,0),MATCH(N21,Members!$L$1:$V$1,0))</f>
        <v>+0</v>
      </c>
      <c r="P21" s="252" t="str">
        <f t="shared" si="0"/>
        <v>Cha (+0)</v>
      </c>
      <c r="Q21" s="243" t="s">
        <v>155</v>
      </c>
      <c r="R21" s="243">
        <f t="shared" si="1"/>
        <v>0</v>
      </c>
      <c r="S21" s="226">
        <f t="shared" ca="1" si="2"/>
        <v>19</v>
      </c>
      <c r="T21" s="243">
        <f t="shared" ca="1" si="3"/>
        <v>19</v>
      </c>
      <c r="U21" s="227"/>
    </row>
    <row r="22" spans="1:21" s="248" customFormat="1" ht="16.8" x14ac:dyDescent="0.3">
      <c r="A22" s="254" t="s">
        <v>170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55" t="s">
        <v>122</v>
      </c>
      <c r="O22" s="256" t="str">
        <f>INDEX(Members!$L$2:$V$20,MATCH($W$2,Members!$A$2:$A$20,0),MATCH(N22,Members!$L$1:$V$1,0))</f>
        <v>+3</v>
      </c>
      <c r="P22" s="257" t="str">
        <f t="shared" si="0"/>
        <v>Str (+3)</v>
      </c>
      <c r="Q22" s="243" t="s">
        <v>155</v>
      </c>
      <c r="R22" s="243">
        <f t="shared" si="1"/>
        <v>3</v>
      </c>
      <c r="S22" s="226">
        <f t="shared" ca="1" si="2"/>
        <v>2</v>
      </c>
      <c r="T22" s="243">
        <f t="shared" ca="1" si="3"/>
        <v>5</v>
      </c>
      <c r="U22" s="227"/>
    </row>
    <row r="23" spans="1:21" s="248" customFormat="1" ht="16.8" x14ac:dyDescent="0.3">
      <c r="A23" s="238" t="s">
        <v>171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39" t="s">
        <v>128</v>
      </c>
      <c r="O23" s="240" t="str">
        <f>INDEX(Members!$L$2:$V$20,MATCH($W$2,Members!$A$2:$A$20,0),MATCH(N23,Members!$L$1:$V$1,0))</f>
        <v>+0</v>
      </c>
      <c r="P23" s="241" t="str">
        <f t="shared" si="0"/>
        <v>Int (+0)</v>
      </c>
      <c r="Q23" s="243" t="s">
        <v>155</v>
      </c>
      <c r="R23" s="243">
        <f t="shared" si="1"/>
        <v>0</v>
      </c>
      <c r="S23" s="226">
        <f t="shared" ca="1" si="2"/>
        <v>20</v>
      </c>
      <c r="T23" s="243">
        <f t="shared" ca="1" si="3"/>
        <v>20</v>
      </c>
      <c r="U23" s="227"/>
    </row>
    <row r="24" spans="1:21" s="248" customFormat="1" ht="16.8" x14ac:dyDescent="0.3">
      <c r="A24" s="238" t="s">
        <v>172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39" t="s">
        <v>128</v>
      </c>
      <c r="O24" s="240" t="str">
        <f>INDEX(Members!$L$2:$V$20,MATCH($W$2,Members!$A$2:$A$20,0),MATCH(N24,Members!$L$1:$V$1,0))</f>
        <v>+0</v>
      </c>
      <c r="P24" s="241" t="str">
        <f t="shared" si="0"/>
        <v>Int (+0)</v>
      </c>
      <c r="Q24" s="243" t="s">
        <v>155</v>
      </c>
      <c r="R24" s="243">
        <f t="shared" si="1"/>
        <v>0</v>
      </c>
      <c r="S24" s="226">
        <f t="shared" ca="1" si="2"/>
        <v>16</v>
      </c>
      <c r="T24" s="243">
        <f t="shared" ref="T24:T32" ca="1" si="4">SUM(R24:S24)</f>
        <v>16</v>
      </c>
      <c r="U24" s="227"/>
    </row>
    <row r="25" spans="1:21" s="248" customFormat="1" ht="16.8" x14ac:dyDescent="0.3">
      <c r="A25" s="238" t="s">
        <v>173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39" t="s">
        <v>128</v>
      </c>
      <c r="O25" s="240" t="str">
        <f>INDEX(Members!$L$2:$V$20,MATCH($W$2,Members!$A$2:$A$20,0),MATCH(N25,Members!$L$1:$V$1,0))</f>
        <v>+0</v>
      </c>
      <c r="P25" s="241" t="str">
        <f t="shared" si="0"/>
        <v>Int (+0)</v>
      </c>
      <c r="Q25" s="243" t="s">
        <v>155</v>
      </c>
      <c r="R25" s="243">
        <f t="shared" si="1"/>
        <v>0</v>
      </c>
      <c r="S25" s="226">
        <f t="shared" ca="1" si="2"/>
        <v>20</v>
      </c>
      <c r="T25" s="243">
        <f t="shared" ca="1" si="4"/>
        <v>20</v>
      </c>
      <c r="U25" s="227"/>
    </row>
    <row r="26" spans="1:21" s="248" customFormat="1" ht="16.8" x14ac:dyDescent="0.3">
      <c r="A26" s="238" t="s">
        <v>174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39" t="s">
        <v>128</v>
      </c>
      <c r="O26" s="240" t="str">
        <f>INDEX(Members!$L$2:$V$20,MATCH($W$2,Members!$A$2:$A$20,0),MATCH(N26,Members!$L$1:$V$1,0))</f>
        <v>+0</v>
      </c>
      <c r="P26" s="241" t="str">
        <f t="shared" si="0"/>
        <v>Int (+0)</v>
      </c>
      <c r="Q26" s="243" t="s">
        <v>155</v>
      </c>
      <c r="R26" s="243">
        <f t="shared" si="1"/>
        <v>0</v>
      </c>
      <c r="S26" s="226">
        <f t="shared" ca="1" si="2"/>
        <v>8</v>
      </c>
      <c r="T26" s="243">
        <f t="shared" ca="1" si="4"/>
        <v>8</v>
      </c>
      <c r="U26" s="227"/>
    </row>
    <row r="27" spans="1:21" s="248" customFormat="1" ht="16.8" x14ac:dyDescent="0.3">
      <c r="A27" s="238" t="s">
        <v>175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39" t="s">
        <v>128</v>
      </c>
      <c r="O27" s="240" t="str">
        <f>INDEX(Members!$L$2:$V$20,MATCH($W$2,Members!$A$2:$A$20,0),MATCH(N27,Members!$L$1:$V$1,0))</f>
        <v>+0</v>
      </c>
      <c r="P27" s="241" t="str">
        <f t="shared" si="0"/>
        <v>Int (+0)</v>
      </c>
      <c r="Q27" s="243" t="s">
        <v>155</v>
      </c>
      <c r="R27" s="243">
        <f t="shared" si="1"/>
        <v>0</v>
      </c>
      <c r="S27" s="226">
        <f t="shared" ca="1" si="2"/>
        <v>13</v>
      </c>
      <c r="T27" s="243">
        <f t="shared" ca="1" si="4"/>
        <v>13</v>
      </c>
      <c r="U27" s="227"/>
    </row>
    <row r="28" spans="1:21" s="248" customFormat="1" ht="16.8" x14ac:dyDescent="0.3">
      <c r="A28" s="238" t="s">
        <v>176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39" t="s">
        <v>128</v>
      </c>
      <c r="O28" s="240" t="str">
        <f>INDEX(Members!$L$2:$V$20,MATCH($W$2,Members!$A$2:$A$20,0),MATCH(N28,Members!$L$1:$V$1,0))</f>
        <v>+0</v>
      </c>
      <c r="P28" s="241" t="str">
        <f t="shared" si="0"/>
        <v>Int (+0)</v>
      </c>
      <c r="Q28" s="243" t="s">
        <v>155</v>
      </c>
      <c r="R28" s="243">
        <f t="shared" si="1"/>
        <v>0</v>
      </c>
      <c r="S28" s="226">
        <f t="shared" ca="1" si="2"/>
        <v>15</v>
      </c>
      <c r="T28" s="243">
        <f t="shared" ca="1" si="4"/>
        <v>15</v>
      </c>
      <c r="U28" s="227"/>
    </row>
    <row r="29" spans="1:21" s="248" customFormat="1" ht="16.8" x14ac:dyDescent="0.3">
      <c r="A29" s="238" t="s">
        <v>177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39" t="s">
        <v>128</v>
      </c>
      <c r="O29" s="240" t="str">
        <f>INDEX(Members!$L$2:$V$20,MATCH($W$2,Members!$A$2:$A$20,0),MATCH(N29,Members!$L$1:$V$1,0))</f>
        <v>+0</v>
      </c>
      <c r="P29" s="241" t="str">
        <f t="shared" si="0"/>
        <v>Int (+0)</v>
      </c>
      <c r="Q29" s="243" t="s">
        <v>155</v>
      </c>
      <c r="R29" s="243">
        <f t="shared" si="1"/>
        <v>0</v>
      </c>
      <c r="S29" s="226">
        <f t="shared" ca="1" si="2"/>
        <v>20</v>
      </c>
      <c r="T29" s="243">
        <f t="shared" ca="1" si="4"/>
        <v>20</v>
      </c>
      <c r="U29" s="227"/>
    </row>
    <row r="30" spans="1:21" s="248" customFormat="1" ht="16.8" x14ac:dyDescent="0.3">
      <c r="A30" s="238" t="s">
        <v>178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39" t="s">
        <v>128</v>
      </c>
      <c r="O30" s="240" t="str">
        <f>INDEX(Members!$L$2:$V$20,MATCH($W$2,Members!$A$2:$A$20,0),MATCH(N30,Members!$L$1:$V$1,0))</f>
        <v>+0</v>
      </c>
      <c r="P30" s="241" t="str">
        <f t="shared" si="0"/>
        <v>Int (+0)</v>
      </c>
      <c r="Q30" s="243" t="s">
        <v>155</v>
      </c>
      <c r="R30" s="243">
        <f t="shared" si="1"/>
        <v>0</v>
      </c>
      <c r="S30" s="226">
        <f t="shared" ca="1" si="2"/>
        <v>3</v>
      </c>
      <c r="T30" s="243">
        <f t="shared" ca="1" si="4"/>
        <v>3</v>
      </c>
      <c r="U30" s="227"/>
    </row>
    <row r="31" spans="1:21" s="248" customFormat="1" ht="16.8" x14ac:dyDescent="0.3">
      <c r="A31" s="238" t="s">
        <v>179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39" t="s">
        <v>128</v>
      </c>
      <c r="O31" s="240" t="str">
        <f>INDEX(Members!$L$2:$V$20,MATCH($W$2,Members!$A$2:$A$20,0),MATCH(N31,Members!$L$1:$V$1,0))</f>
        <v>+0</v>
      </c>
      <c r="P31" s="241" t="str">
        <f t="shared" si="0"/>
        <v>Int (+0)</v>
      </c>
      <c r="Q31" s="243" t="s">
        <v>155</v>
      </c>
      <c r="R31" s="243">
        <f t="shared" si="1"/>
        <v>0</v>
      </c>
      <c r="S31" s="226">
        <f t="shared" ca="1" si="2"/>
        <v>8</v>
      </c>
      <c r="T31" s="243">
        <f t="shared" ca="1" si="4"/>
        <v>8</v>
      </c>
      <c r="U31" s="227"/>
    </row>
    <row r="32" spans="1:21" s="248" customFormat="1" ht="16.8" x14ac:dyDescent="0.3">
      <c r="A32" s="238" t="s">
        <v>180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39" t="s">
        <v>128</v>
      </c>
      <c r="O32" s="240" t="str">
        <f>INDEX(Members!$L$2:$V$20,MATCH($W$2,Members!$A$2:$A$20,0),MATCH(N32,Members!$L$1:$V$1,0))</f>
        <v>+0</v>
      </c>
      <c r="P32" s="241" t="str">
        <f t="shared" si="0"/>
        <v>Int (+0)</v>
      </c>
      <c r="Q32" s="243" t="s">
        <v>155</v>
      </c>
      <c r="R32" s="243">
        <f t="shared" si="1"/>
        <v>0</v>
      </c>
      <c r="S32" s="226">
        <f t="shared" ca="1" si="2"/>
        <v>18</v>
      </c>
      <c r="T32" s="243">
        <f t="shared" ca="1" si="4"/>
        <v>18</v>
      </c>
      <c r="U32" s="227"/>
    </row>
    <row r="33" spans="1:21" s="248" customFormat="1" ht="16.8" x14ac:dyDescent="0.3">
      <c r="A33" s="264" t="s">
        <v>181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65" t="s">
        <v>130</v>
      </c>
      <c r="O33" s="266" t="str">
        <f>INDEX(Members!$L$2:$V$20,MATCH($W$2,Members!$A$2:$A$20,0),MATCH(N33,Members!$L$1:$V$1,0))</f>
        <v>+4</v>
      </c>
      <c r="P33" s="267" t="str">
        <f t="shared" si="0"/>
        <v>Wis (+4)</v>
      </c>
      <c r="Q33" s="243" t="s">
        <v>155</v>
      </c>
      <c r="R33" s="243">
        <f t="shared" si="1"/>
        <v>4</v>
      </c>
      <c r="S33" s="226">
        <f t="shared" ca="1" si="2"/>
        <v>11</v>
      </c>
      <c r="T33" s="243">
        <f t="shared" ca="1" si="3"/>
        <v>15</v>
      </c>
      <c r="U33" s="227"/>
    </row>
    <row r="34" spans="1:21" s="248" customFormat="1" ht="16.8" x14ac:dyDescent="0.3">
      <c r="A34" s="245" t="s">
        <v>182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46" t="s">
        <v>124</v>
      </c>
      <c r="O34" s="247" t="str">
        <f>INDEX(Members!$L$2:$V$20,MATCH($W$2,Members!$A$2:$A$20,0),MATCH(N34,Members!$L$1:$V$1,0))</f>
        <v>+0</v>
      </c>
      <c r="P34" s="231" t="str">
        <f t="shared" si="0"/>
        <v>Dex (+0)</v>
      </c>
      <c r="Q34" s="243" t="s">
        <v>155</v>
      </c>
      <c r="R34" s="243">
        <f t="shared" si="1"/>
        <v>0</v>
      </c>
      <c r="S34" s="226">
        <f t="shared" ca="1" si="2"/>
        <v>16</v>
      </c>
      <c r="T34" s="243">
        <f t="shared" ca="1" si="3"/>
        <v>16</v>
      </c>
      <c r="U34" s="227"/>
    </row>
    <row r="35" spans="1:21" s="248" customFormat="1" ht="16.8" x14ac:dyDescent="0.3">
      <c r="A35" s="245" t="s">
        <v>183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46" t="s">
        <v>124</v>
      </c>
      <c r="O35" s="247" t="str">
        <f>INDEX(Members!$L$2:$V$20,MATCH($W$2,Members!$A$2:$A$20,0),MATCH(N35,Members!$L$1:$V$1,0))</f>
        <v>+0</v>
      </c>
      <c r="P35" s="231" t="str">
        <f t="shared" si="0"/>
        <v>Dex (+0)</v>
      </c>
      <c r="Q35" s="243" t="s">
        <v>155</v>
      </c>
      <c r="R35" s="243">
        <f t="shared" si="1"/>
        <v>0</v>
      </c>
      <c r="S35" s="226">
        <f t="shared" ca="1" si="2"/>
        <v>16</v>
      </c>
      <c r="T35" s="243">
        <f t="shared" ca="1" si="3"/>
        <v>16</v>
      </c>
      <c r="U35" s="227"/>
    </row>
    <row r="36" spans="1:21" ht="16.8" x14ac:dyDescent="0.3">
      <c r="A36" s="249" t="s">
        <v>184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50" t="s">
        <v>132</v>
      </c>
      <c r="O36" s="251" t="str">
        <f>INDEX(Members!$L$2:$V$20,MATCH($W$2,Members!$A$2:$A$20,0),MATCH(N36,Members!$L$1:$V$1,0))</f>
        <v>+0</v>
      </c>
      <c r="P36" s="252" t="str">
        <f t="shared" si="0"/>
        <v>Cha (+0)</v>
      </c>
      <c r="Q36" s="243" t="s">
        <v>155</v>
      </c>
      <c r="R36" s="243">
        <f t="shared" si="1"/>
        <v>0</v>
      </c>
      <c r="S36" s="226">
        <f t="shared" ca="1" si="2"/>
        <v>9</v>
      </c>
      <c r="T36" s="243">
        <f t="shared" ca="1" si="3"/>
        <v>9</v>
      </c>
      <c r="U36" s="227"/>
    </row>
    <row r="37" spans="1:21" ht="16.8" x14ac:dyDescent="0.3">
      <c r="A37" s="249" t="s">
        <v>210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65" t="s">
        <v>130</v>
      </c>
      <c r="O37" s="266" t="str">
        <f>INDEX(Members!$L$2:$V$20,MATCH($W$2,Members!$A$2:$A$20,0),MATCH(N37,Members!$L$1:$V$1,0))</f>
        <v>+4</v>
      </c>
      <c r="P37" s="267" t="str">
        <f t="shared" si="0"/>
        <v>Wis (+4)</v>
      </c>
      <c r="Q37" s="243" t="s">
        <v>155</v>
      </c>
      <c r="R37" s="243">
        <f t="shared" si="1"/>
        <v>4</v>
      </c>
      <c r="S37" s="226">
        <f t="shared" ca="1" si="2"/>
        <v>19</v>
      </c>
      <c r="T37" s="243">
        <f t="shared" ca="1" si="3"/>
        <v>23</v>
      </c>
      <c r="U37" s="227"/>
    </row>
    <row r="38" spans="1:21" ht="16.8" x14ac:dyDescent="0.3">
      <c r="A38" s="245" t="s">
        <v>185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46" t="s">
        <v>124</v>
      </c>
      <c r="O38" s="247" t="str">
        <f>INDEX(Members!$L$2:$V$20,MATCH($W$2,Members!$A$2:$A$20,0),MATCH(N38,Members!$L$1:$V$1,0))</f>
        <v>+0</v>
      </c>
      <c r="P38" s="231" t="str">
        <f t="shared" si="0"/>
        <v>Dex (+0)</v>
      </c>
      <c r="Q38" s="243" t="s">
        <v>155</v>
      </c>
      <c r="R38" s="243">
        <f t="shared" si="1"/>
        <v>0</v>
      </c>
      <c r="S38" s="226">
        <f t="shared" ca="1" si="2"/>
        <v>7</v>
      </c>
      <c r="T38" s="243">
        <f t="shared" ca="1" si="3"/>
        <v>7</v>
      </c>
      <c r="U38" s="227"/>
    </row>
    <row r="39" spans="1:21" ht="16.8" x14ac:dyDescent="0.3">
      <c r="A39" s="238" t="s">
        <v>186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39" t="s">
        <v>128</v>
      </c>
      <c r="O39" s="240" t="str">
        <f>INDEX(Members!$L$2:$V$20,MATCH($W$2,Members!$A$2:$A$20,0),MATCH(N39,Members!$L$1:$V$1,0))</f>
        <v>+0</v>
      </c>
      <c r="P39" s="241" t="str">
        <f t="shared" si="0"/>
        <v>Int (+0)</v>
      </c>
      <c r="Q39" s="243" t="s">
        <v>155</v>
      </c>
      <c r="R39" s="243">
        <f t="shared" si="1"/>
        <v>0</v>
      </c>
      <c r="S39" s="226">
        <f t="shared" ca="1" si="2"/>
        <v>8</v>
      </c>
      <c r="T39" s="243">
        <f t="shared" ca="1" si="3"/>
        <v>8</v>
      </c>
      <c r="U39" s="227"/>
    </row>
    <row r="40" spans="1:21" ht="16.8" x14ac:dyDescent="0.3">
      <c r="A40" s="264" t="s">
        <v>187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65" t="s">
        <v>130</v>
      </c>
      <c r="O40" s="266" t="str">
        <f>INDEX(Members!$L$2:$V$20,MATCH($W$2,Members!$A$2:$A$20,0),MATCH(N40,Members!$L$1:$V$1,0))</f>
        <v>+4</v>
      </c>
      <c r="P40" s="267" t="str">
        <f t="shared" si="0"/>
        <v>Wis (+4)</v>
      </c>
      <c r="Q40" s="243" t="s">
        <v>155</v>
      </c>
      <c r="R40" s="243">
        <f t="shared" si="1"/>
        <v>4</v>
      </c>
      <c r="S40" s="226">
        <f t="shared" ca="1" si="2"/>
        <v>8</v>
      </c>
      <c r="T40" s="243">
        <f t="shared" ca="1" si="3"/>
        <v>12</v>
      </c>
      <c r="U40" s="227"/>
    </row>
    <row r="41" spans="1:21" ht="16.8" x14ac:dyDescent="0.3">
      <c r="A41" s="245" t="s">
        <v>188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46" t="s">
        <v>124</v>
      </c>
      <c r="O41" s="247" t="str">
        <f>INDEX(Members!$L$2:$V$20,MATCH($W$2,Members!$A$2:$A$20,0),MATCH(N41,Members!$L$1:$V$1,0))</f>
        <v>+0</v>
      </c>
      <c r="P41" s="231" t="str">
        <f t="shared" si="0"/>
        <v>Dex (+0)</v>
      </c>
      <c r="Q41" s="243" t="s">
        <v>155</v>
      </c>
      <c r="R41" s="243">
        <f t="shared" si="1"/>
        <v>0</v>
      </c>
      <c r="S41" s="226">
        <f t="shared" ca="1" si="2"/>
        <v>1</v>
      </c>
      <c r="T41" s="243">
        <f t="shared" ca="1" si="3"/>
        <v>1</v>
      </c>
      <c r="U41" s="227"/>
    </row>
    <row r="42" spans="1:21" ht="16.8" x14ac:dyDescent="0.3">
      <c r="A42" s="238" t="s">
        <v>189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39" t="s">
        <v>128</v>
      </c>
      <c r="O42" s="240" t="str">
        <f>INDEX(Members!$L$2:$V$20,MATCH($W$2,Members!$A$2:$A$20,0),MATCH(N42,Members!$L$1:$V$1,0))</f>
        <v>+0</v>
      </c>
      <c r="P42" s="241" t="str">
        <f t="shared" si="0"/>
        <v>Int (+0)</v>
      </c>
      <c r="Q42" s="243" t="s">
        <v>155</v>
      </c>
      <c r="R42" s="243">
        <f t="shared" si="1"/>
        <v>0</v>
      </c>
      <c r="S42" s="226">
        <f t="shared" ca="1" si="2"/>
        <v>4</v>
      </c>
      <c r="T42" s="243">
        <f t="shared" ca="1" si="3"/>
        <v>4</v>
      </c>
      <c r="U42" s="227"/>
    </row>
    <row r="43" spans="1:21" ht="16.8" x14ac:dyDescent="0.3">
      <c r="A43" s="238" t="s">
        <v>190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39" t="s">
        <v>128</v>
      </c>
      <c r="O43" s="240" t="str">
        <f>INDEX(Members!$L$2:$V$20,MATCH($W$2,Members!$A$2:$A$20,0),MATCH(N43,Members!$L$1:$V$1,0))</f>
        <v>+0</v>
      </c>
      <c r="P43" s="241" t="str">
        <f t="shared" si="0"/>
        <v>Int (+0)</v>
      </c>
      <c r="Q43" s="243" t="s">
        <v>155</v>
      </c>
      <c r="R43" s="243">
        <f t="shared" si="1"/>
        <v>0</v>
      </c>
      <c r="S43" s="226">
        <f t="shared" ca="1" si="2"/>
        <v>17</v>
      </c>
      <c r="T43" s="243">
        <f t="shared" ca="1" si="3"/>
        <v>17</v>
      </c>
      <c r="U43" s="227"/>
    </row>
    <row r="44" spans="1:21" ht="16.8" x14ac:dyDescent="0.3">
      <c r="A44" s="264" t="s">
        <v>191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65" t="s">
        <v>130</v>
      </c>
      <c r="O44" s="266" t="str">
        <f>INDEX(Members!$L$2:$V$20,MATCH($W$2,Members!$A$2:$A$20,0),MATCH(N44,Members!$L$1:$V$1,0))</f>
        <v>+4</v>
      </c>
      <c r="P44" s="267" t="str">
        <f t="shared" si="0"/>
        <v>Wis (+4)</v>
      </c>
      <c r="Q44" s="243" t="s">
        <v>155</v>
      </c>
      <c r="R44" s="243">
        <f t="shared" si="1"/>
        <v>4</v>
      </c>
      <c r="S44" s="226">
        <f t="shared" ca="1" si="2"/>
        <v>15</v>
      </c>
      <c r="T44" s="243">
        <f t="shared" ca="1" si="3"/>
        <v>19</v>
      </c>
      <c r="U44" s="227"/>
    </row>
    <row r="45" spans="1:21" ht="16.8" x14ac:dyDescent="0.3">
      <c r="A45" s="264" t="s">
        <v>113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65" t="s">
        <v>130</v>
      </c>
      <c r="O45" s="266" t="str">
        <f>INDEX(Members!$L$2:$V$20,MATCH($W$2,Members!$A$2:$A$20,0),MATCH(N45,Members!$L$1:$V$1,0))</f>
        <v>+4</v>
      </c>
      <c r="P45" s="267" t="str">
        <f t="shared" si="0"/>
        <v>Wis (+4)</v>
      </c>
      <c r="Q45" s="243" t="s">
        <v>155</v>
      </c>
      <c r="R45" s="243">
        <f t="shared" si="1"/>
        <v>4</v>
      </c>
      <c r="S45" s="226">
        <f t="shared" ca="1" si="2"/>
        <v>17</v>
      </c>
      <c r="T45" s="243">
        <f t="shared" ca="1" si="3"/>
        <v>21</v>
      </c>
      <c r="U45" s="227"/>
    </row>
    <row r="46" spans="1:21" ht="16.8" x14ac:dyDescent="0.3">
      <c r="A46" s="254" t="s">
        <v>192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55" t="s">
        <v>122</v>
      </c>
      <c r="O46" s="256" t="str">
        <f>INDEX(Members!$L$2:$V$20,MATCH($W$2,Members!$A$2:$A$20,0),MATCH(N46,Members!$L$1:$V$1,0))</f>
        <v>+3</v>
      </c>
      <c r="P46" s="257" t="str">
        <f t="shared" si="0"/>
        <v>Str (+3)</v>
      </c>
      <c r="Q46" s="243" t="s">
        <v>155</v>
      </c>
      <c r="R46" s="243">
        <f t="shared" si="1"/>
        <v>3</v>
      </c>
      <c r="S46" s="226">
        <f t="shared" ca="1" si="2"/>
        <v>2</v>
      </c>
      <c r="T46" s="243">
        <f t="shared" ca="1" si="3"/>
        <v>5</v>
      </c>
      <c r="U46" s="227"/>
    </row>
    <row r="47" spans="1:21" ht="16.8" x14ac:dyDescent="0.3">
      <c r="A47" s="245" t="s">
        <v>193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46" t="s">
        <v>124</v>
      </c>
      <c r="O47" s="247" t="str">
        <f>INDEX(Members!$L$2:$V$20,MATCH($W$2,Members!$A$2:$A$20,0),MATCH(N47,Members!$L$1:$V$1,0))</f>
        <v>+0</v>
      </c>
      <c r="P47" s="231" t="str">
        <f t="shared" si="0"/>
        <v>Dex (+0)</v>
      </c>
      <c r="Q47" s="243" t="s">
        <v>155</v>
      </c>
      <c r="R47" s="243">
        <f t="shared" si="1"/>
        <v>0</v>
      </c>
      <c r="S47" s="226">
        <f t="shared" ca="1" si="2"/>
        <v>14</v>
      </c>
      <c r="T47" s="243">
        <f t="shared" ca="1" si="3"/>
        <v>14</v>
      </c>
      <c r="U47" s="227"/>
    </row>
    <row r="48" spans="1:21" ht="16.8" x14ac:dyDescent="0.3">
      <c r="A48" s="249" t="s">
        <v>111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50" t="s">
        <v>132</v>
      </c>
      <c r="O48" s="251" t="str">
        <f>INDEX(Members!$L$2:$V$20,MATCH($W$2,Members!$A$2:$A$20,0),MATCH(N48,Members!$L$1:$V$1,0))</f>
        <v>+0</v>
      </c>
      <c r="P48" s="252" t="str">
        <f t="shared" si="0"/>
        <v>Cha (+0)</v>
      </c>
      <c r="Q48" s="243" t="s">
        <v>155</v>
      </c>
      <c r="R48" s="243">
        <f t="shared" si="1"/>
        <v>0</v>
      </c>
      <c r="S48" s="226">
        <f t="shared" ca="1" si="2"/>
        <v>14</v>
      </c>
      <c r="T48" s="243">
        <f t="shared" ca="1" si="3"/>
        <v>14</v>
      </c>
      <c r="U48" s="227"/>
    </row>
    <row r="49" spans="1:21" ht="17.399999999999999" thickBot="1" x14ac:dyDescent="0.35">
      <c r="A49" s="268" t="s">
        <v>194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70" t="s">
        <v>124</v>
      </c>
      <c r="O49" s="271" t="str">
        <f>INDEX(Members!$L$2:$V$20,MATCH($W$2,Members!$A$2:$A$20,0),MATCH(N49,Members!$L$1:$V$1,0))</f>
        <v>+0</v>
      </c>
      <c r="P49" s="272" t="str">
        <f t="shared" si="0"/>
        <v>Dex (+0)</v>
      </c>
      <c r="Q49" s="273" t="s">
        <v>155</v>
      </c>
      <c r="R49" s="273">
        <f t="shared" si="1"/>
        <v>0</v>
      </c>
      <c r="S49" s="274">
        <f t="shared" ca="1" si="2"/>
        <v>12</v>
      </c>
      <c r="T49" s="273">
        <f t="shared" ca="1" si="3"/>
        <v>12</v>
      </c>
      <c r="U49" s="275"/>
    </row>
    <row r="50" spans="1:21" ht="16.2" thickTop="1" x14ac:dyDescent="0.3">
      <c r="A50" s="276" t="s">
        <v>25</v>
      </c>
      <c r="B50" s="277">
        <f>SUM(B5:B49)</f>
        <v>0</v>
      </c>
      <c r="C50" s="277">
        <f>SUM(C5:C49)</f>
        <v>0</v>
      </c>
      <c r="D50" s="277">
        <f>SUM(D5:D49)</f>
        <v>0</v>
      </c>
      <c r="E50" s="277">
        <f t="shared" ref="E50:G50" si="5">SUM(E5:E49)</f>
        <v>0</v>
      </c>
      <c r="F50" s="277">
        <f t="shared" si="5"/>
        <v>0</v>
      </c>
      <c r="G50" s="277">
        <f t="shared" si="5"/>
        <v>0</v>
      </c>
      <c r="H50" s="277">
        <f>SUM(H5:H49)</f>
        <v>0</v>
      </c>
      <c r="I50" s="277">
        <f t="shared" ref="I50:M50" si="6">SUM(I5:I49)</f>
        <v>0</v>
      </c>
      <c r="J50" s="277">
        <f t="shared" si="6"/>
        <v>0</v>
      </c>
      <c r="K50" s="277">
        <f t="shared" si="6"/>
        <v>0</v>
      </c>
      <c r="L50" s="277">
        <f t="shared" si="6"/>
        <v>0</v>
      </c>
      <c r="M50" s="277">
        <f t="shared" si="6"/>
        <v>0</v>
      </c>
      <c r="P50" s="277"/>
      <c r="Q50" s="279"/>
    </row>
    <row r="51" spans="1:21" x14ac:dyDescent="0.3">
      <c r="A51" s="276" t="s">
        <v>147</v>
      </c>
      <c r="B51" s="277">
        <f>VLOOKUP(B$1,Members!$A$2:$AJ$5,36,FALSE)</f>
        <v>19</v>
      </c>
      <c r="C51" s="277">
        <f>VLOOKUP(C$1,Members!$A$2:$AJ$5,36,FALSE)</f>
        <v>83</v>
      </c>
      <c r="D51" s="277">
        <f>VLOOKUP(D$1,Members!$A$2:$AJ$5,36,FALSE)</f>
        <v>59</v>
      </c>
      <c r="E51" s="277">
        <f>VLOOKUP(E$1,Members!$A$2:$AJ$5,36,FALSE)</f>
        <v>66</v>
      </c>
      <c r="F51" s="277" t="e">
        <f>VLOOKUP(F$1,Members!$A$2:$AJ$5,36,FALSE)</f>
        <v>#N/A</v>
      </c>
      <c r="G51" s="277" t="e">
        <f>VLOOKUP(G$1,Members!$A$2:$AJ$5,36,FALSE)</f>
        <v>#N/A</v>
      </c>
      <c r="H51" s="277" t="e">
        <f>VLOOKUP(H$1,Members!$A$2:$AJ$5,36,FALSE)</f>
        <v>#N/A</v>
      </c>
      <c r="I51" s="277" t="e">
        <f>VLOOKUP(I$1,Members!$A$2:$AJ$5,36,FALSE)</f>
        <v>#N/A</v>
      </c>
      <c r="J51" s="277" t="e">
        <f>VLOOKUP(J$1,Members!$A$2:$AJ$5,36,FALSE)</f>
        <v>#N/A</v>
      </c>
      <c r="K51" s="277" t="e">
        <f>VLOOKUP(K$1,Members!$A$2:$AJ$5,36,FALSE)</f>
        <v>#N/A</v>
      </c>
      <c r="L51" s="277" t="e">
        <f>VLOOKUP(L$1,Members!$A$2:$AJ$5,36,FALSE)</f>
        <v>#N/A</v>
      </c>
      <c r="M51" s="277" t="e">
        <f>VLOOKUP(M$1,Members!$A$2:$AJ$5,36,FALSE)</f>
        <v>#N/A</v>
      </c>
      <c r="P51" s="277"/>
    </row>
    <row r="52" spans="1:21" x14ac:dyDescent="0.3">
      <c r="B52" s="219"/>
      <c r="P52" s="277"/>
    </row>
    <row r="53" spans="1:21" x14ac:dyDescent="0.3">
      <c r="P53" s="277"/>
    </row>
    <row r="54" spans="1:21" x14ac:dyDescent="0.3">
      <c r="P54" s="277"/>
    </row>
    <row r="55" spans="1:21" x14ac:dyDescent="0.3">
      <c r="P55" s="277"/>
    </row>
    <row r="56" spans="1:21" x14ac:dyDescent="0.3">
      <c r="P56" s="277"/>
    </row>
    <row r="57" spans="1:21" x14ac:dyDescent="0.3">
      <c r="P57" s="277"/>
    </row>
    <row r="58" spans="1:21" x14ac:dyDescent="0.3">
      <c r="P58" s="277"/>
    </row>
    <row r="59" spans="1:21" x14ac:dyDescent="0.3">
      <c r="P59" s="277"/>
    </row>
    <row r="60" spans="1:21" x14ac:dyDescent="0.3">
      <c r="P60" s="277"/>
    </row>
    <row r="61" spans="1:21" x14ac:dyDescent="0.3">
      <c r="P61" s="277"/>
    </row>
  </sheetData>
  <conditionalFormatting sqref="B1:M1">
    <cfRule type="cellIs" dxfId="22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showGridLines="0" zoomScaleNormal="100" workbookViewId="0">
      <pane ySplit="1" topLeftCell="A2" activePane="bottomLeft" state="frozen"/>
      <selection pane="bottomLeft" activeCell="C17" sqref="C17"/>
    </sheetView>
  </sheetViews>
  <sheetFormatPr defaultRowHeight="15.6" x14ac:dyDescent="0.3"/>
  <cols>
    <col min="1" max="1" width="9.5" style="48" bestFit="1" customWidth="1"/>
    <col min="2" max="2" width="22.0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92</v>
      </c>
      <c r="F1" s="55" t="s">
        <v>91</v>
      </c>
      <c r="G1" s="55" t="s">
        <v>90</v>
      </c>
      <c r="H1" s="55" t="s">
        <v>89</v>
      </c>
      <c r="I1" s="55" t="s">
        <v>93</v>
      </c>
      <c r="J1" s="55" t="s">
        <v>75</v>
      </c>
      <c r="K1" s="55" t="s">
        <v>76</v>
      </c>
      <c r="L1" s="55" t="s">
        <v>77</v>
      </c>
      <c r="M1" s="55" t="s">
        <v>78</v>
      </c>
      <c r="O1" s="145" t="s">
        <v>79</v>
      </c>
      <c r="P1" s="68">
        <v>61</v>
      </c>
      <c r="Q1" s="146" t="s">
        <v>97</v>
      </c>
      <c r="R1" s="144">
        <v>0.45833333333333331</v>
      </c>
      <c r="S1" s="147" t="s">
        <v>96</v>
      </c>
      <c r="T1" s="144">
        <f>R1+((P1)/(24*60*10))</f>
        <v>0.46256944444444442</v>
      </c>
    </row>
    <row r="2" spans="1:20" ht="16.8" x14ac:dyDescent="0.3">
      <c r="A2" s="131" t="s">
        <v>108</v>
      </c>
      <c r="B2" s="57" t="s">
        <v>201</v>
      </c>
      <c r="C2" s="57"/>
      <c r="D2" s="57">
        <v>6</v>
      </c>
      <c r="E2" s="58" t="s">
        <v>110</v>
      </c>
      <c r="F2" s="58" t="s">
        <v>80</v>
      </c>
      <c r="G2" s="58" t="s">
        <v>80</v>
      </c>
      <c r="H2" s="58" t="s">
        <v>80</v>
      </c>
      <c r="I2" s="57"/>
      <c r="J2" s="57">
        <f t="shared" ref="J2:J20" si="0">IF($E2="þ",$D2,IF($F2="þ",($D2*10),IF($G2="þ",($D2*100),IF($H2="þ",($D2*600),$I2))))</f>
        <v>6</v>
      </c>
      <c r="K2" s="57">
        <f t="shared" ref="K2:K7" si="1">J2+C2</f>
        <v>6</v>
      </c>
      <c r="L2" s="58" t="s">
        <v>80</v>
      </c>
      <c r="M2" s="161" t="str">
        <f t="shared" ref="M2:M12" si="2">IF(C2="","",IF(K2&lt;=$P$1,"þ","q"))</f>
        <v/>
      </c>
    </row>
    <row r="3" spans="1:20" ht="16.8" x14ac:dyDescent="0.3">
      <c r="A3" s="131" t="s">
        <v>108</v>
      </c>
      <c r="B3" s="57" t="s">
        <v>337</v>
      </c>
      <c r="C3" s="57">
        <v>1</v>
      </c>
      <c r="D3" s="57">
        <v>6</v>
      </c>
      <c r="E3" s="58" t="s">
        <v>80</v>
      </c>
      <c r="F3" s="58" t="s">
        <v>110</v>
      </c>
      <c r="G3" s="58" t="s">
        <v>80</v>
      </c>
      <c r="H3" s="58" t="s">
        <v>80</v>
      </c>
      <c r="I3" s="57"/>
      <c r="J3" s="57">
        <f t="shared" si="0"/>
        <v>60</v>
      </c>
      <c r="K3" s="57">
        <f t="shared" ref="K3" si="3">J3+C3</f>
        <v>61</v>
      </c>
      <c r="L3" s="58" t="s">
        <v>110</v>
      </c>
      <c r="M3" s="161" t="str">
        <f t="shared" ref="M3" si="4">IF(C3="","",IF(K3&lt;=$P$1,"þ","q"))</f>
        <v>þ</v>
      </c>
    </row>
    <row r="4" spans="1:20" ht="16.8" x14ac:dyDescent="0.3">
      <c r="A4" s="131" t="s">
        <v>108</v>
      </c>
      <c r="B4" s="57" t="s">
        <v>346</v>
      </c>
      <c r="C4" s="57">
        <v>53</v>
      </c>
      <c r="D4" s="57">
        <v>6</v>
      </c>
      <c r="E4" s="58" t="s">
        <v>80</v>
      </c>
      <c r="F4" s="58" t="s">
        <v>110</v>
      </c>
      <c r="G4" s="58" t="s">
        <v>80</v>
      </c>
      <c r="H4" s="58" t="s">
        <v>80</v>
      </c>
      <c r="I4" s="57"/>
      <c r="J4" s="57">
        <f t="shared" si="0"/>
        <v>60</v>
      </c>
      <c r="K4" s="57">
        <f t="shared" ref="K4" si="5">J4+C4</f>
        <v>113</v>
      </c>
      <c r="L4" s="58" t="s">
        <v>110</v>
      </c>
      <c r="M4" s="161" t="str">
        <f t="shared" ref="M4" si="6">IF(C4="","",IF(K4&lt;=$P$1,"þ","q"))</f>
        <v>q</v>
      </c>
    </row>
    <row r="5" spans="1:20" ht="16.8" x14ac:dyDescent="0.3">
      <c r="A5" s="157" t="s">
        <v>105</v>
      </c>
      <c r="B5" s="57"/>
      <c r="C5" s="57"/>
      <c r="D5" s="57">
        <v>2</v>
      </c>
      <c r="E5" s="58" t="s">
        <v>80</v>
      </c>
      <c r="F5" s="58" t="s">
        <v>110</v>
      </c>
      <c r="G5" s="58" t="s">
        <v>80</v>
      </c>
      <c r="H5" s="58" t="s">
        <v>80</v>
      </c>
      <c r="I5" s="57"/>
      <c r="J5" s="57">
        <f t="shared" si="0"/>
        <v>20</v>
      </c>
      <c r="K5" s="57">
        <f t="shared" si="1"/>
        <v>20</v>
      </c>
      <c r="L5" s="58" t="s">
        <v>80</v>
      </c>
      <c r="M5" s="59" t="str">
        <f t="shared" si="2"/>
        <v/>
      </c>
      <c r="O5" s="69"/>
    </row>
    <row r="6" spans="1:20" ht="16.8" x14ac:dyDescent="0.3">
      <c r="A6" s="157" t="s">
        <v>105</v>
      </c>
      <c r="B6" s="57"/>
      <c r="C6" s="57"/>
      <c r="D6" s="57">
        <v>1</v>
      </c>
      <c r="E6" s="58" t="s">
        <v>80</v>
      </c>
      <c r="F6" s="58" t="s">
        <v>110</v>
      </c>
      <c r="G6" s="58" t="s">
        <v>80</v>
      </c>
      <c r="H6" s="58" t="s">
        <v>80</v>
      </c>
      <c r="I6" s="57"/>
      <c r="J6" s="57">
        <f t="shared" si="0"/>
        <v>10</v>
      </c>
      <c r="K6" s="57">
        <f t="shared" ref="K6" si="7">J6+C6</f>
        <v>10</v>
      </c>
      <c r="L6" s="58" t="s">
        <v>110</v>
      </c>
      <c r="M6" s="59" t="str">
        <f t="shared" ref="M6" si="8">IF(C6="","",IF(K6&lt;=$P$1,"þ","q"))</f>
        <v/>
      </c>
      <c r="O6" s="69"/>
    </row>
    <row r="7" spans="1:20" ht="16.8" x14ac:dyDescent="0.3">
      <c r="A7" s="157" t="s">
        <v>105</v>
      </c>
      <c r="B7" s="57"/>
      <c r="C7" s="57"/>
      <c r="D7" s="57">
        <v>1</v>
      </c>
      <c r="E7" s="58" t="s">
        <v>80</v>
      </c>
      <c r="F7" s="58" t="s">
        <v>80</v>
      </c>
      <c r="G7" s="58" t="s">
        <v>110</v>
      </c>
      <c r="H7" s="58" t="s">
        <v>80</v>
      </c>
      <c r="I7" s="57"/>
      <c r="J7" s="57">
        <f t="shared" si="0"/>
        <v>100</v>
      </c>
      <c r="K7" s="57">
        <f t="shared" si="1"/>
        <v>100</v>
      </c>
      <c r="L7" s="58" t="s">
        <v>80</v>
      </c>
      <c r="M7" s="59" t="str">
        <f t="shared" ref="M7" si="9">IF(C7="","",IF(K7&lt;=$P$1,"þ","q"))</f>
        <v/>
      </c>
      <c r="O7" s="69"/>
    </row>
    <row r="8" spans="1:20" ht="16.8" x14ac:dyDescent="0.3">
      <c r="A8" s="329" t="s">
        <v>212</v>
      </c>
      <c r="B8" s="57" t="s">
        <v>340</v>
      </c>
      <c r="C8" s="57"/>
      <c r="D8" s="57">
        <v>6</v>
      </c>
      <c r="E8" s="58" t="s">
        <v>80</v>
      </c>
      <c r="F8" s="58" t="s">
        <v>80</v>
      </c>
      <c r="G8" s="58" t="s">
        <v>110</v>
      </c>
      <c r="H8" s="58" t="s">
        <v>80</v>
      </c>
      <c r="I8" s="57"/>
      <c r="J8" s="57">
        <f t="shared" si="0"/>
        <v>600</v>
      </c>
      <c r="K8" s="57">
        <f t="shared" ref="K8" si="10">J8+C8</f>
        <v>600</v>
      </c>
      <c r="L8" s="58" t="s">
        <v>110</v>
      </c>
      <c r="M8" s="59" t="str">
        <f t="shared" ref="M8" si="11">IF(C8="","",IF(K8&lt;=$P$1,"þ","q"))</f>
        <v/>
      </c>
      <c r="O8" s="69"/>
    </row>
    <row r="9" spans="1:20" ht="16.8" x14ac:dyDescent="0.3">
      <c r="A9" s="329" t="s">
        <v>212</v>
      </c>
      <c r="B9" s="57" t="s">
        <v>337</v>
      </c>
      <c r="C9" s="57">
        <v>1</v>
      </c>
      <c r="D9" s="57">
        <v>6</v>
      </c>
      <c r="E9" s="58" t="s">
        <v>80</v>
      </c>
      <c r="F9" s="58" t="s">
        <v>110</v>
      </c>
      <c r="G9" s="58" t="s">
        <v>80</v>
      </c>
      <c r="H9" s="58" t="s">
        <v>80</v>
      </c>
      <c r="I9" s="57"/>
      <c r="J9" s="57">
        <f t="shared" si="0"/>
        <v>60</v>
      </c>
      <c r="K9" s="57">
        <f t="shared" ref="K9" si="12">J9+C9</f>
        <v>61</v>
      </c>
      <c r="L9" s="58" t="s">
        <v>110</v>
      </c>
      <c r="M9" s="59" t="str">
        <f t="shared" ref="M9" si="13">IF(C9="","",IF(K9&lt;=$P$1,"þ","q"))</f>
        <v>þ</v>
      </c>
      <c r="O9" s="69"/>
    </row>
    <row r="10" spans="1:20" ht="16.8" x14ac:dyDescent="0.3">
      <c r="A10" s="329" t="s">
        <v>212</v>
      </c>
      <c r="B10" s="57" t="s">
        <v>345</v>
      </c>
      <c r="C10" s="57">
        <v>51</v>
      </c>
      <c r="D10" s="57">
        <v>6</v>
      </c>
      <c r="E10" s="58" t="s">
        <v>80</v>
      </c>
      <c r="F10" s="58" t="s">
        <v>110</v>
      </c>
      <c r="G10" s="58" t="s">
        <v>80</v>
      </c>
      <c r="H10" s="58" t="s">
        <v>80</v>
      </c>
      <c r="I10" s="57"/>
      <c r="J10" s="57">
        <f t="shared" si="0"/>
        <v>60</v>
      </c>
      <c r="K10" s="57">
        <f t="shared" ref="K10:K20" si="14">J10+C10</f>
        <v>111</v>
      </c>
      <c r="L10" s="58" t="s">
        <v>110</v>
      </c>
      <c r="M10" s="59" t="str">
        <f t="shared" ref="M10:M20" si="15">IF(C10="","",IF(K10&lt;=$P$1,"þ","q"))</f>
        <v>q</v>
      </c>
      <c r="O10" s="69"/>
    </row>
    <row r="11" spans="1:20" ht="16.8" x14ac:dyDescent="0.3">
      <c r="A11" s="288" t="s">
        <v>198</v>
      </c>
      <c r="B11" s="57" t="s">
        <v>199</v>
      </c>
      <c r="C11" s="57"/>
      <c r="D11" s="57">
        <v>4</v>
      </c>
      <c r="E11" s="58" t="s">
        <v>80</v>
      </c>
      <c r="F11" s="58" t="s">
        <v>80</v>
      </c>
      <c r="G11" s="58" t="s">
        <v>110</v>
      </c>
      <c r="H11" s="58" t="s">
        <v>80</v>
      </c>
      <c r="I11" s="57"/>
      <c r="J11" s="57">
        <f t="shared" si="0"/>
        <v>400</v>
      </c>
      <c r="K11" s="57">
        <f t="shared" si="14"/>
        <v>400</v>
      </c>
      <c r="L11" s="58" t="s">
        <v>80</v>
      </c>
      <c r="M11" s="59" t="str">
        <f t="shared" si="15"/>
        <v/>
      </c>
      <c r="O11" s="69"/>
    </row>
    <row r="12" spans="1:20" ht="16.8" x14ac:dyDescent="0.3">
      <c r="A12" s="288" t="s">
        <v>198</v>
      </c>
      <c r="B12" s="57" t="s">
        <v>337</v>
      </c>
      <c r="C12" s="57">
        <v>1</v>
      </c>
      <c r="D12" s="57">
        <v>4</v>
      </c>
      <c r="E12" s="58" t="s">
        <v>80</v>
      </c>
      <c r="F12" s="58" t="s">
        <v>110</v>
      </c>
      <c r="G12" s="58" t="s">
        <v>80</v>
      </c>
      <c r="H12" s="58" t="s">
        <v>80</v>
      </c>
      <c r="I12" s="57"/>
      <c r="J12" s="57">
        <f t="shared" si="0"/>
        <v>40</v>
      </c>
      <c r="K12" s="57">
        <f t="shared" si="14"/>
        <v>41</v>
      </c>
      <c r="L12" s="58" t="s">
        <v>110</v>
      </c>
      <c r="M12" s="59" t="str">
        <f t="shared" si="15"/>
        <v>þ</v>
      </c>
      <c r="O12" s="69"/>
    </row>
    <row r="13" spans="1:20" ht="16.8" x14ac:dyDescent="0.3">
      <c r="A13" s="288" t="s">
        <v>198</v>
      </c>
      <c r="B13" s="57" t="s">
        <v>346</v>
      </c>
      <c r="C13" s="57">
        <v>51</v>
      </c>
      <c r="D13" s="57">
        <v>4</v>
      </c>
      <c r="E13" s="58" t="s">
        <v>80</v>
      </c>
      <c r="F13" s="58" t="s">
        <v>110</v>
      </c>
      <c r="G13" s="58" t="s">
        <v>80</v>
      </c>
      <c r="H13" s="58" t="s">
        <v>80</v>
      </c>
      <c r="I13" s="57">
        <v>10</v>
      </c>
      <c r="J13" s="57">
        <f t="shared" si="0"/>
        <v>40</v>
      </c>
      <c r="K13" s="57">
        <f t="shared" si="14"/>
        <v>91</v>
      </c>
      <c r="L13" s="58" t="s">
        <v>110</v>
      </c>
      <c r="M13" s="59" t="str">
        <f t="shared" si="15"/>
        <v>q</v>
      </c>
      <c r="O13" s="69"/>
    </row>
    <row r="14" spans="1:20" ht="16.8" x14ac:dyDescent="0.3">
      <c r="A14" s="288" t="s">
        <v>198</v>
      </c>
      <c r="B14" s="57" t="s">
        <v>200</v>
      </c>
      <c r="C14" s="57"/>
      <c r="D14" s="57">
        <v>4</v>
      </c>
      <c r="E14" s="58" t="s">
        <v>110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4</v>
      </c>
      <c r="K14" s="57">
        <f t="shared" si="14"/>
        <v>4</v>
      </c>
      <c r="L14" s="58" t="s">
        <v>80</v>
      </c>
      <c r="M14" s="59" t="str">
        <f t="shared" si="15"/>
        <v/>
      </c>
      <c r="O14" s="69"/>
    </row>
    <row r="15" spans="1:20" ht="16.8" x14ac:dyDescent="0.3">
      <c r="A15" s="288" t="s">
        <v>198</v>
      </c>
      <c r="B15" s="57" t="s">
        <v>215</v>
      </c>
      <c r="C15" s="57"/>
      <c r="D15" s="57">
        <v>4</v>
      </c>
      <c r="E15" s="58" t="s">
        <v>110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4</v>
      </c>
      <c r="K15" s="57">
        <f t="shared" si="14"/>
        <v>4</v>
      </c>
      <c r="L15" s="58" t="s">
        <v>80</v>
      </c>
      <c r="M15" s="59" t="str">
        <f t="shared" si="15"/>
        <v/>
      </c>
      <c r="O15" s="69"/>
    </row>
    <row r="16" spans="1:20" ht="16.8" x14ac:dyDescent="0.3">
      <c r="A16" s="288" t="s">
        <v>198</v>
      </c>
      <c r="B16" s="57" t="s">
        <v>201</v>
      </c>
      <c r="C16" s="57"/>
      <c r="D16" s="57">
        <v>4</v>
      </c>
      <c r="E16" s="58" t="s">
        <v>110</v>
      </c>
      <c r="F16" s="58" t="s">
        <v>80</v>
      </c>
      <c r="G16" s="58" t="s">
        <v>80</v>
      </c>
      <c r="H16" s="58" t="s">
        <v>80</v>
      </c>
      <c r="I16" s="57"/>
      <c r="J16" s="57">
        <f t="shared" si="0"/>
        <v>4</v>
      </c>
      <c r="K16" s="57">
        <f t="shared" si="14"/>
        <v>4</v>
      </c>
      <c r="L16" s="58" t="s">
        <v>110</v>
      </c>
      <c r="M16" s="59" t="str">
        <f t="shared" si="15"/>
        <v/>
      </c>
      <c r="O16" s="69"/>
    </row>
    <row r="17" spans="1:15" ht="16.8" x14ac:dyDescent="0.3">
      <c r="A17" s="62" t="s">
        <v>106</v>
      </c>
      <c r="B17" s="57" t="s">
        <v>202</v>
      </c>
      <c r="C17" s="57">
        <v>51</v>
      </c>
      <c r="D17" s="57">
        <v>4</v>
      </c>
      <c r="E17" s="58" t="s">
        <v>80</v>
      </c>
      <c r="F17" s="58" t="s">
        <v>110</v>
      </c>
      <c r="G17" s="58" t="s">
        <v>80</v>
      </c>
      <c r="H17" s="58" t="s">
        <v>80</v>
      </c>
      <c r="I17" s="57"/>
      <c r="J17" s="57">
        <f t="shared" si="0"/>
        <v>40</v>
      </c>
      <c r="K17" s="57">
        <f t="shared" si="14"/>
        <v>91</v>
      </c>
      <c r="L17" s="58" t="s">
        <v>110</v>
      </c>
      <c r="M17" s="59" t="str">
        <f t="shared" si="15"/>
        <v>q</v>
      </c>
      <c r="O17" s="69"/>
    </row>
    <row r="18" spans="1:15" ht="16.8" x14ac:dyDescent="0.3">
      <c r="A18" s="62" t="s">
        <v>106</v>
      </c>
      <c r="B18" s="57"/>
      <c r="C18" s="57"/>
      <c r="D18" s="57"/>
      <c r="E18" s="58" t="s">
        <v>80</v>
      </c>
      <c r="F18" s="58" t="s">
        <v>80</v>
      </c>
      <c r="G18" s="58" t="s">
        <v>80</v>
      </c>
      <c r="H18" s="58" t="s">
        <v>80</v>
      </c>
      <c r="I18" s="57"/>
      <c r="J18" s="57">
        <f t="shared" si="0"/>
        <v>0</v>
      </c>
      <c r="K18" s="57">
        <f t="shared" si="14"/>
        <v>0</v>
      </c>
      <c r="L18" s="58" t="s">
        <v>80</v>
      </c>
      <c r="M18" s="59" t="str">
        <f t="shared" si="15"/>
        <v/>
      </c>
      <c r="O18" s="69"/>
    </row>
    <row r="19" spans="1:15" ht="16.8" x14ac:dyDescent="0.3">
      <c r="A19" s="63"/>
      <c r="B19" s="57"/>
      <c r="C19" s="57"/>
      <c r="D19" s="57"/>
      <c r="E19" s="58" t="s">
        <v>80</v>
      </c>
      <c r="F19" s="58" t="s">
        <v>80</v>
      </c>
      <c r="G19" s="58" t="s">
        <v>80</v>
      </c>
      <c r="H19" s="58" t="s">
        <v>80</v>
      </c>
      <c r="I19" s="57"/>
      <c r="J19" s="57">
        <f t="shared" si="0"/>
        <v>0</v>
      </c>
      <c r="K19" s="57">
        <f t="shared" si="14"/>
        <v>0</v>
      </c>
      <c r="L19" s="58" t="s">
        <v>80</v>
      </c>
      <c r="M19" s="59" t="str">
        <f t="shared" si="15"/>
        <v/>
      </c>
      <c r="O19" s="69"/>
    </row>
    <row r="20" spans="1:15" ht="16.8" x14ac:dyDescent="0.3">
      <c r="A20" s="63"/>
      <c r="B20" s="57"/>
      <c r="C20" s="57"/>
      <c r="D20" s="57">
        <v>4</v>
      </c>
      <c r="E20" s="58" t="s">
        <v>80</v>
      </c>
      <c r="F20" s="58" t="s">
        <v>80</v>
      </c>
      <c r="G20" s="58" t="s">
        <v>80</v>
      </c>
      <c r="H20" s="58" t="s">
        <v>80</v>
      </c>
      <c r="I20" s="57"/>
      <c r="J20" s="57">
        <f t="shared" si="0"/>
        <v>0</v>
      </c>
      <c r="K20" s="57">
        <f t="shared" si="14"/>
        <v>0</v>
      </c>
      <c r="L20" s="58" t="s">
        <v>80</v>
      </c>
      <c r="M20" s="59" t="str">
        <f t="shared" si="15"/>
        <v/>
      </c>
      <c r="O20" s="69"/>
    </row>
    <row r="21" spans="1:15" x14ac:dyDescent="0.3">
      <c r="O21" s="153"/>
    </row>
    <row r="22" spans="1:15" ht="31.2" x14ac:dyDescent="0.3">
      <c r="A22" s="55" t="s">
        <v>71</v>
      </c>
      <c r="B22" s="55" t="s">
        <v>72</v>
      </c>
      <c r="C22" s="55" t="s">
        <v>73</v>
      </c>
      <c r="D22" s="55" t="s">
        <v>74</v>
      </c>
      <c r="E22" s="55" t="s">
        <v>92</v>
      </c>
      <c r="F22" s="55" t="s">
        <v>91</v>
      </c>
      <c r="G22" s="55" t="s">
        <v>90</v>
      </c>
      <c r="H22" s="55" t="s">
        <v>89</v>
      </c>
      <c r="I22" s="55" t="s">
        <v>93</v>
      </c>
      <c r="J22" s="55" t="s">
        <v>75</v>
      </c>
      <c r="K22" s="55" t="s">
        <v>76</v>
      </c>
      <c r="L22" s="55" t="s">
        <v>77</v>
      </c>
      <c r="M22" s="55" t="s">
        <v>78</v>
      </c>
    </row>
    <row r="23" spans="1:15" ht="16.8" x14ac:dyDescent="0.3">
      <c r="A23" s="61" t="s">
        <v>336</v>
      </c>
      <c r="B23" s="57" t="s">
        <v>334</v>
      </c>
      <c r="C23" s="57">
        <v>48</v>
      </c>
      <c r="D23" s="57">
        <f>Members!$F$3</f>
        <v>8</v>
      </c>
      <c r="E23" s="58" t="s">
        <v>80</v>
      </c>
      <c r="F23" s="58" t="s">
        <v>110</v>
      </c>
      <c r="G23" s="58" t="s">
        <v>80</v>
      </c>
      <c r="H23" s="58" t="s">
        <v>80</v>
      </c>
      <c r="I23" s="57"/>
      <c r="J23" s="57">
        <f t="shared" ref="J23:J29" si="16">IF($E23="þ",$D23,IF($F23="þ",($D23*10),IF($G23="þ",($D23*100),IF($H23="þ",($D23*600),$I23))))</f>
        <v>80</v>
      </c>
      <c r="K23" s="57">
        <f t="shared" ref="K23:K29" si="17">J23+C23</f>
        <v>128</v>
      </c>
      <c r="L23" s="58" t="s">
        <v>110</v>
      </c>
      <c r="M23" s="59" t="str">
        <f t="shared" ref="M23:M29" si="18">IF(C23="","",IF(K23&lt;=$P$1,"þ","q"))</f>
        <v>q</v>
      </c>
    </row>
    <row r="24" spans="1:15" ht="16.8" x14ac:dyDescent="0.3">
      <c r="A24" s="131" t="s">
        <v>269</v>
      </c>
      <c r="B24" s="57" t="s">
        <v>337</v>
      </c>
      <c r="C24" s="57">
        <v>1</v>
      </c>
      <c r="D24" s="57">
        <v>3</v>
      </c>
      <c r="E24" s="58" t="s">
        <v>80</v>
      </c>
      <c r="F24" s="58" t="s">
        <v>110</v>
      </c>
      <c r="G24" s="58" t="s">
        <v>80</v>
      </c>
      <c r="H24" s="58" t="s">
        <v>80</v>
      </c>
      <c r="I24" s="57"/>
      <c r="J24" s="57">
        <f t="shared" si="16"/>
        <v>30</v>
      </c>
      <c r="K24" s="57">
        <f t="shared" ref="K24:K26" si="19">J24+C24</f>
        <v>31</v>
      </c>
      <c r="L24" s="58" t="s">
        <v>80</v>
      </c>
      <c r="M24" s="59" t="str">
        <f t="shared" ref="M24:M26" si="20">IF(C24="","",IF(K24&lt;=$P$1,"þ","q"))</f>
        <v>þ</v>
      </c>
    </row>
    <row r="25" spans="1:15" ht="16.8" x14ac:dyDescent="0.3">
      <c r="A25" s="131"/>
      <c r="B25" s="57"/>
      <c r="C25" s="57"/>
      <c r="D25" s="57"/>
      <c r="E25" s="58" t="s">
        <v>80</v>
      </c>
      <c r="F25" s="58" t="s">
        <v>80</v>
      </c>
      <c r="G25" s="58" t="s">
        <v>80</v>
      </c>
      <c r="H25" s="58" t="s">
        <v>80</v>
      </c>
      <c r="I25" s="57"/>
      <c r="J25" s="57">
        <f t="shared" si="16"/>
        <v>0</v>
      </c>
      <c r="K25" s="57">
        <f t="shared" si="19"/>
        <v>0</v>
      </c>
      <c r="L25" s="58" t="s">
        <v>80</v>
      </c>
      <c r="M25" s="59" t="str">
        <f t="shared" si="20"/>
        <v/>
      </c>
    </row>
    <row r="26" spans="1:15" ht="16.8" x14ac:dyDescent="0.3">
      <c r="A26" s="131"/>
      <c r="B26" s="57"/>
      <c r="C26" s="57"/>
      <c r="D26" s="57"/>
      <c r="E26" s="58" t="s">
        <v>80</v>
      </c>
      <c r="F26" s="58" t="s">
        <v>80</v>
      </c>
      <c r="G26" s="58" t="s">
        <v>80</v>
      </c>
      <c r="H26" s="58" t="s">
        <v>80</v>
      </c>
      <c r="I26" s="57"/>
      <c r="J26" s="57">
        <f t="shared" si="16"/>
        <v>0</v>
      </c>
      <c r="K26" s="57">
        <f t="shared" si="19"/>
        <v>0</v>
      </c>
      <c r="L26" s="58" t="s">
        <v>80</v>
      </c>
      <c r="M26" s="59" t="str">
        <f t="shared" si="20"/>
        <v/>
      </c>
    </row>
    <row r="27" spans="1:15" ht="16.8" x14ac:dyDescent="0.3">
      <c r="A27" s="61"/>
      <c r="B27" s="57"/>
      <c r="C27" s="57"/>
      <c r="D27" s="57"/>
      <c r="E27" s="58" t="s">
        <v>80</v>
      </c>
      <c r="F27" s="58" t="s">
        <v>80</v>
      </c>
      <c r="G27" s="58" t="s">
        <v>80</v>
      </c>
      <c r="H27" s="58" t="s">
        <v>80</v>
      </c>
      <c r="I27" s="57"/>
      <c r="J27" s="57">
        <f t="shared" si="16"/>
        <v>0</v>
      </c>
      <c r="K27" s="57">
        <f t="shared" si="17"/>
        <v>0</v>
      </c>
      <c r="L27" s="58" t="s">
        <v>80</v>
      </c>
      <c r="M27" s="59" t="str">
        <f t="shared" si="18"/>
        <v/>
      </c>
    </row>
    <row r="28" spans="1:15" ht="16.8" x14ac:dyDescent="0.3">
      <c r="A28" s="61"/>
      <c r="B28" s="57"/>
      <c r="C28" s="57"/>
      <c r="D28" s="57"/>
      <c r="E28" s="58" t="s">
        <v>80</v>
      </c>
      <c r="F28" s="58" t="s">
        <v>80</v>
      </c>
      <c r="G28" s="58" t="s">
        <v>80</v>
      </c>
      <c r="H28" s="58" t="s">
        <v>80</v>
      </c>
      <c r="I28" s="57"/>
      <c r="J28" s="57">
        <f t="shared" si="16"/>
        <v>0</v>
      </c>
      <c r="K28" s="57">
        <f t="shared" si="17"/>
        <v>0</v>
      </c>
      <c r="L28" s="58" t="s">
        <v>80</v>
      </c>
      <c r="M28" s="59" t="str">
        <f t="shared" si="18"/>
        <v/>
      </c>
    </row>
    <row r="29" spans="1:15" ht="16.8" x14ac:dyDescent="0.3">
      <c r="A29" s="61"/>
      <c r="B29" s="57"/>
      <c r="C29" s="57"/>
      <c r="D29" s="57"/>
      <c r="E29" s="58" t="s">
        <v>80</v>
      </c>
      <c r="F29" s="58" t="s">
        <v>80</v>
      </c>
      <c r="G29" s="58" t="s">
        <v>80</v>
      </c>
      <c r="H29" s="58" t="s">
        <v>80</v>
      </c>
      <c r="I29" s="57"/>
      <c r="J29" s="57">
        <f t="shared" si="16"/>
        <v>0</v>
      </c>
      <c r="K29" s="57">
        <f t="shared" si="17"/>
        <v>0</v>
      </c>
      <c r="L29" s="58" t="s">
        <v>80</v>
      </c>
      <c r="M29" s="59" t="str">
        <f t="shared" si="18"/>
        <v/>
      </c>
    </row>
  </sheetData>
  <sortState xmlns:xlrd2="http://schemas.microsoft.com/office/spreadsheetml/2017/richdata2" ref="A2:M17">
    <sortCondition ref="A2:A17"/>
    <sortCondition ref="C2:C17"/>
  </sortState>
  <conditionalFormatting sqref="E27:F28">
    <cfRule type="cellIs" dxfId="21" priority="652" stopIfTrue="1" operator="equal">
      <formula>"þ"</formula>
    </cfRule>
  </conditionalFormatting>
  <conditionalFormatting sqref="E12:G20">
    <cfRule type="cellIs" dxfId="20" priority="2" stopIfTrue="1" operator="equal">
      <formula>"þ"</formula>
    </cfRule>
  </conditionalFormatting>
  <conditionalFormatting sqref="E2:H15">
    <cfRule type="cellIs" dxfId="19" priority="172" stopIfTrue="1" operator="equal">
      <formula>"þ"</formula>
    </cfRule>
  </conditionalFormatting>
  <conditionalFormatting sqref="F3">
    <cfRule type="cellIs" dxfId="18" priority="1" stopIfTrue="1" operator="equal">
      <formula>"þ"</formula>
    </cfRule>
  </conditionalFormatting>
  <conditionalFormatting sqref="F26:F27">
    <cfRule type="cellIs" dxfId="17" priority="632" stopIfTrue="1" operator="equal">
      <formula>"þ"</formula>
    </cfRule>
  </conditionalFormatting>
  <conditionalFormatting sqref="F10:H16">
    <cfRule type="cellIs" dxfId="16" priority="531" stopIfTrue="1" operator="equal">
      <formula>"þ"</formula>
    </cfRule>
  </conditionalFormatting>
  <conditionalFormatting sqref="G26:G29">
    <cfRule type="cellIs" dxfId="15" priority="634" stopIfTrue="1" operator="equal">
      <formula>"þ"</formula>
    </cfRule>
  </conditionalFormatting>
  <conditionalFormatting sqref="G12:H15">
    <cfRule type="cellIs" dxfId="14" priority="285" stopIfTrue="1" operator="equal">
      <formula>"þ"</formula>
    </cfRule>
  </conditionalFormatting>
  <conditionalFormatting sqref="H13:H20">
    <cfRule type="cellIs" dxfId="13" priority="1080" stopIfTrue="1" operator="equal">
      <formula>"þ"</formula>
    </cfRule>
  </conditionalFormatting>
  <conditionalFormatting sqref="H27:H28">
    <cfRule type="cellIs" dxfId="12" priority="677" stopIfTrue="1" operator="equal">
      <formula>"þ"</formula>
    </cfRule>
  </conditionalFormatting>
  <conditionalFormatting sqref="K2:K20">
    <cfRule type="cellIs" dxfId="11" priority="1082" operator="lessThan">
      <formula>$P$1</formula>
    </cfRule>
  </conditionalFormatting>
  <conditionalFormatting sqref="K22:K29">
    <cfRule type="cellIs" dxfId="10" priority="636" operator="lessThan">
      <formula>$P$1</formula>
    </cfRule>
  </conditionalFormatting>
  <conditionalFormatting sqref="E22:H29 L2:M29">
    <cfRule type="cellIs" dxfId="9" priority="227" stopIfTrue="1" operator="equal">
      <formula>"þ"</formula>
    </cfRule>
  </conditionalFormatting>
  <conditionalFormatting sqref="P1">
    <cfRule type="cellIs" dxfId="8" priority="3843" operator="equal">
      <formula>0</formula>
    </cfRule>
  </conditionalFormatting>
  <conditionalFormatting sqref="R1">
    <cfRule type="cellIs" dxfId="7" priority="3441" operator="equal">
      <formula>0</formula>
    </cfRule>
  </conditionalFormatting>
  <conditionalFormatting sqref="T1">
    <cfRule type="cellIs" dxfId="6" priority="3439" operator="equal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5" style="48" bestFit="1" customWidth="1"/>
    <col min="2" max="2" width="18" style="48" bestFit="1" customWidth="1"/>
    <col min="3" max="3" width="8.09765625" style="48" bestFit="1" customWidth="1"/>
    <col min="4" max="4" width="9.59765625" style="48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0.59765625" style="43" bestFit="1" customWidth="1"/>
    <col min="16" max="16384" width="8.796875" style="43"/>
  </cols>
  <sheetData>
    <row r="1" spans="1:15" ht="31.8" thickBot="1" x14ac:dyDescent="0.35">
      <c r="A1" s="154" t="s">
        <v>0</v>
      </c>
      <c r="B1" s="155" t="s">
        <v>34</v>
      </c>
      <c r="C1" s="155" t="s">
        <v>35</v>
      </c>
      <c r="D1" s="116" t="s">
        <v>231</v>
      </c>
      <c r="E1" s="118" t="s">
        <v>36</v>
      </c>
      <c r="F1" s="117" t="s">
        <v>88</v>
      </c>
      <c r="G1" s="116" t="s">
        <v>87</v>
      </c>
      <c r="H1" s="115" t="s">
        <v>37</v>
      </c>
      <c r="I1" s="115" t="s">
        <v>38</v>
      </c>
      <c r="J1" s="115" t="s">
        <v>86</v>
      </c>
      <c r="K1" s="114" t="s">
        <v>3</v>
      </c>
      <c r="L1" s="115" t="s">
        <v>25</v>
      </c>
      <c r="M1" s="113" t="s">
        <v>84</v>
      </c>
      <c r="N1" s="115" t="s">
        <v>83</v>
      </c>
      <c r="O1" s="291" t="s">
        <v>85</v>
      </c>
    </row>
    <row r="2" spans="1:15" x14ac:dyDescent="0.3">
      <c r="A2" s="150" t="s">
        <v>235</v>
      </c>
      <c r="B2" s="44" t="s">
        <v>217</v>
      </c>
      <c r="C2" s="44" t="s">
        <v>219</v>
      </c>
      <c r="D2" s="112" t="s">
        <v>80</v>
      </c>
      <c r="E2" s="111">
        <v>3</v>
      </c>
      <c r="F2" s="149">
        <v>-1</v>
      </c>
      <c r="G2" s="284">
        <v>0</v>
      </c>
      <c r="H2" s="44">
        <v>0</v>
      </c>
      <c r="I2" s="44">
        <v>0</v>
      </c>
      <c r="J2" s="44">
        <f t="shared" ref="J2:J3" si="0">IF(D2="þ",SUM(E2,G2:I2),SUM(E2,F2,H2,I2))</f>
        <v>2</v>
      </c>
      <c r="K2" s="45">
        <f t="shared" ref="K2:K7" ca="1" si="1">RANDBETWEEN(1,20)</f>
        <v>11</v>
      </c>
      <c r="L2" s="44">
        <f t="shared" ref="L2" ca="1" si="2">SUM(J2:K2)</f>
        <v>13</v>
      </c>
      <c r="M2" s="64">
        <v>20</v>
      </c>
      <c r="N2" s="67" t="str">
        <f t="shared" ref="N2:N3" ca="1" si="3">IF(K2&gt;(M2-1),"þ","ý")</f>
        <v>ý</v>
      </c>
      <c r="O2" s="292"/>
    </row>
    <row r="3" spans="1:15" x14ac:dyDescent="0.3">
      <c r="A3" s="150" t="s">
        <v>235</v>
      </c>
      <c r="B3" s="44" t="s">
        <v>218</v>
      </c>
      <c r="C3" s="44" t="s">
        <v>219</v>
      </c>
      <c r="D3" s="112" t="s">
        <v>80</v>
      </c>
      <c r="E3" s="111">
        <v>3</v>
      </c>
      <c r="F3" s="149">
        <v>-1</v>
      </c>
      <c r="G3" s="110">
        <v>0</v>
      </c>
      <c r="H3" s="44">
        <v>0</v>
      </c>
      <c r="I3" s="44">
        <v>0</v>
      </c>
      <c r="J3" s="44">
        <f t="shared" si="0"/>
        <v>2</v>
      </c>
      <c r="K3" s="45">
        <f t="shared" ref="K3:K17" ca="1" si="4">RANDBETWEEN(1,20)</f>
        <v>1</v>
      </c>
      <c r="L3" s="44">
        <f t="shared" ref="L3" ca="1" si="5">SUM(J3:K3)</f>
        <v>3</v>
      </c>
      <c r="M3" s="64">
        <v>20</v>
      </c>
      <c r="N3" s="67" t="str">
        <f t="shared" ca="1" si="3"/>
        <v>ý</v>
      </c>
      <c r="O3" s="293"/>
    </row>
    <row r="4" spans="1:15" x14ac:dyDescent="0.3">
      <c r="A4" s="150" t="s">
        <v>235</v>
      </c>
      <c r="B4" s="44" t="s">
        <v>206</v>
      </c>
      <c r="C4" s="44" t="s">
        <v>220</v>
      </c>
      <c r="D4" s="112" t="s">
        <v>80</v>
      </c>
      <c r="E4" s="111">
        <v>3</v>
      </c>
      <c r="F4" s="149">
        <v>-1</v>
      </c>
      <c r="G4" s="110">
        <v>0</v>
      </c>
      <c r="H4" s="44">
        <v>0</v>
      </c>
      <c r="I4" s="44">
        <v>0</v>
      </c>
      <c r="J4" s="44">
        <f t="shared" ref="J4:J7" si="6">IF(D4="þ",SUM(E4,G4:I4),SUM(E4,F4,H4,I4))</f>
        <v>2</v>
      </c>
      <c r="K4" s="45">
        <f t="shared" ca="1" si="4"/>
        <v>1</v>
      </c>
      <c r="L4" s="44">
        <f t="shared" ref="L4" ca="1" si="7">SUM(J4:K4)</f>
        <v>3</v>
      </c>
      <c r="M4" s="64">
        <v>20</v>
      </c>
      <c r="N4" s="67" t="str">
        <f t="shared" ref="N4:N7" ca="1" si="8">IF(K4&gt;(M4-1),"þ","ý")</f>
        <v>ý</v>
      </c>
      <c r="O4" s="293"/>
    </row>
    <row r="5" spans="1:15" x14ac:dyDescent="0.3">
      <c r="A5" s="150" t="s">
        <v>235</v>
      </c>
      <c r="B5" s="44"/>
      <c r="C5" s="44"/>
      <c r="D5" s="112" t="s">
        <v>80</v>
      </c>
      <c r="E5" s="111">
        <v>3</v>
      </c>
      <c r="F5" s="149">
        <v>-1</v>
      </c>
      <c r="G5" s="110">
        <v>0</v>
      </c>
      <c r="H5" s="44">
        <v>0</v>
      </c>
      <c r="I5" s="44">
        <v>0</v>
      </c>
      <c r="J5" s="44">
        <f t="shared" ref="J5" si="9">IF(D5="þ",SUM(E5,G5:I5),SUM(E5,F5,H5,I5))</f>
        <v>2</v>
      </c>
      <c r="K5" s="45">
        <f t="shared" ca="1" si="4"/>
        <v>2</v>
      </c>
      <c r="L5" s="44">
        <f t="shared" ref="L5" ca="1" si="10">SUM(J5:K5)</f>
        <v>4</v>
      </c>
      <c r="M5" s="64">
        <v>20</v>
      </c>
      <c r="N5" s="67" t="str">
        <f t="shared" ref="N5" ca="1" si="11">IF(K5&gt;(M5-1),"þ","ý")</f>
        <v>ý</v>
      </c>
      <c r="O5" s="293"/>
    </row>
    <row r="6" spans="1:15" x14ac:dyDescent="0.3">
      <c r="A6" s="150" t="s">
        <v>235</v>
      </c>
      <c r="B6" s="44" t="s">
        <v>222</v>
      </c>
      <c r="C6" s="44" t="s">
        <v>221</v>
      </c>
      <c r="D6" s="112" t="s">
        <v>110</v>
      </c>
      <c r="E6" s="111">
        <v>3</v>
      </c>
      <c r="F6" s="149">
        <v>-1</v>
      </c>
      <c r="G6" s="110">
        <v>0</v>
      </c>
      <c r="H6" s="44">
        <v>0</v>
      </c>
      <c r="I6" s="44">
        <v>0</v>
      </c>
      <c r="J6" s="44">
        <f t="shared" ref="J6" si="12">IF(D6="þ",SUM(E6,G6:I6),SUM(E6,F6,H6,I6))</f>
        <v>3</v>
      </c>
      <c r="K6" s="45">
        <f t="shared" ca="1" si="4"/>
        <v>4</v>
      </c>
      <c r="L6" s="44">
        <f t="shared" ref="L6" ca="1" si="13">SUM(J6:K6)</f>
        <v>7</v>
      </c>
      <c r="M6" s="64">
        <v>20</v>
      </c>
      <c r="N6" s="67" t="str">
        <f t="shared" ref="N6" ca="1" si="14">IF(K6&gt;(M6-1),"þ","ý")</f>
        <v>ý</v>
      </c>
      <c r="O6" s="293"/>
    </row>
    <row r="7" spans="1:15" x14ac:dyDescent="0.3">
      <c r="A7" s="151" t="s">
        <v>235</v>
      </c>
      <c r="B7" s="46" t="s">
        <v>203</v>
      </c>
      <c r="C7" s="46" t="s">
        <v>203</v>
      </c>
      <c r="D7" s="109" t="s">
        <v>80</v>
      </c>
      <c r="E7" s="108">
        <v>3</v>
      </c>
      <c r="F7" s="148">
        <v>-1</v>
      </c>
      <c r="G7" s="285">
        <v>0</v>
      </c>
      <c r="H7" s="46">
        <v>0</v>
      </c>
      <c r="I7" s="46">
        <v>0</v>
      </c>
      <c r="J7" s="46">
        <f t="shared" si="6"/>
        <v>2</v>
      </c>
      <c r="K7" s="47">
        <f t="shared" ca="1" si="1"/>
        <v>2</v>
      </c>
      <c r="L7" s="46">
        <f t="shared" ref="L7" ca="1" si="15">SUM(J7:K7)</f>
        <v>4</v>
      </c>
      <c r="M7" s="65">
        <v>20</v>
      </c>
      <c r="N7" s="66" t="str">
        <f t="shared" ca="1" si="8"/>
        <v>ý</v>
      </c>
      <c r="O7" s="293"/>
    </row>
    <row r="8" spans="1:15" x14ac:dyDescent="0.3">
      <c r="A8" s="150" t="s">
        <v>234</v>
      </c>
      <c r="B8" s="44" t="s">
        <v>223</v>
      </c>
      <c r="C8" s="44" t="s">
        <v>224</v>
      </c>
      <c r="D8" s="112" t="s">
        <v>80</v>
      </c>
      <c r="E8" s="111"/>
      <c r="F8" s="149"/>
      <c r="G8" s="110"/>
      <c r="H8" s="44">
        <v>2</v>
      </c>
      <c r="I8" s="44">
        <v>0</v>
      </c>
      <c r="J8" s="44">
        <f t="shared" ref="J8" si="16">IF(D8="þ",SUM(E8,G8:I8),SUM(E8,F8,H8,I8))</f>
        <v>2</v>
      </c>
      <c r="K8" s="45">
        <f t="shared" ca="1" si="4"/>
        <v>12</v>
      </c>
      <c r="L8" s="44">
        <f t="shared" ref="L8" ca="1" si="17">SUM(J8:K8)</f>
        <v>14</v>
      </c>
      <c r="M8" s="64">
        <v>20</v>
      </c>
      <c r="N8" s="67" t="str">
        <f t="shared" ref="N8" ca="1" si="18">IF(K8&gt;(M8-1),"þ","ý")</f>
        <v>ý</v>
      </c>
      <c r="O8" s="292"/>
    </row>
    <row r="9" spans="1:15" x14ac:dyDescent="0.3">
      <c r="A9" s="150" t="s">
        <v>234</v>
      </c>
      <c r="B9" s="44" t="s">
        <v>225</v>
      </c>
      <c r="C9" s="44" t="s">
        <v>226</v>
      </c>
      <c r="D9" s="112" t="s">
        <v>80</v>
      </c>
      <c r="E9" s="111"/>
      <c r="F9" s="149"/>
      <c r="G9" s="110"/>
      <c r="H9" s="44">
        <v>0</v>
      </c>
      <c r="I9" s="44">
        <v>0</v>
      </c>
      <c r="J9" s="44">
        <f t="shared" ref="J9:J12" si="19">IF(D9="þ",SUM(E9,G9:I9),SUM(E9,F9,H9,I9))</f>
        <v>0</v>
      </c>
      <c r="K9" s="45">
        <f t="shared" ca="1" si="4"/>
        <v>13</v>
      </c>
      <c r="L9" s="44">
        <f t="shared" ref="L9:L12" ca="1" si="20">SUM(J9:K9)</f>
        <v>13</v>
      </c>
      <c r="M9" s="64">
        <v>20</v>
      </c>
      <c r="N9" s="67" t="str">
        <f t="shared" ref="N9:N15" ca="1" si="21">IF(K9&gt;(M9-1),"þ","ý")</f>
        <v>ý</v>
      </c>
      <c r="O9" s="293"/>
    </row>
    <row r="10" spans="1:15" x14ac:dyDescent="0.3">
      <c r="A10" s="150" t="s">
        <v>234</v>
      </c>
      <c r="B10" s="44" t="s">
        <v>227</v>
      </c>
      <c r="C10" s="44" t="s">
        <v>228</v>
      </c>
      <c r="D10" s="112" t="s">
        <v>80</v>
      </c>
      <c r="E10" s="111"/>
      <c r="F10" s="149"/>
      <c r="G10" s="110"/>
      <c r="H10" s="44">
        <v>0</v>
      </c>
      <c r="I10" s="44">
        <v>0</v>
      </c>
      <c r="J10" s="44">
        <f t="shared" ref="J10" si="22">IF(D10="þ",SUM(E10,G10:I10),SUM(E10,F10,H10,I10))</f>
        <v>0</v>
      </c>
      <c r="K10" s="45">
        <f t="shared" ca="1" si="4"/>
        <v>18</v>
      </c>
      <c r="L10" s="44">
        <f t="shared" ref="L10" ca="1" si="23">SUM(J10:K10)</f>
        <v>18</v>
      </c>
      <c r="M10" s="64">
        <v>20</v>
      </c>
      <c r="N10" s="67" t="str">
        <f t="shared" ref="N10" ca="1" si="24">IF(K10&gt;(M10-1),"þ","ý")</f>
        <v>ý</v>
      </c>
      <c r="O10" s="293"/>
    </row>
    <row r="11" spans="1:15" x14ac:dyDescent="0.3">
      <c r="A11" s="150" t="s">
        <v>234</v>
      </c>
      <c r="B11" s="44" t="s">
        <v>229</v>
      </c>
      <c r="C11" s="44" t="s">
        <v>228</v>
      </c>
      <c r="D11" s="112" t="s">
        <v>110</v>
      </c>
      <c r="E11" s="111"/>
      <c r="F11" s="149"/>
      <c r="G11" s="110"/>
      <c r="H11" s="44">
        <v>0</v>
      </c>
      <c r="I11" s="44">
        <v>0</v>
      </c>
      <c r="J11" s="44">
        <f t="shared" ref="J11" si="25">IF(D11="þ",SUM(E11,G11:I11),SUM(E11,F11,H11,I11))</f>
        <v>0</v>
      </c>
      <c r="K11" s="45">
        <f t="shared" ca="1" si="4"/>
        <v>20</v>
      </c>
      <c r="L11" s="44">
        <f t="shared" ref="L11" ca="1" si="26">SUM(J11:K11)</f>
        <v>20</v>
      </c>
      <c r="M11" s="64">
        <v>20</v>
      </c>
      <c r="N11" s="67" t="str">
        <f t="shared" ref="N11" ca="1" si="27">IF(K11&gt;(M11-1),"þ","ý")</f>
        <v>þ</v>
      </c>
      <c r="O11" s="293"/>
    </row>
    <row r="12" spans="1:15" x14ac:dyDescent="0.3">
      <c r="A12" s="151" t="s">
        <v>234</v>
      </c>
      <c r="B12" s="46" t="s">
        <v>203</v>
      </c>
      <c r="C12" s="46" t="s">
        <v>203</v>
      </c>
      <c r="D12" s="109" t="s">
        <v>80</v>
      </c>
      <c r="E12" s="108"/>
      <c r="F12" s="148"/>
      <c r="G12" s="285"/>
      <c r="H12" s="46">
        <v>0</v>
      </c>
      <c r="I12" s="46">
        <v>0</v>
      </c>
      <c r="J12" s="46">
        <f t="shared" si="19"/>
        <v>0</v>
      </c>
      <c r="K12" s="47">
        <f t="shared" ca="1" si="4"/>
        <v>20</v>
      </c>
      <c r="L12" s="46">
        <f t="shared" ca="1" si="20"/>
        <v>20</v>
      </c>
      <c r="M12" s="65">
        <v>20</v>
      </c>
      <c r="N12" s="66" t="str">
        <f t="shared" ca="1" si="21"/>
        <v>þ</v>
      </c>
      <c r="O12" s="293"/>
    </row>
    <row r="13" spans="1:15" x14ac:dyDescent="0.3">
      <c r="A13" s="294" t="s">
        <v>208</v>
      </c>
      <c r="B13" s="295" t="s">
        <v>206</v>
      </c>
      <c r="C13" s="44" t="s">
        <v>207</v>
      </c>
      <c r="D13" s="112" t="s">
        <v>80</v>
      </c>
      <c r="E13" s="111">
        <v>2</v>
      </c>
      <c r="F13" s="149">
        <v>1</v>
      </c>
      <c r="G13" s="110">
        <v>2</v>
      </c>
      <c r="H13" s="44">
        <v>0</v>
      </c>
      <c r="I13" s="44">
        <v>0</v>
      </c>
      <c r="J13" s="44">
        <f t="shared" ref="J13" si="28">IF(D13="þ",SUM(E13,G13:I13),SUM(E13,F13,H13,I13))</f>
        <v>3</v>
      </c>
      <c r="K13" s="45">
        <f t="shared" ca="1" si="4"/>
        <v>11</v>
      </c>
      <c r="L13" s="44">
        <f t="shared" ref="L13:L15" ca="1" si="29">SUM(J13:K13)</f>
        <v>14</v>
      </c>
      <c r="M13" s="64">
        <v>20</v>
      </c>
      <c r="N13" s="67" t="str">
        <f t="shared" ca="1" si="21"/>
        <v>ý</v>
      </c>
      <c r="O13" s="292"/>
    </row>
    <row r="14" spans="1:15" x14ac:dyDescent="0.3">
      <c r="A14" s="294" t="s">
        <v>208</v>
      </c>
      <c r="B14" s="295" t="s">
        <v>216</v>
      </c>
      <c r="C14" s="44" t="s">
        <v>216</v>
      </c>
      <c r="D14" s="112" t="s">
        <v>80</v>
      </c>
      <c r="E14" s="111">
        <v>0</v>
      </c>
      <c r="F14" s="149">
        <v>1</v>
      </c>
      <c r="G14" s="110">
        <v>2</v>
      </c>
      <c r="H14" s="44">
        <v>0</v>
      </c>
      <c r="I14" s="44">
        <v>0</v>
      </c>
      <c r="J14" s="44">
        <f t="shared" ref="J14" si="30">IF(D14="þ",SUM(E14,G14:I14),SUM(E14,F14,H14,I14))</f>
        <v>1</v>
      </c>
      <c r="K14" s="45">
        <f t="shared" ca="1" si="4"/>
        <v>9</v>
      </c>
      <c r="L14" s="44">
        <f t="shared" ref="L14" ca="1" si="31">SUM(J14:K14)</f>
        <v>10</v>
      </c>
      <c r="M14" s="64">
        <v>20</v>
      </c>
      <c r="N14" s="67" t="str">
        <f t="shared" ref="N14" ca="1" si="32">IF(K14&gt;(M14-1),"þ","ý")</f>
        <v>ý</v>
      </c>
      <c r="O14" s="293"/>
    </row>
    <row r="15" spans="1:15" x14ac:dyDescent="0.3">
      <c r="A15" s="297" t="s">
        <v>208</v>
      </c>
      <c r="B15" s="46" t="s">
        <v>203</v>
      </c>
      <c r="C15" s="46" t="s">
        <v>203</v>
      </c>
      <c r="D15" s="109" t="s">
        <v>80</v>
      </c>
      <c r="E15" s="108">
        <v>1</v>
      </c>
      <c r="F15" s="148">
        <v>1</v>
      </c>
      <c r="G15" s="107">
        <v>2</v>
      </c>
      <c r="H15" s="46">
        <v>0</v>
      </c>
      <c r="I15" s="46">
        <v>0</v>
      </c>
      <c r="J15" s="46">
        <f t="shared" ref="J15:J17" si="33">IF(D15="þ",SUM(E15,G15:I15),SUM(E15,F15,H15,I15))</f>
        <v>2</v>
      </c>
      <c r="K15" s="47">
        <f t="shared" ca="1" si="4"/>
        <v>16</v>
      </c>
      <c r="L15" s="46">
        <f t="shared" ca="1" si="29"/>
        <v>18</v>
      </c>
      <c r="M15" s="65">
        <v>20</v>
      </c>
      <c r="N15" s="66" t="str">
        <f t="shared" ca="1" si="21"/>
        <v>ý</v>
      </c>
      <c r="O15" s="298"/>
    </row>
    <row r="16" spans="1:15" x14ac:dyDescent="0.3">
      <c r="A16" s="294" t="s">
        <v>342</v>
      </c>
      <c r="B16" s="295" t="s">
        <v>344</v>
      </c>
      <c r="C16" s="44"/>
      <c r="D16" s="112" t="s">
        <v>80</v>
      </c>
      <c r="E16" s="111">
        <v>3</v>
      </c>
      <c r="F16" s="149">
        <v>1</v>
      </c>
      <c r="G16" s="110">
        <v>0</v>
      </c>
      <c r="H16" s="44">
        <v>1</v>
      </c>
      <c r="I16" s="44">
        <v>0</v>
      </c>
      <c r="J16" s="44">
        <f t="shared" si="33"/>
        <v>5</v>
      </c>
      <c r="K16" s="45">
        <f t="shared" ca="1" si="4"/>
        <v>17</v>
      </c>
      <c r="L16" s="44">
        <f t="shared" ref="L16" ca="1" si="34">SUM(J16:K16)</f>
        <v>22</v>
      </c>
      <c r="M16" s="64">
        <v>20</v>
      </c>
      <c r="N16" s="67" t="str">
        <f t="shared" ref="N16" ca="1" si="35">IF(K16&gt;(M16-1),"þ","ý")</f>
        <v>ý</v>
      </c>
      <c r="O16" s="296"/>
    </row>
    <row r="17" spans="1:15" x14ac:dyDescent="0.3">
      <c r="A17" s="297" t="s">
        <v>343</v>
      </c>
      <c r="B17" s="46" t="s">
        <v>47</v>
      </c>
      <c r="C17" s="46"/>
      <c r="D17" s="109" t="s">
        <v>110</v>
      </c>
      <c r="E17" s="108">
        <v>3</v>
      </c>
      <c r="F17" s="148">
        <v>1</v>
      </c>
      <c r="G17" s="107">
        <v>0</v>
      </c>
      <c r="H17" s="46">
        <v>0</v>
      </c>
      <c r="I17" s="46">
        <v>0</v>
      </c>
      <c r="J17" s="46">
        <f t="shared" si="33"/>
        <v>3</v>
      </c>
      <c r="K17" s="47">
        <f t="shared" ca="1" si="4"/>
        <v>1</v>
      </c>
      <c r="L17" s="46">
        <f t="shared" ref="L17" ca="1" si="36">SUM(J17:K17)</f>
        <v>4</v>
      </c>
      <c r="M17" s="65">
        <v>20</v>
      </c>
      <c r="N17" s="66" t="str">
        <f t="shared" ref="N17" ca="1" si="37">IF(K17&gt;(M17-1),"þ","ý")</f>
        <v>ý</v>
      </c>
      <c r="O17" s="298"/>
    </row>
  </sheetData>
  <conditionalFormatting sqref="D2:D17">
    <cfRule type="cellIs" dxfId="5" priority="5" operator="equal">
      <formula>"þ"</formula>
    </cfRule>
  </conditionalFormatting>
  <conditionalFormatting sqref="K2:K12">
    <cfRule type="cellIs" dxfId="4" priority="26" operator="greaterThanOrEqual">
      <formula>M2</formula>
    </cfRule>
  </conditionalFormatting>
  <conditionalFormatting sqref="K13:K17">
    <cfRule type="cellIs" dxfId="3" priority="2" operator="greaterThanOrEqual">
      <formula>$M13</formula>
    </cfRule>
  </conditionalFormatting>
  <conditionalFormatting sqref="N2:N17">
    <cfRule type="cellIs" dxfId="2" priority="6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showGridLines="0" zoomScaleNormal="100" workbookViewId="0"/>
  </sheetViews>
  <sheetFormatPr defaultColWidth="4" defaultRowHeight="15.6" x14ac:dyDescent="0.3"/>
  <cols>
    <col min="1" max="1" width="1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9.5" style="18" bestFit="1" customWidth="1"/>
    <col min="8" max="8" width="12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98</v>
      </c>
      <c r="G1" s="86" t="s">
        <v>0</v>
      </c>
      <c r="H1" s="86" t="s">
        <v>63</v>
      </c>
      <c r="I1" s="86" t="s">
        <v>39</v>
      </c>
      <c r="J1" s="87" t="s">
        <v>3</v>
      </c>
      <c r="K1" s="86" t="s">
        <v>98</v>
      </c>
    </row>
    <row r="2" spans="1:11" x14ac:dyDescent="0.3">
      <c r="A2" s="289" t="s">
        <v>235</v>
      </c>
      <c r="B2" s="5" t="s">
        <v>40</v>
      </c>
      <c r="C2" s="88">
        <v>4</v>
      </c>
      <c r="D2" s="89">
        <f t="shared" ref="D2:J10" ca="1" si="0">RANDBETWEEN(1,20)</f>
        <v>14</v>
      </c>
      <c r="E2" s="88">
        <f t="shared" ref="E2:E4" ca="1" si="1">D2+C2</f>
        <v>18</v>
      </c>
      <c r="G2" s="294" t="s">
        <v>208</v>
      </c>
      <c r="H2" s="5" t="s">
        <v>40</v>
      </c>
      <c r="I2" s="88">
        <v>5</v>
      </c>
      <c r="J2" s="89">
        <f t="shared" ca="1" si="0"/>
        <v>9</v>
      </c>
      <c r="K2" s="88">
        <f t="shared" ref="K2:K4" ca="1" si="2">J2+I2</f>
        <v>14</v>
      </c>
    </row>
    <row r="3" spans="1:11" x14ac:dyDescent="0.3">
      <c r="A3" s="150" t="s">
        <v>235</v>
      </c>
      <c r="B3" s="5" t="s">
        <v>41</v>
      </c>
      <c r="C3" s="44">
        <v>6</v>
      </c>
      <c r="D3" s="45">
        <f t="shared" ca="1" si="0"/>
        <v>12</v>
      </c>
      <c r="E3" s="44">
        <f t="shared" ca="1" si="1"/>
        <v>18</v>
      </c>
      <c r="G3" s="294" t="s">
        <v>208</v>
      </c>
      <c r="H3" s="5" t="s">
        <v>41</v>
      </c>
      <c r="I3" s="44">
        <v>5</v>
      </c>
      <c r="J3" s="45">
        <f t="shared" ca="1" si="0"/>
        <v>3</v>
      </c>
      <c r="K3" s="44">
        <f t="shared" ca="1" si="2"/>
        <v>8</v>
      </c>
    </row>
    <row r="4" spans="1:11" x14ac:dyDescent="0.3">
      <c r="A4" s="151" t="s">
        <v>235</v>
      </c>
      <c r="B4" s="90" t="s">
        <v>42</v>
      </c>
      <c r="C4" s="46">
        <v>1</v>
      </c>
      <c r="D4" s="47">
        <f t="shared" ca="1" si="0"/>
        <v>10</v>
      </c>
      <c r="E4" s="46">
        <f t="shared" ca="1" si="1"/>
        <v>11</v>
      </c>
      <c r="G4" s="297" t="s">
        <v>208</v>
      </c>
      <c r="H4" s="90" t="s">
        <v>42</v>
      </c>
      <c r="I4" s="46">
        <v>1</v>
      </c>
      <c r="J4" s="47">
        <f t="shared" ca="1" si="0"/>
        <v>8</v>
      </c>
      <c r="K4" s="46">
        <f t="shared" ca="1" si="2"/>
        <v>9</v>
      </c>
    </row>
    <row r="5" spans="1:11" x14ac:dyDescent="0.3">
      <c r="A5" s="289" t="s">
        <v>234</v>
      </c>
      <c r="B5" s="5" t="s">
        <v>40</v>
      </c>
      <c r="C5" s="88">
        <v>6</v>
      </c>
      <c r="D5" s="89">
        <f t="shared" ca="1" si="0"/>
        <v>1</v>
      </c>
      <c r="E5" s="88">
        <f t="shared" ref="E5:E10" ca="1" si="3">D5+C5</f>
        <v>7</v>
      </c>
      <c r="G5" s="294" t="s">
        <v>214</v>
      </c>
      <c r="H5" s="5" t="s">
        <v>40</v>
      </c>
      <c r="I5" s="88">
        <v>5</v>
      </c>
      <c r="J5" s="89">
        <f t="shared" ref="J5:J9" ca="1" si="4">RANDBETWEEN(1,20)</f>
        <v>12</v>
      </c>
      <c r="K5" s="88">
        <f t="shared" ref="K5:K10" ca="1" si="5">J5+I5</f>
        <v>17</v>
      </c>
    </row>
    <row r="6" spans="1:11" x14ac:dyDescent="0.3">
      <c r="A6" s="150" t="s">
        <v>234</v>
      </c>
      <c r="B6" s="5" t="s">
        <v>41</v>
      </c>
      <c r="C6" s="44">
        <v>6</v>
      </c>
      <c r="D6" s="45">
        <f t="shared" ca="1" si="0"/>
        <v>1</v>
      </c>
      <c r="E6" s="44">
        <f t="shared" ca="1" si="3"/>
        <v>7</v>
      </c>
      <c r="G6" s="294" t="s">
        <v>214</v>
      </c>
      <c r="H6" s="5" t="s">
        <v>41</v>
      </c>
      <c r="I6" s="44">
        <v>4</v>
      </c>
      <c r="J6" s="45">
        <f t="shared" ca="1" si="4"/>
        <v>20</v>
      </c>
      <c r="K6" s="44">
        <f t="shared" ca="1" si="5"/>
        <v>24</v>
      </c>
    </row>
    <row r="7" spans="1:11" x14ac:dyDescent="0.3">
      <c r="A7" s="151" t="s">
        <v>234</v>
      </c>
      <c r="B7" s="90" t="s">
        <v>42</v>
      </c>
      <c r="C7" s="46">
        <v>3</v>
      </c>
      <c r="D7" s="47">
        <f t="shared" ca="1" si="0"/>
        <v>9</v>
      </c>
      <c r="E7" s="46">
        <f t="shared" ca="1" si="3"/>
        <v>12</v>
      </c>
      <c r="G7" s="297" t="s">
        <v>214</v>
      </c>
      <c r="H7" s="90" t="s">
        <v>42</v>
      </c>
      <c r="I7" s="46">
        <v>2</v>
      </c>
      <c r="J7" s="47">
        <f t="shared" ca="1" si="4"/>
        <v>3</v>
      </c>
      <c r="K7" s="46">
        <f t="shared" ca="1" si="5"/>
        <v>5</v>
      </c>
    </row>
    <row r="8" spans="1:11" x14ac:dyDescent="0.3">
      <c r="A8" s="151" t="s">
        <v>235</v>
      </c>
      <c r="B8" s="90" t="s">
        <v>122</v>
      </c>
      <c r="C8" s="46">
        <v>-1</v>
      </c>
      <c r="D8" s="47">
        <f t="shared" ca="1" si="0"/>
        <v>18</v>
      </c>
      <c r="E8" s="46">
        <f t="shared" ref="E8" ca="1" si="6">D8+C8</f>
        <v>17</v>
      </c>
      <c r="G8" s="175" t="s">
        <v>335</v>
      </c>
      <c r="H8" s="90" t="s">
        <v>182</v>
      </c>
      <c r="I8" s="46">
        <v>8</v>
      </c>
      <c r="J8" s="47">
        <f t="shared" ca="1" si="4"/>
        <v>18</v>
      </c>
      <c r="K8" s="46">
        <f t="shared" ca="1" si="5"/>
        <v>26</v>
      </c>
    </row>
    <row r="9" spans="1:11" x14ac:dyDescent="0.3">
      <c r="A9" s="150"/>
      <c r="B9" s="5"/>
      <c r="C9" s="44"/>
      <c r="D9" s="45">
        <f t="shared" ca="1" si="0"/>
        <v>20</v>
      </c>
      <c r="E9" s="44">
        <f t="shared" ca="1" si="3"/>
        <v>20</v>
      </c>
      <c r="G9" s="175"/>
      <c r="H9" s="90" t="s">
        <v>182</v>
      </c>
      <c r="I9" s="46">
        <v>7</v>
      </c>
      <c r="J9" s="47">
        <f t="shared" ca="1" si="4"/>
        <v>1</v>
      </c>
      <c r="K9" s="46">
        <f t="shared" ca="1" si="5"/>
        <v>8</v>
      </c>
    </row>
    <row r="10" spans="1:11" x14ac:dyDescent="0.3">
      <c r="A10" s="151"/>
      <c r="B10" s="90"/>
      <c r="C10" s="46"/>
      <c r="D10" s="47">
        <f t="shared" ca="1" si="0"/>
        <v>4</v>
      </c>
      <c r="E10" s="46">
        <f t="shared" ca="1" si="3"/>
        <v>4</v>
      </c>
      <c r="G10" s="175"/>
      <c r="H10" s="90" t="s">
        <v>182</v>
      </c>
      <c r="I10" s="46">
        <v>6</v>
      </c>
      <c r="J10" s="47">
        <f t="shared" ref="J10" ca="1" si="7">RANDBETWEEN(1,20)</f>
        <v>7</v>
      </c>
      <c r="K10" s="46">
        <f t="shared" ca="1" si="5"/>
        <v>13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2"/>
  <sheetViews>
    <sheetView showGridLines="0" tabSelected="1" zoomScaleNormal="100" workbookViewId="0">
      <pane xSplit="1" ySplit="1" topLeftCell="B5" activePane="bottomRight" state="frozen"/>
      <selection pane="topRight"/>
      <selection pane="bottomLeft"/>
      <selection pane="bottomRight" activeCell="B7" sqref="B7"/>
    </sheetView>
  </sheetViews>
  <sheetFormatPr defaultColWidth="9.69921875" defaultRowHeight="20.399999999999999" x14ac:dyDescent="0.3"/>
  <cols>
    <col min="1" max="1" width="32.8984375" style="166" bestFit="1" customWidth="1"/>
    <col min="2" max="2" width="5.09765625" style="1" bestFit="1" customWidth="1"/>
    <col min="3" max="3" width="6.3984375" style="1" bestFit="1" customWidth="1"/>
    <col min="4" max="4" width="5.296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16384" width="9.69921875" style="48"/>
  </cols>
  <sheetData>
    <row r="1" spans="1:28" s="16" customFormat="1" ht="32.4" thickTop="1" thickBot="1" x14ac:dyDescent="0.35">
      <c r="A1" s="163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100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</row>
    <row r="2" spans="1:28" ht="21" thickTop="1" x14ac:dyDescent="0.3">
      <c r="A2" s="164" t="s">
        <v>212</v>
      </c>
      <c r="B2" s="307">
        <f>10+1</f>
        <v>11</v>
      </c>
      <c r="C2" s="307">
        <f>10+4</f>
        <v>14</v>
      </c>
      <c r="D2" s="306">
        <f>14+4+1</f>
        <v>19</v>
      </c>
      <c r="E2" s="96">
        <v>0</v>
      </c>
      <c r="F2" s="97" t="s">
        <v>62</v>
      </c>
      <c r="G2" s="98">
        <v>0</v>
      </c>
      <c r="H2" s="134"/>
      <c r="I2" s="100"/>
      <c r="J2" s="281"/>
      <c r="K2" s="172"/>
      <c r="L2" s="171"/>
      <c r="M2" s="136"/>
      <c r="N2" s="137"/>
      <c r="O2" s="162"/>
      <c r="P2" s="156" t="s">
        <v>95</v>
      </c>
      <c r="Q2" s="143" t="s">
        <v>95</v>
      </c>
      <c r="R2" s="138"/>
      <c r="S2" s="101"/>
      <c r="T2" s="102"/>
      <c r="U2" s="92"/>
      <c r="V2" s="93">
        <f t="shared" ref="V2" si="0">SUM(H2:T2)</f>
        <v>0</v>
      </c>
      <c r="W2" s="103"/>
      <c r="X2" s="104"/>
      <c r="Y2" s="142"/>
      <c r="Z2" s="94">
        <v>18</v>
      </c>
      <c r="AA2" s="57">
        <f>SUM(Y2:Z2)-(V2+W2)</f>
        <v>18</v>
      </c>
      <c r="AB2" s="130">
        <f>SMALL(Z2:AA2,1)+X2</f>
        <v>18</v>
      </c>
    </row>
    <row r="3" spans="1:28" x14ac:dyDescent="0.3">
      <c r="A3" s="328" t="s">
        <v>108</v>
      </c>
      <c r="B3" s="91">
        <v>11</v>
      </c>
      <c r="C3" s="106">
        <v>14</v>
      </c>
      <c r="D3" s="95">
        <v>15</v>
      </c>
      <c r="E3" s="96">
        <v>0</v>
      </c>
      <c r="F3" s="97" t="s">
        <v>62</v>
      </c>
      <c r="G3" s="98">
        <v>0</v>
      </c>
      <c r="H3" s="100"/>
      <c r="I3" s="100" t="s">
        <v>339</v>
      </c>
      <c r="J3" s="281"/>
      <c r="K3" s="172"/>
      <c r="L3" s="171"/>
      <c r="M3" s="136"/>
      <c r="N3" s="137"/>
      <c r="O3" s="162"/>
      <c r="P3" s="156" t="s">
        <v>95</v>
      </c>
      <c r="Q3" s="173"/>
      <c r="R3" s="174" t="s">
        <v>95</v>
      </c>
      <c r="S3" s="101"/>
      <c r="T3" s="102"/>
      <c r="U3" s="92"/>
      <c r="V3" s="93">
        <f t="shared" ref="V3" si="1">SUM(H3:T3)</f>
        <v>0</v>
      </c>
      <c r="W3" s="103"/>
      <c r="X3" s="104"/>
      <c r="Y3" s="142"/>
      <c r="Z3" s="94">
        <v>42</v>
      </c>
      <c r="AA3" s="57">
        <f>SUM(Y3:Z3)-(V3+W3)</f>
        <v>42</v>
      </c>
      <c r="AB3" s="130">
        <f>SMALL(Z3:AA3,1)+X3</f>
        <v>42</v>
      </c>
    </row>
    <row r="4" spans="1:28" x14ac:dyDescent="0.3">
      <c r="A4" s="164" t="s">
        <v>198</v>
      </c>
      <c r="B4" s="91">
        <v>9</v>
      </c>
      <c r="C4" s="106">
        <v>10</v>
      </c>
      <c r="D4" s="95">
        <v>10</v>
      </c>
      <c r="E4" s="96">
        <v>0</v>
      </c>
      <c r="F4" s="97" t="s">
        <v>62</v>
      </c>
      <c r="G4" s="98">
        <v>0</v>
      </c>
      <c r="H4" s="134"/>
      <c r="I4" s="135"/>
      <c r="J4" s="281"/>
      <c r="K4" s="172"/>
      <c r="L4" s="171"/>
      <c r="M4" s="136"/>
      <c r="N4" s="137"/>
      <c r="O4" s="162"/>
      <c r="P4" s="156" t="s">
        <v>95</v>
      </c>
      <c r="Q4" s="173"/>
      <c r="R4" s="138"/>
      <c r="S4" s="139"/>
      <c r="T4" s="140"/>
      <c r="U4" s="92"/>
      <c r="V4" s="93">
        <f t="shared" ref="V4:V32" si="2">SUM(H4:T4)</f>
        <v>0</v>
      </c>
      <c r="W4" s="141"/>
      <c r="X4" s="104"/>
      <c r="Y4" s="142"/>
      <c r="Z4" s="94">
        <v>39</v>
      </c>
      <c r="AA4" s="57">
        <f>SUM(Y4:Z4)-(V4+W4)</f>
        <v>39</v>
      </c>
      <c r="AB4" s="130">
        <f>SMALL(Z4:AA4,1)+X4</f>
        <v>39</v>
      </c>
    </row>
    <row r="5" spans="1:28" x14ac:dyDescent="0.3">
      <c r="A5" s="164" t="s">
        <v>106</v>
      </c>
      <c r="B5" s="91">
        <v>12</v>
      </c>
      <c r="C5" s="106">
        <v>16</v>
      </c>
      <c r="D5" s="95">
        <v>18</v>
      </c>
      <c r="E5" s="96">
        <v>0</v>
      </c>
      <c r="F5" s="97" t="s">
        <v>62</v>
      </c>
      <c r="G5" s="98">
        <v>0</v>
      </c>
      <c r="H5" s="134"/>
      <c r="I5" s="135"/>
      <c r="J5" s="281"/>
      <c r="K5" s="172"/>
      <c r="L5" s="171"/>
      <c r="M5" s="136"/>
      <c r="N5" s="137"/>
      <c r="O5" s="162"/>
      <c r="P5" s="156" t="s">
        <v>95</v>
      </c>
      <c r="Q5" s="143" t="s">
        <v>95</v>
      </c>
      <c r="R5" s="138"/>
      <c r="S5" s="139"/>
      <c r="T5" s="140"/>
      <c r="U5" s="92"/>
      <c r="V5" s="93">
        <f t="shared" si="2"/>
        <v>0</v>
      </c>
      <c r="W5" s="141"/>
      <c r="X5" s="104">
        <v>16</v>
      </c>
      <c r="Y5" s="142"/>
      <c r="Z5" s="94">
        <f>36</f>
        <v>36</v>
      </c>
      <c r="AA5" s="57">
        <f t="shared" ref="AA5" si="3">SUM(Y5:Z5)-(V5+W5)</f>
        <v>36</v>
      </c>
      <c r="AB5" s="130">
        <f t="shared" ref="AB5" si="4">SMALL(Z5:AA5,1)+X5</f>
        <v>52</v>
      </c>
    </row>
    <row r="6" spans="1:28" x14ac:dyDescent="0.3">
      <c r="A6" s="164" t="s">
        <v>105</v>
      </c>
      <c r="B6" s="91">
        <v>11</v>
      </c>
      <c r="C6" s="106">
        <v>13</v>
      </c>
      <c r="D6" s="95">
        <v>15</v>
      </c>
      <c r="E6" s="96">
        <v>0</v>
      </c>
      <c r="F6" s="132" t="s">
        <v>62</v>
      </c>
      <c r="G6" s="133">
        <v>0</v>
      </c>
      <c r="H6" s="134"/>
      <c r="I6" s="135"/>
      <c r="J6" s="281"/>
      <c r="K6" s="172"/>
      <c r="L6" s="171"/>
      <c r="M6" s="136"/>
      <c r="N6" s="137"/>
      <c r="O6" s="162"/>
      <c r="P6" s="156" t="s">
        <v>95</v>
      </c>
      <c r="Q6" s="143" t="s">
        <v>95</v>
      </c>
      <c r="R6" s="138"/>
      <c r="S6" s="139"/>
      <c r="T6" s="140"/>
      <c r="U6" s="92"/>
      <c r="V6" s="93">
        <f t="shared" si="2"/>
        <v>0</v>
      </c>
      <c r="W6" s="141"/>
      <c r="X6" s="104"/>
      <c r="Y6" s="142"/>
      <c r="Z6" s="94">
        <v>36</v>
      </c>
      <c r="AA6" s="57">
        <f t="shared" ref="AA6" si="5">SUM(Y6:Z6)-(V6+W6)</f>
        <v>36</v>
      </c>
      <c r="AB6" s="130">
        <f t="shared" ref="AB6" si="6">SMALL(Z6:AA6,1)+X6</f>
        <v>36</v>
      </c>
    </row>
    <row r="7" spans="1:28" x14ac:dyDescent="0.3">
      <c r="A7" s="290" t="s">
        <v>208</v>
      </c>
      <c r="B7" s="91">
        <v>12</v>
      </c>
      <c r="C7" s="106">
        <v>12</v>
      </c>
      <c r="D7" s="95">
        <v>14</v>
      </c>
      <c r="E7" s="96">
        <v>0</v>
      </c>
      <c r="F7" s="132" t="s">
        <v>62</v>
      </c>
      <c r="G7" s="133">
        <v>0</v>
      </c>
      <c r="H7" s="134"/>
      <c r="I7" s="135"/>
      <c r="J7" s="281"/>
      <c r="K7" s="172"/>
      <c r="L7" s="171"/>
      <c r="M7" s="136"/>
      <c r="N7" s="137"/>
      <c r="O7" s="162"/>
      <c r="P7" s="156"/>
      <c r="Q7" s="143"/>
      <c r="R7" s="138"/>
      <c r="S7" s="139"/>
      <c r="T7" s="140"/>
      <c r="U7" s="92"/>
      <c r="V7" s="93">
        <f t="shared" si="2"/>
        <v>0</v>
      </c>
      <c r="W7" s="141"/>
      <c r="X7" s="104"/>
      <c r="Y7" s="142"/>
      <c r="Z7" s="94">
        <v>18</v>
      </c>
      <c r="AA7" s="57">
        <f t="shared" ref="AA7" si="7">SUM(Y7:Z7)-(V7+W7)</f>
        <v>18</v>
      </c>
      <c r="AB7" s="130">
        <f t="shared" ref="AB7" si="8">SMALL(Z7:AA7,1)+X7</f>
        <v>18</v>
      </c>
    </row>
    <row r="8" spans="1:28" x14ac:dyDescent="0.3">
      <c r="A8" s="290" t="s">
        <v>248</v>
      </c>
      <c r="B8" s="91">
        <f>VLOOKUP($A8,Members!$A$2:$AH$13,32,FALSE)</f>
        <v>11</v>
      </c>
      <c r="C8" s="106">
        <f>VLOOKUP($A8,Members!$A$2:$AH$13,33,FALSE)</f>
        <v>20</v>
      </c>
      <c r="D8" s="95">
        <f>VLOOKUP($A8,Members!$A$2:$AH$13,34,FALSE)</f>
        <v>21</v>
      </c>
      <c r="E8" s="96">
        <v>0</v>
      </c>
      <c r="F8" s="132" t="s">
        <v>332</v>
      </c>
      <c r="G8" s="133">
        <v>2</v>
      </c>
      <c r="H8" s="134"/>
      <c r="I8" s="135"/>
      <c r="J8" s="281"/>
      <c r="K8" s="172"/>
      <c r="L8" s="171"/>
      <c r="M8" s="136"/>
      <c r="N8" s="137"/>
      <c r="O8" s="310" t="s">
        <v>95</v>
      </c>
      <c r="P8" s="156" t="s">
        <v>95</v>
      </c>
      <c r="Q8" s="143"/>
      <c r="R8" s="174" t="s">
        <v>95</v>
      </c>
      <c r="S8" s="139"/>
      <c r="T8" s="140"/>
      <c r="U8" s="92"/>
      <c r="V8" s="93">
        <f t="shared" si="2"/>
        <v>0</v>
      </c>
      <c r="W8" s="141"/>
      <c r="X8" s="104"/>
      <c r="Y8" s="142"/>
      <c r="Z8" s="94">
        <f>VLOOKUP($A8,Members!$A$2:$AI$13,35,FALSE)</f>
        <v>71</v>
      </c>
      <c r="AA8" s="57">
        <f t="shared" ref="AA8:AA18" si="9">SUM(Y8:Z8)-(V8+W8)</f>
        <v>71</v>
      </c>
      <c r="AB8" s="130">
        <f t="shared" ref="AB8:AB18" si="10">SMALL(Z8:AA8,1)+X8</f>
        <v>71</v>
      </c>
    </row>
    <row r="9" spans="1:28" x14ac:dyDescent="0.3">
      <c r="A9" s="290" t="s">
        <v>271</v>
      </c>
      <c r="B9" s="307">
        <f>VLOOKUP($A9,Members!$A$2:$AH$13,32,FALSE)+4</f>
        <v>14</v>
      </c>
      <c r="C9" s="106">
        <f>VLOOKUP($A9,Members!$A$2:$AH$13,33,FALSE)</f>
        <v>10</v>
      </c>
      <c r="D9" s="306">
        <f>VLOOKUP($A9,Members!$A$2:$AH$13,34,FALSE)+4</f>
        <v>14</v>
      </c>
      <c r="E9" s="96">
        <v>0</v>
      </c>
      <c r="F9" s="132" t="s">
        <v>62</v>
      </c>
      <c r="G9" s="133">
        <v>0</v>
      </c>
      <c r="H9" s="134"/>
      <c r="I9" s="135"/>
      <c r="J9" s="281"/>
      <c r="K9" s="172"/>
      <c r="L9" s="171"/>
      <c r="M9" s="136"/>
      <c r="N9" s="137"/>
      <c r="O9" s="162"/>
      <c r="P9" s="156"/>
      <c r="Q9" s="143"/>
      <c r="R9" s="174" t="s">
        <v>95</v>
      </c>
      <c r="S9" s="139"/>
      <c r="T9" s="140"/>
      <c r="U9" s="92"/>
      <c r="V9" s="93">
        <f t="shared" si="2"/>
        <v>0</v>
      </c>
      <c r="W9" s="141"/>
      <c r="X9" s="104"/>
      <c r="Y9" s="142"/>
      <c r="Z9" s="94">
        <f>VLOOKUP($A9,Members!$A$2:$AI$13,35,FALSE)</f>
        <v>31</v>
      </c>
      <c r="AA9" s="57">
        <f t="shared" si="9"/>
        <v>31</v>
      </c>
      <c r="AB9" s="130">
        <f t="shared" si="10"/>
        <v>31</v>
      </c>
    </row>
    <row r="10" spans="1:28" x14ac:dyDescent="0.3">
      <c r="A10" s="290" t="s">
        <v>255</v>
      </c>
      <c r="B10" s="91">
        <f>VLOOKUP($A10,Members!$A$2:$AH$13,32,FALSE)</f>
        <v>12</v>
      </c>
      <c r="C10" s="106">
        <f>VLOOKUP($A10,Members!$A$2:$AH$13,33,FALSE)</f>
        <v>15</v>
      </c>
      <c r="D10" s="95">
        <f>VLOOKUP($A10,Members!$A$2:$AH$13,34,FALSE)</f>
        <v>17</v>
      </c>
      <c r="E10" s="96">
        <v>0</v>
      </c>
      <c r="F10" s="132" t="s">
        <v>62</v>
      </c>
      <c r="G10" s="133">
        <v>0</v>
      </c>
      <c r="H10" s="134"/>
      <c r="I10" s="135"/>
      <c r="J10" s="281"/>
      <c r="K10" s="172"/>
      <c r="L10" s="171"/>
      <c r="M10" s="136"/>
      <c r="N10" s="137"/>
      <c r="O10" s="162"/>
      <c r="P10" s="156"/>
      <c r="Q10" s="143"/>
      <c r="R10" s="174" t="s">
        <v>95</v>
      </c>
      <c r="S10" s="139"/>
      <c r="T10" s="140"/>
      <c r="U10" s="92"/>
      <c r="V10" s="93">
        <f t="shared" si="2"/>
        <v>0</v>
      </c>
      <c r="W10" s="141"/>
      <c r="X10" s="104"/>
      <c r="Y10" s="142"/>
      <c r="Z10" s="94">
        <f>VLOOKUP($A10,Members!$A$2:$AI$13,35,FALSE)</f>
        <v>50</v>
      </c>
      <c r="AA10" s="57">
        <f t="shared" si="9"/>
        <v>50</v>
      </c>
      <c r="AB10" s="130">
        <f t="shared" si="10"/>
        <v>50</v>
      </c>
    </row>
    <row r="11" spans="1:28" x14ac:dyDescent="0.3">
      <c r="A11" s="290" t="s">
        <v>256</v>
      </c>
      <c r="B11" s="91">
        <f>VLOOKUP($A11,Members!$A$2:$AH$13,32,FALSE)</f>
        <v>12</v>
      </c>
      <c r="C11" s="106">
        <f>VLOOKUP($A11,Members!$A$2:$AH$13,33,FALSE)</f>
        <v>14</v>
      </c>
      <c r="D11" s="95">
        <f>VLOOKUP($A11,Members!$A$2:$AH$13,34,FALSE)</f>
        <v>16</v>
      </c>
      <c r="E11" s="96">
        <v>0</v>
      </c>
      <c r="F11" s="132" t="s">
        <v>62</v>
      </c>
      <c r="G11" s="133">
        <v>0</v>
      </c>
      <c r="H11" s="134"/>
      <c r="I11" s="135"/>
      <c r="J11" s="281"/>
      <c r="K11" s="172"/>
      <c r="L11" s="171"/>
      <c r="M11" s="136"/>
      <c r="N11" s="137"/>
      <c r="O11" s="162"/>
      <c r="P11" s="156"/>
      <c r="Q11" s="143"/>
      <c r="R11" s="174" t="s">
        <v>95</v>
      </c>
      <c r="S11" s="139"/>
      <c r="T11" s="140"/>
      <c r="U11" s="92"/>
      <c r="V11" s="93">
        <f t="shared" si="2"/>
        <v>0</v>
      </c>
      <c r="W11" s="141"/>
      <c r="X11" s="104"/>
      <c r="Y11" s="142"/>
      <c r="Z11" s="94">
        <f>VLOOKUP($A11,Members!$A$2:$AI$13,35,FALSE)</f>
        <v>49</v>
      </c>
      <c r="AA11" s="57">
        <f t="shared" si="9"/>
        <v>49</v>
      </c>
      <c r="AB11" s="130">
        <f t="shared" si="10"/>
        <v>49</v>
      </c>
    </row>
    <row r="12" spans="1:28" x14ac:dyDescent="0.3">
      <c r="A12" s="290" t="s">
        <v>257</v>
      </c>
      <c r="B12" s="91">
        <f>VLOOKUP($A12,Members!$A$2:$AH$13,32,FALSE)</f>
        <v>13</v>
      </c>
      <c r="C12" s="106">
        <f>VLOOKUP($A12,Members!$A$2:$AH$13,33,FALSE)</f>
        <v>16</v>
      </c>
      <c r="D12" s="95">
        <f>VLOOKUP($A12,Members!$A$2:$AH$13,34,FALSE)</f>
        <v>19</v>
      </c>
      <c r="E12" s="96">
        <v>0</v>
      </c>
      <c r="F12" s="132" t="s">
        <v>62</v>
      </c>
      <c r="G12" s="133">
        <v>0</v>
      </c>
      <c r="H12" s="134"/>
      <c r="I12" s="135"/>
      <c r="J12" s="281"/>
      <c r="K12" s="172"/>
      <c r="L12" s="171"/>
      <c r="M12" s="136"/>
      <c r="N12" s="137"/>
      <c r="O12" s="162"/>
      <c r="P12" s="156" t="s">
        <v>95</v>
      </c>
      <c r="Q12" s="143"/>
      <c r="R12" s="174" t="s">
        <v>95</v>
      </c>
      <c r="S12" s="139"/>
      <c r="T12" s="140"/>
      <c r="U12" s="92"/>
      <c r="V12" s="93">
        <f t="shared" si="2"/>
        <v>0</v>
      </c>
      <c r="W12" s="141"/>
      <c r="X12" s="104"/>
      <c r="Y12" s="142"/>
      <c r="Z12" s="94">
        <f>VLOOKUP($A12,Members!$A$2:$AI$13,35,FALSE)</f>
        <v>50</v>
      </c>
      <c r="AA12" s="57">
        <f t="shared" si="9"/>
        <v>50</v>
      </c>
      <c r="AB12" s="130">
        <f t="shared" si="10"/>
        <v>50</v>
      </c>
    </row>
    <row r="13" spans="1:28" x14ac:dyDescent="0.3">
      <c r="A13" s="290" t="s">
        <v>258</v>
      </c>
      <c r="B13" s="91">
        <f>VLOOKUP($A13,Members!$A$2:$AH$13,32,FALSE)</f>
        <v>11</v>
      </c>
      <c r="C13" s="106">
        <f>VLOOKUP($A13,Members!$A$2:$AH$13,33,FALSE)</f>
        <v>18</v>
      </c>
      <c r="D13" s="95">
        <f>VLOOKUP($A13,Members!$A$2:$AH$13,34,FALSE)</f>
        <v>19</v>
      </c>
      <c r="E13" s="96">
        <v>0</v>
      </c>
      <c r="F13" s="132" t="s">
        <v>62</v>
      </c>
      <c r="G13" s="133">
        <v>0</v>
      </c>
      <c r="H13" s="134"/>
      <c r="I13" s="135"/>
      <c r="J13" s="281"/>
      <c r="K13" s="172"/>
      <c r="L13" s="171"/>
      <c r="M13" s="136"/>
      <c r="N13" s="137"/>
      <c r="O13" s="162"/>
      <c r="P13" s="156" t="s">
        <v>95</v>
      </c>
      <c r="Q13" s="143"/>
      <c r="R13" s="174" t="s">
        <v>95</v>
      </c>
      <c r="S13" s="139"/>
      <c r="T13" s="140"/>
      <c r="U13" s="92"/>
      <c r="V13" s="93">
        <f t="shared" si="2"/>
        <v>0</v>
      </c>
      <c r="W13" s="141"/>
      <c r="X13" s="104"/>
      <c r="Y13" s="142"/>
      <c r="Z13" s="94">
        <f>VLOOKUP($A13,Members!$A$2:$AI$13,35,FALSE)</f>
        <v>54</v>
      </c>
      <c r="AA13" s="57">
        <f t="shared" si="9"/>
        <v>54</v>
      </c>
      <c r="AB13" s="130">
        <f t="shared" si="10"/>
        <v>54</v>
      </c>
    </row>
    <row r="14" spans="1:28" x14ac:dyDescent="0.3">
      <c r="A14" s="290" t="s">
        <v>259</v>
      </c>
      <c r="B14" s="91">
        <f>VLOOKUP($A14,Members!$A$2:$AH$13,32,FALSE)</f>
        <v>10</v>
      </c>
      <c r="C14" s="106">
        <f>VLOOKUP($A14,Members!$A$2:$AH$13,33,FALSE)</f>
        <v>17</v>
      </c>
      <c r="D14" s="95">
        <f>VLOOKUP($A14,Members!$A$2:$AH$13,34,FALSE)</f>
        <v>17</v>
      </c>
      <c r="E14" s="96">
        <v>0</v>
      </c>
      <c r="F14" s="132" t="s">
        <v>62</v>
      </c>
      <c r="G14" s="133">
        <v>0</v>
      </c>
      <c r="H14" s="134"/>
      <c r="I14" s="135"/>
      <c r="J14" s="281"/>
      <c r="K14" s="172"/>
      <c r="L14" s="171"/>
      <c r="M14" s="136"/>
      <c r="N14" s="137"/>
      <c r="O14" s="162"/>
      <c r="P14" s="156" t="s">
        <v>95</v>
      </c>
      <c r="Q14" s="143"/>
      <c r="R14" s="174" t="s">
        <v>95</v>
      </c>
      <c r="S14" s="139"/>
      <c r="T14" s="140"/>
      <c r="U14" s="92"/>
      <c r="V14" s="93">
        <f t="shared" si="2"/>
        <v>0</v>
      </c>
      <c r="W14" s="141"/>
      <c r="X14" s="104"/>
      <c r="Y14" s="142"/>
      <c r="Z14" s="94">
        <f>VLOOKUP($A14,Members!$A$2:$AI$13,35,FALSE)</f>
        <v>52</v>
      </c>
      <c r="AA14" s="57">
        <f t="shared" si="9"/>
        <v>52</v>
      </c>
      <c r="AB14" s="130">
        <f t="shared" si="10"/>
        <v>52</v>
      </c>
    </row>
    <row r="15" spans="1:28" x14ac:dyDescent="0.3">
      <c r="A15" s="290" t="s">
        <v>266</v>
      </c>
      <c r="B15" s="91">
        <f>VLOOKUP($A15,Members!$A$2:$AH$13,32,FALSE)</f>
        <v>10</v>
      </c>
      <c r="C15" s="106">
        <f>VLOOKUP($A15,Members!$A$2:$AH$13,33,FALSE)</f>
        <v>19</v>
      </c>
      <c r="D15" s="95">
        <f>VLOOKUP($A15,Members!$A$2:$AH$13,34,FALSE)</f>
        <v>19</v>
      </c>
      <c r="E15" s="96">
        <v>0</v>
      </c>
      <c r="F15" s="132" t="s">
        <v>62</v>
      </c>
      <c r="G15" s="133">
        <v>0</v>
      </c>
      <c r="H15" s="134"/>
      <c r="I15" s="135"/>
      <c r="J15" s="281"/>
      <c r="K15" s="172"/>
      <c r="L15" s="171"/>
      <c r="M15" s="136"/>
      <c r="N15" s="137"/>
      <c r="O15" s="162"/>
      <c r="P15" s="156"/>
      <c r="Q15" s="143"/>
      <c r="R15" s="174" t="s">
        <v>95</v>
      </c>
      <c r="S15" s="139"/>
      <c r="T15" s="140"/>
      <c r="U15" s="92"/>
      <c r="V15" s="93">
        <f t="shared" si="2"/>
        <v>0</v>
      </c>
      <c r="W15" s="141"/>
      <c r="X15" s="104"/>
      <c r="Y15" s="142"/>
      <c r="Z15" s="94">
        <f>VLOOKUP($A15,Members!$A$2:$AI$13,35,FALSE)</f>
        <v>61</v>
      </c>
      <c r="AA15" s="57">
        <f t="shared" si="9"/>
        <v>61</v>
      </c>
      <c r="AB15" s="130">
        <f t="shared" si="10"/>
        <v>61</v>
      </c>
    </row>
    <row r="16" spans="1:28" x14ac:dyDescent="0.3">
      <c r="A16" s="290" t="s">
        <v>267</v>
      </c>
      <c r="B16" s="91">
        <f>VLOOKUP($A16,Members!$A$2:$AH$13,32,FALSE)</f>
        <v>11</v>
      </c>
      <c r="C16" s="106">
        <f>VLOOKUP($A16,Members!$A$2:$AH$13,33,FALSE)</f>
        <v>10</v>
      </c>
      <c r="D16" s="95">
        <f>VLOOKUP($A16,Members!$A$2:$AH$13,34,FALSE)</f>
        <v>11</v>
      </c>
      <c r="E16" s="96">
        <v>0</v>
      </c>
      <c r="F16" s="132" t="s">
        <v>62</v>
      </c>
      <c r="G16" s="133">
        <v>0</v>
      </c>
      <c r="H16" s="134"/>
      <c r="I16" s="135"/>
      <c r="J16" s="281"/>
      <c r="K16" s="172"/>
      <c r="L16" s="171"/>
      <c r="M16" s="136"/>
      <c r="N16" s="137"/>
      <c r="O16" s="162"/>
      <c r="P16" s="156" t="s">
        <v>95</v>
      </c>
      <c r="Q16" s="143"/>
      <c r="R16" s="174" t="s">
        <v>95</v>
      </c>
      <c r="S16" s="139"/>
      <c r="T16" s="140"/>
      <c r="U16" s="92"/>
      <c r="V16" s="93">
        <f t="shared" si="2"/>
        <v>0</v>
      </c>
      <c r="W16" s="141"/>
      <c r="X16" s="104"/>
      <c r="Y16" s="142"/>
      <c r="Z16" s="94">
        <f>VLOOKUP($A16,Members!$A$2:$AI$13,35,FALSE)</f>
        <v>44</v>
      </c>
      <c r="AA16" s="57">
        <f t="shared" si="9"/>
        <v>44</v>
      </c>
      <c r="AB16" s="130">
        <f t="shared" si="10"/>
        <v>44</v>
      </c>
    </row>
    <row r="17" spans="1:28" x14ac:dyDescent="0.3">
      <c r="A17" s="290" t="s">
        <v>265</v>
      </c>
      <c r="B17" s="91">
        <f>VLOOKUP($A17,Members!$A$2:$AH$13,32,FALSE)</f>
        <v>11</v>
      </c>
      <c r="C17" s="106">
        <f>VLOOKUP($A17,Members!$A$2:$AH$13,33,FALSE)</f>
        <v>17</v>
      </c>
      <c r="D17" s="95">
        <f>VLOOKUP($A17,Members!$A$2:$AH$13,34,FALSE)</f>
        <v>18</v>
      </c>
      <c r="E17" s="96">
        <v>0</v>
      </c>
      <c r="F17" s="132" t="s">
        <v>62</v>
      </c>
      <c r="G17" s="133">
        <v>0</v>
      </c>
      <c r="H17" s="134"/>
      <c r="I17" s="135"/>
      <c r="J17" s="281"/>
      <c r="K17" s="172"/>
      <c r="L17" s="171"/>
      <c r="M17" s="136"/>
      <c r="N17" s="137"/>
      <c r="O17" s="162"/>
      <c r="P17" s="156"/>
      <c r="Q17" s="143"/>
      <c r="R17" s="174" t="s">
        <v>95</v>
      </c>
      <c r="S17" s="139"/>
      <c r="T17" s="140"/>
      <c r="U17" s="92"/>
      <c r="V17" s="93">
        <f t="shared" si="2"/>
        <v>0</v>
      </c>
      <c r="W17" s="141"/>
      <c r="X17" s="104"/>
      <c r="Y17" s="142"/>
      <c r="Z17" s="94">
        <f>VLOOKUP($A17,Members!$A$2:$AI$13,35,FALSE)</f>
        <v>55</v>
      </c>
      <c r="AA17" s="57">
        <f t="shared" si="9"/>
        <v>55</v>
      </c>
      <c r="AB17" s="130">
        <f t="shared" si="10"/>
        <v>55</v>
      </c>
    </row>
    <row r="18" spans="1:28" x14ac:dyDescent="0.3">
      <c r="A18" s="290" t="s">
        <v>269</v>
      </c>
      <c r="B18" s="91">
        <f>VLOOKUP($A18,Members!$A$2:$AH$13,32,FALSE)</f>
        <v>10</v>
      </c>
      <c r="C18" s="106">
        <f>VLOOKUP($A18,Members!$A$2:$AH$13,33,FALSE)</f>
        <v>15</v>
      </c>
      <c r="D18" s="95">
        <f>VLOOKUP($A18,Members!$A$2:$AH$13,34,FALSE)</f>
        <v>15</v>
      </c>
      <c r="E18" s="96">
        <v>0</v>
      </c>
      <c r="F18" s="132" t="s">
        <v>62</v>
      </c>
      <c r="G18" s="133">
        <v>0</v>
      </c>
      <c r="H18" s="134"/>
      <c r="I18" s="135"/>
      <c r="J18" s="281"/>
      <c r="K18" s="172"/>
      <c r="L18" s="171"/>
      <c r="M18" s="136"/>
      <c r="N18" s="137"/>
      <c r="O18" s="162"/>
      <c r="P18" s="156" t="s">
        <v>95</v>
      </c>
      <c r="Q18" s="143"/>
      <c r="R18" s="174" t="s">
        <v>95</v>
      </c>
      <c r="S18" s="139"/>
      <c r="T18" s="140"/>
      <c r="U18" s="92"/>
      <c r="V18" s="93">
        <f t="shared" si="2"/>
        <v>0</v>
      </c>
      <c r="W18" s="141"/>
      <c r="X18" s="104"/>
      <c r="Y18" s="142"/>
      <c r="Z18" s="94">
        <f>VLOOKUP($A18,Members!$A$2:$AI$13,35,FALSE)</f>
        <v>36</v>
      </c>
      <c r="AA18" s="57">
        <f t="shared" si="9"/>
        <v>36</v>
      </c>
      <c r="AB18" s="130">
        <f t="shared" si="10"/>
        <v>36</v>
      </c>
    </row>
    <row r="19" spans="1:28" x14ac:dyDescent="0.3">
      <c r="A19" s="290" t="s">
        <v>273</v>
      </c>
      <c r="B19" s="91">
        <f>VLOOKUP($A19,Members!$A$2:$AH$13,32,FALSE)</f>
        <v>11</v>
      </c>
      <c r="C19" s="106">
        <f>VLOOKUP($A19,Members!$A$2:$AH$13,33,FALSE)</f>
        <v>16</v>
      </c>
      <c r="D19" s="95">
        <f>VLOOKUP($A19,Members!$A$2:$AH$13,34,FALSE)</f>
        <v>17</v>
      </c>
      <c r="E19" s="96">
        <v>0</v>
      </c>
      <c r="F19" s="132" t="s">
        <v>62</v>
      </c>
      <c r="G19" s="133">
        <v>0</v>
      </c>
      <c r="H19" s="134"/>
      <c r="I19" s="135"/>
      <c r="J19" s="281"/>
      <c r="K19" s="172"/>
      <c r="L19" s="171"/>
      <c r="M19" s="136"/>
      <c r="N19" s="137"/>
      <c r="O19" s="162"/>
      <c r="P19" s="156"/>
      <c r="Q19" s="143"/>
      <c r="R19" s="174" t="s">
        <v>95</v>
      </c>
      <c r="S19" s="139"/>
      <c r="T19" s="140"/>
      <c r="U19" s="92"/>
      <c r="V19" s="93">
        <f t="shared" si="2"/>
        <v>0</v>
      </c>
      <c r="W19" s="141"/>
      <c r="X19" s="104"/>
      <c r="Y19" s="142"/>
      <c r="Z19" s="94">
        <f>VLOOKUP($A19,Members!$A$2:$AI$13,35,FALSE)</f>
        <v>31.5</v>
      </c>
      <c r="AA19" s="57">
        <f t="shared" ref="AA19" si="11">SUM(Y19:Z19)-(V19+W19)</f>
        <v>31.5</v>
      </c>
      <c r="AB19" s="130">
        <f t="shared" ref="AB19" si="12">SMALL(Z19:AA19,1)+X19</f>
        <v>31.5</v>
      </c>
    </row>
    <row r="20" spans="1:28" x14ac:dyDescent="0.3">
      <c r="A20" s="165" t="s">
        <v>236</v>
      </c>
      <c r="B20" s="91"/>
      <c r="C20" s="106"/>
      <c r="D20" s="95"/>
      <c r="E20" s="96">
        <v>0</v>
      </c>
      <c r="F20" s="132" t="s">
        <v>62</v>
      </c>
      <c r="G20" s="133">
        <v>0</v>
      </c>
      <c r="H20" s="99"/>
      <c r="I20" s="100"/>
      <c r="J20" s="281"/>
      <c r="K20" s="172"/>
      <c r="L20" s="171"/>
      <c r="M20" s="136"/>
      <c r="N20" s="137"/>
      <c r="O20" s="310" t="s">
        <v>95</v>
      </c>
      <c r="P20" s="156"/>
      <c r="Q20" s="143"/>
      <c r="R20" s="174" t="s">
        <v>95</v>
      </c>
      <c r="S20" s="101"/>
      <c r="T20" s="140"/>
      <c r="U20" s="92"/>
      <c r="V20" s="93">
        <f t="shared" si="2"/>
        <v>0</v>
      </c>
      <c r="W20" s="141"/>
      <c r="X20" s="104"/>
      <c r="Y20" s="105"/>
      <c r="Z20" s="94">
        <v>12</v>
      </c>
      <c r="AA20" s="57">
        <f t="shared" ref="AA20:AA32" si="13">SUM(Y20:Z20)-(V20+W20)</f>
        <v>12</v>
      </c>
      <c r="AB20" s="130">
        <f t="shared" ref="AB20:AB32" si="14">SMALL(Z20:AA20,1)+X20</f>
        <v>12</v>
      </c>
    </row>
    <row r="21" spans="1:28" x14ac:dyDescent="0.3">
      <c r="A21" s="165" t="s">
        <v>237</v>
      </c>
      <c r="B21" s="91"/>
      <c r="C21" s="106"/>
      <c r="D21" s="95"/>
      <c r="E21" s="96">
        <v>0</v>
      </c>
      <c r="F21" s="132" t="s">
        <v>62</v>
      </c>
      <c r="G21" s="133">
        <v>0</v>
      </c>
      <c r="H21" s="99"/>
      <c r="I21" s="100"/>
      <c r="J21" s="281"/>
      <c r="K21" s="172"/>
      <c r="L21" s="171"/>
      <c r="M21" s="136"/>
      <c r="N21" s="137"/>
      <c r="O21" s="310" t="s">
        <v>95</v>
      </c>
      <c r="P21" s="156"/>
      <c r="Q21" s="143"/>
      <c r="R21" s="174" t="s">
        <v>95</v>
      </c>
      <c r="S21" s="101"/>
      <c r="T21" s="102"/>
      <c r="U21" s="92"/>
      <c r="V21" s="93">
        <f>SUM(H21:T21)</f>
        <v>0</v>
      </c>
      <c r="W21" s="141"/>
      <c r="X21" s="104"/>
      <c r="Y21" s="105"/>
      <c r="Z21" s="94">
        <v>13</v>
      </c>
      <c r="AA21" s="57">
        <f t="shared" si="13"/>
        <v>13</v>
      </c>
      <c r="AB21" s="130">
        <f t="shared" si="14"/>
        <v>13</v>
      </c>
    </row>
    <row r="22" spans="1:28" x14ac:dyDescent="0.3">
      <c r="A22" s="165" t="s">
        <v>238</v>
      </c>
      <c r="B22" s="91"/>
      <c r="C22" s="106"/>
      <c r="D22" s="95"/>
      <c r="E22" s="96">
        <v>0</v>
      </c>
      <c r="F22" s="132" t="s">
        <v>62</v>
      </c>
      <c r="G22" s="133">
        <v>0</v>
      </c>
      <c r="H22" s="99"/>
      <c r="I22" s="100"/>
      <c r="J22" s="281"/>
      <c r="K22" s="172"/>
      <c r="L22" s="171"/>
      <c r="M22" s="136"/>
      <c r="N22" s="137"/>
      <c r="O22" s="310" t="s">
        <v>95</v>
      </c>
      <c r="P22" s="156"/>
      <c r="Q22" s="143"/>
      <c r="R22" s="174" t="s">
        <v>95</v>
      </c>
      <c r="S22" s="101"/>
      <c r="T22" s="102"/>
      <c r="U22" s="92"/>
      <c r="V22" s="93">
        <f t="shared" si="2"/>
        <v>0</v>
      </c>
      <c r="W22" s="141"/>
      <c r="X22" s="104"/>
      <c r="Y22" s="105"/>
      <c r="Z22" s="94">
        <v>14</v>
      </c>
      <c r="AA22" s="57">
        <f t="shared" si="13"/>
        <v>14</v>
      </c>
      <c r="AB22" s="130">
        <f t="shared" si="14"/>
        <v>14</v>
      </c>
    </row>
    <row r="23" spans="1:28" x14ac:dyDescent="0.3">
      <c r="A23" s="165" t="s">
        <v>239</v>
      </c>
      <c r="B23" s="91"/>
      <c r="C23" s="106"/>
      <c r="D23" s="95"/>
      <c r="E23" s="96">
        <v>0</v>
      </c>
      <c r="F23" s="132" t="s">
        <v>62</v>
      </c>
      <c r="G23" s="133">
        <v>0</v>
      </c>
      <c r="H23" s="99"/>
      <c r="I23" s="100"/>
      <c r="J23" s="281"/>
      <c r="K23" s="172"/>
      <c r="L23" s="171"/>
      <c r="M23" s="136"/>
      <c r="N23" s="137"/>
      <c r="O23" s="310" t="s">
        <v>95</v>
      </c>
      <c r="P23" s="156"/>
      <c r="Q23" s="143"/>
      <c r="R23" s="174" t="s">
        <v>95</v>
      </c>
      <c r="S23" s="101"/>
      <c r="T23" s="102"/>
      <c r="U23" s="92"/>
      <c r="V23" s="93">
        <f t="shared" si="2"/>
        <v>0</v>
      </c>
      <c r="W23" s="141"/>
      <c r="X23" s="104"/>
      <c r="Y23" s="105"/>
      <c r="Z23" s="94">
        <v>13</v>
      </c>
      <c r="AA23" s="57">
        <f t="shared" si="13"/>
        <v>13</v>
      </c>
      <c r="AB23" s="130">
        <f t="shared" si="14"/>
        <v>13</v>
      </c>
    </row>
    <row r="24" spans="1:28" x14ac:dyDescent="0.3">
      <c r="A24" s="165" t="s">
        <v>240</v>
      </c>
      <c r="B24" s="91"/>
      <c r="C24" s="106"/>
      <c r="D24" s="95"/>
      <c r="E24" s="96">
        <v>0</v>
      </c>
      <c r="F24" s="132" t="s">
        <v>62</v>
      </c>
      <c r="G24" s="133">
        <v>0</v>
      </c>
      <c r="H24" s="99"/>
      <c r="I24" s="100"/>
      <c r="J24" s="281"/>
      <c r="K24" s="172"/>
      <c r="L24" s="171"/>
      <c r="M24" s="136"/>
      <c r="N24" s="137"/>
      <c r="O24" s="310" t="s">
        <v>95</v>
      </c>
      <c r="P24" s="156"/>
      <c r="Q24" s="143"/>
      <c r="R24" s="174" t="s">
        <v>95</v>
      </c>
      <c r="S24" s="101"/>
      <c r="T24" s="102"/>
      <c r="U24" s="92"/>
      <c r="V24" s="93">
        <f t="shared" si="2"/>
        <v>0</v>
      </c>
      <c r="W24" s="141"/>
      <c r="X24" s="104"/>
      <c r="Y24" s="105"/>
      <c r="Z24" s="94">
        <v>14</v>
      </c>
      <c r="AA24" s="57">
        <f t="shared" si="13"/>
        <v>14</v>
      </c>
      <c r="AB24" s="130">
        <f t="shared" si="14"/>
        <v>14</v>
      </c>
    </row>
    <row r="25" spans="1:28" x14ac:dyDescent="0.3">
      <c r="A25" s="165" t="s">
        <v>241</v>
      </c>
      <c r="B25" s="91"/>
      <c r="C25" s="106"/>
      <c r="D25" s="95"/>
      <c r="E25" s="96">
        <v>0</v>
      </c>
      <c r="F25" s="132" t="s">
        <v>62</v>
      </c>
      <c r="G25" s="133">
        <v>0</v>
      </c>
      <c r="H25" s="99"/>
      <c r="I25" s="100"/>
      <c r="J25" s="281"/>
      <c r="K25" s="172"/>
      <c r="L25" s="171"/>
      <c r="M25" s="136"/>
      <c r="N25" s="137"/>
      <c r="O25" s="310" t="s">
        <v>95</v>
      </c>
      <c r="P25" s="156"/>
      <c r="Q25" s="143"/>
      <c r="R25" s="174" t="s">
        <v>95</v>
      </c>
      <c r="S25" s="101"/>
      <c r="T25" s="102"/>
      <c r="U25" s="92"/>
      <c r="V25" s="93">
        <f t="shared" si="2"/>
        <v>0</v>
      </c>
      <c r="W25" s="141"/>
      <c r="X25" s="104"/>
      <c r="Y25" s="105"/>
      <c r="Z25" s="94">
        <v>14</v>
      </c>
      <c r="AA25" s="57">
        <f t="shared" si="13"/>
        <v>14</v>
      </c>
      <c r="AB25" s="130">
        <f t="shared" si="14"/>
        <v>14</v>
      </c>
    </row>
    <row r="26" spans="1:28" x14ac:dyDescent="0.3">
      <c r="A26" s="165" t="s">
        <v>242</v>
      </c>
      <c r="B26" s="91"/>
      <c r="C26" s="106"/>
      <c r="D26" s="95"/>
      <c r="E26" s="96">
        <v>0</v>
      </c>
      <c r="F26" s="132" t="s">
        <v>62</v>
      </c>
      <c r="G26" s="133">
        <v>0</v>
      </c>
      <c r="H26" s="99"/>
      <c r="I26" s="100"/>
      <c r="J26" s="281"/>
      <c r="K26" s="172"/>
      <c r="L26" s="171"/>
      <c r="M26" s="136"/>
      <c r="N26" s="137"/>
      <c r="O26" s="310" t="s">
        <v>95</v>
      </c>
      <c r="P26" s="156"/>
      <c r="Q26" s="143"/>
      <c r="R26" s="174" t="s">
        <v>95</v>
      </c>
      <c r="S26" s="101"/>
      <c r="T26" s="102"/>
      <c r="U26" s="92"/>
      <c r="V26" s="93">
        <f t="shared" si="2"/>
        <v>0</v>
      </c>
      <c r="W26" s="141"/>
      <c r="X26" s="104"/>
      <c r="Y26" s="105"/>
      <c r="Z26" s="94">
        <v>13</v>
      </c>
      <c r="AA26" s="57">
        <f t="shared" si="13"/>
        <v>13</v>
      </c>
      <c r="AB26" s="130">
        <f t="shared" si="14"/>
        <v>13</v>
      </c>
    </row>
    <row r="27" spans="1:28" x14ac:dyDescent="0.3">
      <c r="A27" s="165" t="s">
        <v>243</v>
      </c>
      <c r="B27" s="91"/>
      <c r="C27" s="106"/>
      <c r="D27" s="95"/>
      <c r="E27" s="96">
        <v>0</v>
      </c>
      <c r="F27" s="132" t="s">
        <v>62</v>
      </c>
      <c r="G27" s="133">
        <v>0</v>
      </c>
      <c r="H27" s="99"/>
      <c r="I27" s="100"/>
      <c r="J27" s="281"/>
      <c r="K27" s="172"/>
      <c r="L27" s="171"/>
      <c r="M27" s="136"/>
      <c r="N27" s="137"/>
      <c r="O27" s="310" t="s">
        <v>95</v>
      </c>
      <c r="P27" s="156"/>
      <c r="Q27" s="143"/>
      <c r="R27" s="174" t="s">
        <v>95</v>
      </c>
      <c r="S27" s="101"/>
      <c r="T27" s="102"/>
      <c r="U27" s="92"/>
      <c r="V27" s="93">
        <f t="shared" si="2"/>
        <v>0</v>
      </c>
      <c r="W27" s="141"/>
      <c r="X27" s="104"/>
      <c r="Y27" s="105"/>
      <c r="Z27" s="94">
        <v>13</v>
      </c>
      <c r="AA27" s="57">
        <f t="shared" si="13"/>
        <v>13</v>
      </c>
      <c r="AB27" s="130">
        <f t="shared" si="14"/>
        <v>13</v>
      </c>
    </row>
    <row r="28" spans="1:28" x14ac:dyDescent="0.3">
      <c r="A28" s="165" t="s">
        <v>244</v>
      </c>
      <c r="B28" s="91"/>
      <c r="C28" s="106"/>
      <c r="D28" s="95"/>
      <c r="E28" s="96">
        <v>0</v>
      </c>
      <c r="F28" s="132" t="s">
        <v>62</v>
      </c>
      <c r="G28" s="133">
        <v>0</v>
      </c>
      <c r="H28" s="99"/>
      <c r="I28" s="100"/>
      <c r="J28" s="281"/>
      <c r="K28" s="172"/>
      <c r="L28" s="171"/>
      <c r="M28" s="136"/>
      <c r="N28" s="137"/>
      <c r="O28" s="310" t="s">
        <v>95</v>
      </c>
      <c r="P28" s="156"/>
      <c r="Q28" s="143"/>
      <c r="R28" s="174" t="s">
        <v>95</v>
      </c>
      <c r="S28" s="101"/>
      <c r="T28" s="102"/>
      <c r="U28" s="92"/>
      <c r="V28" s="93">
        <f t="shared" si="2"/>
        <v>0</v>
      </c>
      <c r="W28" s="141"/>
      <c r="X28" s="104"/>
      <c r="Y28" s="105"/>
      <c r="Z28" s="94">
        <v>13</v>
      </c>
      <c r="AA28" s="57">
        <f t="shared" si="13"/>
        <v>13</v>
      </c>
      <c r="AB28" s="130">
        <f t="shared" si="14"/>
        <v>13</v>
      </c>
    </row>
    <row r="29" spans="1:28" x14ac:dyDescent="0.3">
      <c r="A29" s="165" t="s">
        <v>245</v>
      </c>
      <c r="B29" s="91"/>
      <c r="C29" s="106"/>
      <c r="D29" s="95"/>
      <c r="E29" s="96">
        <v>0</v>
      </c>
      <c r="F29" s="132" t="s">
        <v>62</v>
      </c>
      <c r="G29" s="133">
        <v>0</v>
      </c>
      <c r="H29" s="99"/>
      <c r="I29" s="100"/>
      <c r="J29" s="281"/>
      <c r="K29" s="172"/>
      <c r="L29" s="171"/>
      <c r="M29" s="136"/>
      <c r="N29" s="137"/>
      <c r="O29" s="310" t="s">
        <v>95</v>
      </c>
      <c r="P29" s="156"/>
      <c r="Q29" s="143"/>
      <c r="R29" s="174" t="s">
        <v>95</v>
      </c>
      <c r="S29" s="101"/>
      <c r="T29" s="102"/>
      <c r="U29" s="92"/>
      <c r="V29" s="93">
        <f t="shared" si="2"/>
        <v>0</v>
      </c>
      <c r="W29" s="141"/>
      <c r="X29" s="104"/>
      <c r="Y29" s="105"/>
      <c r="Z29" s="94">
        <v>12</v>
      </c>
      <c r="AA29" s="57">
        <f t="shared" si="13"/>
        <v>12</v>
      </c>
      <c r="AB29" s="130">
        <f t="shared" si="14"/>
        <v>12</v>
      </c>
    </row>
    <row r="30" spans="1:28" x14ac:dyDescent="0.3">
      <c r="A30" s="165" t="s">
        <v>246</v>
      </c>
      <c r="B30" s="91"/>
      <c r="C30" s="106"/>
      <c r="D30" s="95"/>
      <c r="E30" s="96">
        <v>0</v>
      </c>
      <c r="F30" s="132" t="s">
        <v>62</v>
      </c>
      <c r="G30" s="133">
        <v>0</v>
      </c>
      <c r="H30" s="99"/>
      <c r="I30" s="100"/>
      <c r="J30" s="281"/>
      <c r="K30" s="172"/>
      <c r="L30" s="171"/>
      <c r="M30" s="136"/>
      <c r="N30" s="137"/>
      <c r="O30" s="310" t="s">
        <v>95</v>
      </c>
      <c r="P30" s="156"/>
      <c r="Q30" s="143"/>
      <c r="R30" s="174" t="s">
        <v>95</v>
      </c>
      <c r="S30" s="101"/>
      <c r="T30" s="102"/>
      <c r="U30" s="92"/>
      <c r="V30" s="93">
        <f t="shared" si="2"/>
        <v>0</v>
      </c>
      <c r="W30" s="141"/>
      <c r="X30" s="104"/>
      <c r="Y30" s="105"/>
      <c r="Z30" s="94">
        <v>13</v>
      </c>
      <c r="AA30" s="57">
        <f t="shared" si="13"/>
        <v>13</v>
      </c>
      <c r="AB30" s="130">
        <f t="shared" si="14"/>
        <v>13</v>
      </c>
    </row>
    <row r="31" spans="1:28" x14ac:dyDescent="0.3">
      <c r="A31" s="165" t="s">
        <v>247</v>
      </c>
      <c r="B31" s="91"/>
      <c r="C31" s="106"/>
      <c r="D31" s="95"/>
      <c r="E31" s="96">
        <v>0</v>
      </c>
      <c r="F31" s="132" t="s">
        <v>62</v>
      </c>
      <c r="G31" s="133">
        <v>0</v>
      </c>
      <c r="H31" s="99"/>
      <c r="I31" s="100"/>
      <c r="J31" s="281"/>
      <c r="K31" s="172"/>
      <c r="L31" s="171"/>
      <c r="M31" s="136"/>
      <c r="N31" s="137"/>
      <c r="O31" s="310" t="s">
        <v>95</v>
      </c>
      <c r="P31" s="156"/>
      <c r="Q31" s="143"/>
      <c r="R31" s="174" t="s">
        <v>95</v>
      </c>
      <c r="S31" s="101"/>
      <c r="T31" s="102"/>
      <c r="U31" s="92"/>
      <c r="V31" s="93">
        <f t="shared" si="2"/>
        <v>0</v>
      </c>
      <c r="W31" s="141"/>
      <c r="X31" s="104"/>
      <c r="Y31" s="105"/>
      <c r="Z31" s="94">
        <v>12</v>
      </c>
      <c r="AA31" s="57">
        <f t="shared" si="13"/>
        <v>12</v>
      </c>
      <c r="AB31" s="130">
        <f t="shared" si="14"/>
        <v>12</v>
      </c>
    </row>
    <row r="32" spans="1:28" x14ac:dyDescent="0.3">
      <c r="A32" s="165" t="s">
        <v>234</v>
      </c>
      <c r="B32" s="91"/>
      <c r="C32" s="106"/>
      <c r="D32" s="95"/>
      <c r="E32" s="96">
        <v>0</v>
      </c>
      <c r="F32" s="132" t="s">
        <v>62</v>
      </c>
      <c r="G32" s="133">
        <v>0</v>
      </c>
      <c r="H32" s="99"/>
      <c r="I32" s="100"/>
      <c r="J32" s="281"/>
      <c r="K32" s="172"/>
      <c r="L32" s="171"/>
      <c r="M32" s="136"/>
      <c r="N32" s="137"/>
      <c r="O32" s="310" t="s">
        <v>95</v>
      </c>
      <c r="P32" s="156"/>
      <c r="Q32" s="143"/>
      <c r="R32" s="174" t="s">
        <v>95</v>
      </c>
      <c r="S32" s="101"/>
      <c r="T32" s="102"/>
      <c r="U32" s="92"/>
      <c r="V32" s="93">
        <f t="shared" si="2"/>
        <v>0</v>
      </c>
      <c r="W32" s="141"/>
      <c r="X32" s="104"/>
      <c r="Y32" s="105"/>
      <c r="Z32" s="94">
        <v>25</v>
      </c>
      <c r="AA32" s="57">
        <f t="shared" si="13"/>
        <v>25</v>
      </c>
      <c r="AB32" s="130">
        <f t="shared" si="14"/>
        <v>25</v>
      </c>
    </row>
  </sheetData>
  <conditionalFormatting sqref="AB2:AB32">
    <cfRule type="cellIs" dxfId="1" priority="1" stopIfTrue="1" operator="lessThan">
      <formula>0.5</formula>
    </cfRule>
    <cfRule type="cellIs" dxfId="0" priority="2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13" width="4.3984375" style="5" customWidth="1"/>
    <col min="14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67" t="s">
        <v>11</v>
      </c>
      <c r="I1" s="167" t="s">
        <v>101</v>
      </c>
      <c r="J1" s="167" t="s">
        <v>102</v>
      </c>
      <c r="K1" s="167" t="s">
        <v>103</v>
      </c>
      <c r="L1" s="4" t="s">
        <v>104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7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168">
        <f ca="1">RANDBETWEEN(1,3)+RANDBETWEEN(1,3)+RANDBETWEEN(1,3)+RANDBETWEEN(1,3)+RANDBETWEEN(1,3)+RANDBETWEEN(1,3)</f>
        <v>11</v>
      </c>
      <c r="I2" s="168">
        <f ca="1">RANDBETWEEN(1,3)+RANDBETWEEN(1,3)+RANDBETWEEN(1,3)+RANDBETWEEN(1,3)+RANDBETWEEN(1,3)+RANDBETWEEN(1,3)+RANDBETWEEN(1,3)</f>
        <v>16</v>
      </c>
      <c r="J2" s="168">
        <f ca="1">RANDBETWEEN(1,3)+RANDBETWEEN(1,3)+RANDBETWEEN(1,3)+RANDBETWEEN(1,3)+RANDBETWEEN(1,3)+RANDBETWEEN(1,3)+RANDBETWEEN(1,3)+RANDBETWEEN(1,3)</f>
        <v>17</v>
      </c>
      <c r="K2" s="168">
        <f ca="1">RANDBETWEEN(1,3)+RANDBETWEEN(1,3)+RANDBETWEEN(1,3)+RANDBETWEEN(1,3)+RANDBETWEEN(1,3)+RANDBETWEEN(1,3)+RANDBETWEEN(1,3)+RANDBETWEEN(1,3)+RANDBETWEEN(1,3)</f>
        <v>16</v>
      </c>
      <c r="L2" s="8">
        <f ca="1">RANDBETWEEN(1,3)+RANDBETWEEN(1,3)+RANDBETWEEN(1,3)+RANDBETWEEN(1,3)+RANDBETWEEN(1,3)+RANDBETWEEN(1,3)+RANDBETWEEN(1,3)+RANDBETWEEN(1,3)+RANDBETWEEN(1,3)+RANDBETWEEN(1,3)</f>
        <v>17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7</v>
      </c>
      <c r="E3" s="10">
        <f ca="1">RANDBETWEEN(1,4)+RANDBETWEEN(1,4)+RANDBETWEEN(1,4)</f>
        <v>7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10</v>
      </c>
      <c r="H3" s="169">
        <f ca="1">RANDBETWEEN(1,4)+RANDBETWEEN(1,4)+RANDBETWEEN(1,4)+RANDBETWEEN(1,4)+RANDBETWEEN(1,4)+RANDBETWEEN(1,4)</f>
        <v>16</v>
      </c>
      <c r="I3" s="169">
        <f ca="1">RANDBETWEEN(1,4)+RANDBETWEEN(1,4)+RANDBETWEEN(1,4)+RANDBETWEEN(1,4)+RANDBETWEEN(1,4)+RANDBETWEEN(1,4)+RANDBETWEEN(1,4)</f>
        <v>14</v>
      </c>
      <c r="J3" s="169">
        <f ca="1">RANDBETWEEN(1,4)+RANDBETWEEN(1,4)+RANDBETWEEN(1,4)+RANDBETWEEN(1,4)+RANDBETWEEN(1,4)+RANDBETWEEN(1,4)+RANDBETWEEN(1,4)+RANDBETWEEN(1,4)</f>
        <v>16</v>
      </c>
      <c r="K3" s="169">
        <f ca="1">RANDBETWEEN(1,4)+RANDBETWEEN(1,4)+RANDBETWEEN(1,4)+RANDBETWEEN(1,4)+RANDBETWEEN(1,4)+RANDBETWEEN(1,4)+RANDBETWEEN(1,4)+RANDBETWEEN(1,4)+RANDBETWEEN(1,4)</f>
        <v>24</v>
      </c>
      <c r="L3" s="11">
        <f ca="1">RANDBETWEEN(1,4)+RANDBETWEEN(1,4)+RANDBETWEEN(1,4)+RANDBETWEEN(1,4)+RANDBETWEEN(1,4)+RANDBETWEEN(1,4)+RANDBETWEEN(1,4)+RANDBETWEEN(1,4)+RANDBETWEEN(1,4)+RANDBETWEEN(1,4)</f>
        <v>26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6</v>
      </c>
      <c r="E4" s="10">
        <f ca="1">RANDBETWEEN(1,6)+RANDBETWEEN(1,6)+RANDBETWEEN(1,6)</f>
        <v>10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14</v>
      </c>
      <c r="H4" s="169">
        <f ca="1">RANDBETWEEN(1,6)+RANDBETWEEN(1,6)+RANDBETWEEN(1,6)+RANDBETWEEN(1,6)+RANDBETWEEN(1,6)+RANDBETWEEN(1,6)</f>
        <v>25</v>
      </c>
      <c r="I4" s="169">
        <f ca="1">RANDBETWEEN(1,6)+RANDBETWEEN(1,6)+RANDBETWEEN(1,6)+RANDBETWEEN(1,6)+RANDBETWEEN(1,6)+RANDBETWEEN(1,6)+RANDBETWEEN(1,6)</f>
        <v>20</v>
      </c>
      <c r="J4" s="169">
        <f ca="1">RANDBETWEEN(1,6)+RANDBETWEEN(1,6)+RANDBETWEEN(1,6)+RANDBETWEEN(1,6)+RANDBETWEEN(1,6)+RANDBETWEEN(1,6)+RANDBETWEEN(1,6)+RANDBETWEEN(1,6)</f>
        <v>27</v>
      </c>
      <c r="K4" s="169">
        <f ca="1">RANDBETWEEN(1,6)+RANDBETWEEN(1,6)+RANDBETWEEN(1,6)+RANDBETWEEN(1,6)+RANDBETWEEN(1,6)+RANDBETWEEN(1,6)+RANDBETWEEN(1,6)+RANDBETWEEN(1,6)+RANDBETWEEN(1,6)</f>
        <v>25</v>
      </c>
      <c r="L4" s="11">
        <f ca="1">RANDBETWEEN(1,6)+RANDBETWEEN(1,6)+RANDBETWEEN(1,6)+RANDBETWEEN(1,6)+RANDBETWEEN(1,6)+RANDBETWEEN(1,6)+RANDBETWEEN(1,6)+RANDBETWEEN(1,6)+RANDBETWEEN(1,6)+RANDBETWEEN(1,6)</f>
        <v>36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7</v>
      </c>
      <c r="D5" s="10">
        <f ca="1">RANDBETWEEN(1,8)+RANDBETWEEN(1,8)</f>
        <v>6</v>
      </c>
      <c r="E5" s="10">
        <f ca="1">RANDBETWEEN(1,8)+RANDBETWEEN(1,8)+RANDBETWEEN(1,8)</f>
        <v>13</v>
      </c>
      <c r="F5" s="10">
        <f ca="1">RANDBETWEEN(1,8)+RANDBETWEEN(1,8)+RANDBETWEEN(1,8)+RANDBETWEEN(1,8)</f>
        <v>14</v>
      </c>
      <c r="G5" s="10">
        <f ca="1">RANDBETWEEN(1,8)+RANDBETWEEN(1,8)+RANDBETWEEN(1,8)+RANDBETWEEN(1,8)+RANDBETWEEN(1,8)</f>
        <v>28</v>
      </c>
      <c r="H5" s="169">
        <f ca="1">RANDBETWEEN(1,8)+RANDBETWEEN(1,8)+RANDBETWEEN(1,8)+RANDBETWEEN(1,8)+RANDBETWEEN(1,8)+RANDBETWEEN(1,8)</f>
        <v>17</v>
      </c>
      <c r="I5" s="169">
        <f ca="1">RANDBETWEEN(1,8)+RANDBETWEEN(1,8)+RANDBETWEEN(1,8)+RANDBETWEEN(1,8)+RANDBETWEEN(1,8)+RANDBETWEEN(1,8)+RANDBETWEEN(1,8)</f>
        <v>27</v>
      </c>
      <c r="J5" s="169">
        <f ca="1">RANDBETWEEN(1,8)+RANDBETWEEN(1,8)+RANDBETWEEN(1,8)+RANDBETWEEN(1,8)+RANDBETWEEN(1,8)+RANDBETWEEN(1,8)+RANDBETWEEN(1,8)+RANDBETWEEN(1,8)</f>
        <v>40</v>
      </c>
      <c r="K5" s="169">
        <f ca="1">RANDBETWEEN(1,8)+RANDBETWEEN(1,8)+RANDBETWEEN(1,8)+RANDBETWEEN(1,8)+RANDBETWEEN(1,8)+RANDBETWEEN(1,8)+RANDBETWEEN(1,8)+RANDBETWEEN(1,8)+RANDBETWEEN(1,8)</f>
        <v>48</v>
      </c>
      <c r="L5" s="11">
        <f ca="1">RANDBETWEEN(1,8)+RANDBETWEEN(1,8)+RANDBETWEEN(1,8)+RANDBETWEEN(1,8)+RANDBETWEEN(1,8)+RANDBETWEEN(1,8)+RANDBETWEEN(1,8)+RANDBETWEEN(1,8)+RANDBETWEEN(1,8)+RANDBETWEEN(1,8)</f>
        <v>38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6</v>
      </c>
      <c r="D6" s="10">
        <f ca="1">RANDBETWEEN(1,10)+RANDBETWEEN(1,10)</f>
        <v>6</v>
      </c>
      <c r="E6" s="10">
        <f ca="1">RANDBETWEEN(1,10)+RANDBETWEEN(1,10)+RANDBETWEEN(1,10)</f>
        <v>18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30</v>
      </c>
      <c r="H6" s="169">
        <f ca="1">RANDBETWEEN(1,10)+RANDBETWEEN(1,10)+RANDBETWEEN(1,10)+RANDBETWEEN(1,10)+RANDBETWEEN(1,10)+RANDBETWEEN(1,10)</f>
        <v>37</v>
      </c>
      <c r="I6" s="169">
        <f ca="1">RANDBETWEEN(1,10)+RANDBETWEEN(1,10)+RANDBETWEEN(1,10)+RANDBETWEEN(1,10)+RANDBETWEEN(1,10)+RANDBETWEEN(1,10)+RANDBETWEEN(1,10)</f>
        <v>47</v>
      </c>
      <c r="J6" s="169">
        <f ca="1">RANDBETWEEN(1,10)+RANDBETWEEN(1,10)+RANDBETWEEN(1,10)+RANDBETWEEN(1,10)+RANDBETWEEN(1,10)+RANDBETWEEN(1,10)+RANDBETWEEN(1,10)+RANDBETWEEN(1,10)</f>
        <v>37</v>
      </c>
      <c r="K6" s="169">
        <f ca="1">RANDBETWEEN(1,10)+RANDBETWEEN(1,10)+RANDBETWEEN(1,10)+RANDBETWEEN(1,10)+RANDBETWEEN(1,10)+RANDBETWEEN(1,10)+RANDBETWEEN(1,10)+RANDBETWEEN(1,10)+RANDBETWEEN(1,10)</f>
        <v>44</v>
      </c>
      <c r="L6" s="11">
        <f ca="1">RANDBETWEEN(1,10)+RANDBETWEEN(1,10)+RANDBETWEEN(1,10)+RANDBETWEEN(1,10)+RANDBETWEEN(1,10)+RANDBETWEEN(1,10)+RANDBETWEEN(1,10)+RANDBETWEEN(1,10)+RANDBETWEEN(1,10)+RANDBETWEEN(1,10)</f>
        <v>50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11</v>
      </c>
      <c r="D7" s="10">
        <f ca="1">RANDBETWEEN(1,12)+RANDBETWEEN(1,12)</f>
        <v>3</v>
      </c>
      <c r="E7" s="10">
        <f ca="1">RANDBETWEEN(1,12)+RANDBETWEEN(1,12)+RANDBETWEEN(1,12)</f>
        <v>14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39</v>
      </c>
      <c r="H7" s="169">
        <f ca="1">RANDBETWEEN(1,12)+RANDBETWEEN(1,12)+RANDBETWEEN(1,12)+RANDBETWEEN(1,12)+RANDBETWEEN(1,12)+RANDBETWEEN(1,12)</f>
        <v>42</v>
      </c>
      <c r="I7" s="169">
        <f ca="1">RANDBETWEEN(1,12)+RANDBETWEEN(1,12)+RANDBETWEEN(1,12)+RANDBETWEEN(1,12)+RANDBETWEEN(1,12)+RANDBETWEEN(1,12)+RANDBETWEEN(1,12)</f>
        <v>57</v>
      </c>
      <c r="J7" s="169">
        <f ca="1">RANDBETWEEN(1,12)+RANDBETWEEN(1,12)+RANDBETWEEN(1,12)+RANDBETWEEN(1,12)+RANDBETWEEN(1,12)+RANDBETWEEN(1,12)+RANDBETWEEN(1,12)+RANDBETWEEN(1,12)</f>
        <v>56</v>
      </c>
      <c r="K7" s="169">
        <f ca="1">RANDBETWEEN(1,12)+RANDBETWEEN(1,12)+RANDBETWEEN(1,12)+RANDBETWEEN(1,12)+RANDBETWEEN(1,12)+RANDBETWEEN(1,12)+RANDBETWEEN(1,12)+RANDBETWEEN(1,12)+RANDBETWEEN(1,12)</f>
        <v>43</v>
      </c>
      <c r="L7" s="11">
        <f ca="1">RANDBETWEEN(1,12)+RANDBETWEEN(1,12)+RANDBETWEEN(1,12)+RANDBETWEEN(1,12)+RANDBETWEEN(1,12)+RANDBETWEEN(1,12)+RANDBETWEEN(1,12)+RANDBETWEEN(1,12)+RANDBETWEEN(1,12)+RANDBETWEEN(1,12)</f>
        <v>72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8</v>
      </c>
      <c r="D8" s="10">
        <f ca="1">RANDBETWEEN(1,20)+RANDBETWEEN(1,20)</f>
        <v>11</v>
      </c>
      <c r="E8" s="10">
        <f ca="1">RANDBETWEEN(1,20)+RANDBETWEEN(1,20)+RANDBETWEEN(1,20)</f>
        <v>32</v>
      </c>
      <c r="F8" s="10">
        <f ca="1">RANDBETWEEN(1,20)+RANDBETWEEN(1,20)+RANDBETWEEN(1,20)+RANDBETWEEN(1,20)</f>
        <v>31</v>
      </c>
      <c r="G8" s="10">
        <f ca="1">RANDBETWEEN(1,20)+RANDBETWEEN(1,20)+RANDBETWEEN(1,20)+RANDBETWEEN(1,20)+RANDBETWEEN(1,20)</f>
        <v>32</v>
      </c>
      <c r="H8" s="169">
        <f ca="1">RANDBETWEEN(1,20)+RANDBETWEEN(1,20)+RANDBETWEEN(1,20)+RANDBETWEEN(1,20)+RANDBETWEEN(1,20)+RANDBETWEEN(1,20)</f>
        <v>81</v>
      </c>
      <c r="I8" s="169">
        <f ca="1">RANDBETWEEN(1,20)+RANDBETWEEN(1,20)+RANDBETWEEN(1,20)+RANDBETWEEN(1,20)+RANDBETWEEN(1,20)+RANDBETWEEN(1,20)+RANDBETWEEN(1,20)</f>
        <v>54</v>
      </c>
      <c r="J8" s="169">
        <f ca="1">RANDBETWEEN(1,20)+RANDBETWEEN(1,20)+RANDBETWEEN(1,20)+RANDBETWEEN(1,20)+RANDBETWEEN(1,20)+RANDBETWEEN(1,20)+RANDBETWEEN(1,20)+RANDBETWEEN(1,20)</f>
        <v>92</v>
      </c>
      <c r="K8" s="169">
        <f ca="1">RANDBETWEEN(1,20)+RANDBETWEEN(1,20)+RANDBETWEEN(1,20)+RANDBETWEEN(1,20)+RANDBETWEEN(1,20)+RANDBETWEEN(1,20)+RANDBETWEEN(1,20)+RANDBETWEEN(1,20)+RANDBETWEEN(1,20)</f>
        <v>105</v>
      </c>
      <c r="L8" s="11">
        <f ca="1">RANDBETWEEN(1,20)+RANDBETWEEN(1,20)+RANDBETWEEN(1,20)+RANDBETWEEN(1,20)+RANDBETWEEN(1,20)+RANDBETWEEN(1,20)+RANDBETWEEN(1,20)+RANDBETWEEN(1,20)+RANDBETWEEN(1,20)+RANDBETWEEN(1,20)</f>
        <v>76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84</v>
      </c>
      <c r="D9" s="13">
        <f ca="1">RANDBETWEEN(1,100)+RANDBETWEEN(1,100)</f>
        <v>112</v>
      </c>
      <c r="E9" s="13">
        <f ca="1">RANDBETWEEN(1,100)+RANDBETWEEN(1,100)+RANDBETWEEN(1,100)</f>
        <v>100</v>
      </c>
      <c r="F9" s="13">
        <f ca="1">RANDBETWEEN(1,100)+RANDBETWEEN(1,100)+RANDBETWEEN(1,100)+RANDBETWEEN(1,100)</f>
        <v>181</v>
      </c>
      <c r="G9" s="13">
        <f ca="1">RANDBETWEEN(1,100)+RANDBETWEEN(1,100)+RANDBETWEEN(1,100)+RANDBETWEEN(1,100)+RANDBETWEEN(1,100)</f>
        <v>225</v>
      </c>
      <c r="H9" s="170">
        <f ca="1">RANDBETWEEN(1,100)+RANDBETWEEN(1,100)+RANDBETWEEN(1,100)+RANDBETWEEN(1,100)+RANDBETWEEN(1,100)+RANDBETWEEN(1,100)</f>
        <v>188</v>
      </c>
      <c r="I9" s="170">
        <f ca="1">RANDBETWEEN(1,100)+RANDBETWEEN(1,100)+RANDBETWEEN(1,100)+RANDBETWEEN(1,100)+RANDBETWEEN(1,100)+RANDBETWEEN(1,100)+RANDBETWEEN(1,100)</f>
        <v>288</v>
      </c>
      <c r="J9" s="170">
        <f ca="1">RANDBETWEEN(1,100)+RANDBETWEEN(1,100)+RANDBETWEEN(1,100)+RANDBETWEEN(1,100)+RANDBETWEEN(1,100)+RANDBETWEEN(1,100)+RANDBETWEEN(1,100)+RANDBETWEEN(1,100)</f>
        <v>299</v>
      </c>
      <c r="K9" s="170">
        <f ca="1">RANDBETWEEN(1,100)+RANDBETWEEN(1,100)+RANDBETWEEN(1,100)+RANDBETWEEN(1,100)+RANDBETWEEN(1,100)+RANDBETWEEN(1,100)+RANDBETWEEN(1,100)+RANDBETWEEN(1,100)+RANDBETWEEN(1,100)</f>
        <v>449</v>
      </c>
      <c r="L9" s="14">
        <f ca="1">RANDBETWEEN(1,100)+RANDBETWEEN(1,100)+RANDBETWEEN(1,100)+RANDBETWEEN(1,100)+RANDBETWEEN(1,100)+RANDBETWEEN(1,100)+RANDBETWEEN(1,100)+RANDBETWEEN(1,100)+RANDBETWEEN(1,100)+RANDBETWEEN(1,100)</f>
        <v>442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2024-10-26T13:54:51Z</dcterms:modified>
</cp:coreProperties>
</file>