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mc:AlternateContent xmlns:mc="http://schemas.openxmlformats.org/markup-compatibility/2006">
    <mc:Choice Requires="x15">
      <x15ac:absPath xmlns:x15ac="http://schemas.microsoft.com/office/spreadsheetml/2010/11/ac" url="C:\A\Juegos\HSC\PCs\"/>
    </mc:Choice>
  </mc:AlternateContent>
  <xr:revisionPtr revIDLastSave="0" documentId="13_ncr:1_{446EE371-6119-4176-9EB1-2CC7C1371811}"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Feats" sheetId="23" r:id="rId3"/>
    <sheet name="Martial" sheetId="6" r:id="rId4"/>
    <sheet name="Equipment" sheetId="19" r:id="rId5"/>
  </sheets>
  <externalReferences>
    <externalReference r:id="rId6"/>
  </externalReferences>
  <definedNames>
    <definedName name="NoShade">'[1]Spell Sheet'!$FH$1</definedName>
    <definedName name="OLE_LINK1" localSheetId="2">Feats!$A$2</definedName>
    <definedName name="_xlnm.Print_Area" localSheetId="4">Equipment!#REF!</definedName>
    <definedName name="_xlnm.Print_Area" localSheetId="2">Feats!#REF!</definedName>
    <definedName name="_xlnm.Print_Area" localSheetId="3">Martial!#REF!</definedName>
    <definedName name="_xlnm.Print_Area" localSheetId="0">'Personal File'!$A$1:$H$16</definedName>
    <definedName name="_xlnm.Print_Area" localSheetId="1">Skills!$A$1:$K$27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 i="6" l="1"/>
  <c r="C7" i="6"/>
  <c r="C6" i="6"/>
  <c r="M27" i="6"/>
  <c r="M26" i="6"/>
  <c r="M25" i="6"/>
  <c r="M24" i="6"/>
  <c r="E42" i="15" l="1"/>
  <c r="E47" i="15"/>
  <c r="B9" i="4"/>
  <c r="H6" i="6" s="1"/>
  <c r="B5" i="15"/>
  <c r="B4" i="15"/>
  <c r="B3" i="15"/>
  <c r="E5" i="4"/>
  <c r="A4" i="23"/>
  <c r="I7" i="6"/>
  <c r="G19" i="19"/>
  <c r="C19" i="19"/>
  <c r="G16" i="19"/>
  <c r="H7" i="6" l="1"/>
  <c r="J7" i="6" s="1"/>
  <c r="B42" i="15"/>
  <c r="E13" i="4"/>
  <c r="B11" i="4" l="1"/>
  <c r="I6" i="6" l="1"/>
  <c r="J6" i="6" s="1"/>
  <c r="I12" i="6"/>
  <c r="I11" i="6"/>
  <c r="I8" i="6"/>
  <c r="I5" i="6"/>
  <c r="I4" i="6"/>
  <c r="I3" i="6"/>
  <c r="G9" i="19" l="1"/>
  <c r="C17" i="19" l="1"/>
  <c r="C9" i="19"/>
  <c r="C21" i="19" s="1"/>
  <c r="B21" i="19" s="1"/>
  <c r="H32" i="15" l="1"/>
  <c r="H31" i="15"/>
  <c r="H30" i="15"/>
  <c r="H29" i="15"/>
  <c r="H28" i="15"/>
  <c r="H27" i="15"/>
  <c r="H26" i="15"/>
  <c r="H25" i="15"/>
  <c r="H24" i="15"/>
  <c r="H23" i="15"/>
  <c r="H22" i="15"/>
  <c r="H21" i="15"/>
  <c r="H20" i="15"/>
  <c r="H19" i="15"/>
  <c r="H18" i="15"/>
  <c r="H17" i="15"/>
  <c r="H16" i="15"/>
  <c r="H15" i="15"/>
  <c r="H14" i="15"/>
  <c r="H13" i="15"/>
  <c r="H12" i="15"/>
  <c r="H11" i="15"/>
  <c r="H10" i="15"/>
  <c r="H9" i="15"/>
  <c r="H8" i="15"/>
  <c r="H7" i="15"/>
  <c r="E8" i="23" l="1"/>
  <c r="E12" i="4" l="1"/>
  <c r="G22" i="19" l="1"/>
  <c r="F20" i="15"/>
  <c r="H40" i="15"/>
  <c r="H39" i="15"/>
  <c r="H38" i="15"/>
  <c r="H37" i="15"/>
  <c r="H36" i="15"/>
  <c r="H35" i="15"/>
  <c r="H34" i="15"/>
  <c r="H33" i="15"/>
  <c r="F39" i="15" l="1"/>
  <c r="F33" i="15"/>
  <c r="F26" i="15"/>
  <c r="F23" i="15"/>
  <c r="F21" i="15"/>
  <c r="F16" i="15"/>
  <c r="F7" i="15"/>
  <c r="F9" i="15" l="1"/>
  <c r="H41" i="15" l="1"/>
  <c r="H5" i="15"/>
  <c r="H4" i="15"/>
  <c r="H3" i="15"/>
  <c r="H6" i="15"/>
  <c r="C16" i="4" l="1"/>
  <c r="C15" i="4"/>
  <c r="C14" i="4"/>
  <c r="C13" i="4"/>
  <c r="C12" i="4"/>
  <c r="B10" i="4" s="1"/>
  <c r="C11" i="4"/>
  <c r="E14" i="4" l="1"/>
  <c r="C3" i="6"/>
  <c r="H12" i="6"/>
  <c r="J12" i="6" s="1"/>
  <c r="C5" i="6"/>
  <c r="H5" i="6"/>
  <c r="J5" i="6" s="1"/>
  <c r="H3" i="6"/>
  <c r="J3" i="6" s="1"/>
  <c r="C4" i="6"/>
  <c r="H4" i="6"/>
  <c r="J4" i="6" s="1"/>
  <c r="E6" i="23"/>
  <c r="E3" i="23"/>
  <c r="E4" i="23"/>
  <c r="E5" i="23"/>
  <c r="E45" i="15"/>
  <c r="E44" i="15"/>
  <c r="E43" i="15"/>
  <c r="D34" i="15"/>
  <c r="E16" i="4"/>
  <c r="E15" i="4" s="1"/>
  <c r="H11" i="6"/>
  <c r="H8" i="6"/>
  <c r="J8" i="6" s="1"/>
  <c r="D24" i="15"/>
  <c r="D6" i="15"/>
  <c r="G6" i="15" s="1"/>
  <c r="D4" i="15"/>
  <c r="G4" i="15" s="1"/>
  <c r="D5" i="15"/>
  <c r="G5" i="15" s="1"/>
  <c r="D3" i="15"/>
  <c r="G3" i="15" s="1"/>
  <c r="D35" i="15"/>
  <c r="D37" i="15"/>
  <c r="D29" i="15"/>
  <c r="D39" i="15"/>
  <c r="D36" i="15"/>
  <c r="D38" i="15"/>
  <c r="D31" i="15"/>
  <c r="D19" i="15"/>
  <c r="D40" i="15"/>
  <c r="D27" i="15"/>
  <c r="D33" i="15"/>
  <c r="D14" i="15"/>
  <c r="D12" i="15"/>
  <c r="D41" i="15"/>
  <c r="D32" i="15"/>
  <c r="D30" i="15"/>
  <c r="D28" i="15"/>
  <c r="D26" i="15"/>
  <c r="D25" i="15"/>
  <c r="D23" i="15"/>
  <c r="D22" i="15"/>
  <c r="D21" i="15"/>
  <c r="D20" i="15"/>
  <c r="D18" i="15"/>
  <c r="D17" i="15"/>
  <c r="D16" i="15"/>
  <c r="D15" i="15"/>
  <c r="D13" i="15"/>
  <c r="D11" i="15"/>
  <c r="D10" i="15"/>
  <c r="D9" i="15"/>
  <c r="D8" i="15"/>
  <c r="D7" i="15"/>
  <c r="E34" i="15" l="1"/>
  <c r="G34" i="15"/>
  <c r="I34" i="15" s="1"/>
  <c r="J11" i="6"/>
  <c r="G24" i="15"/>
  <c r="I24" i="15" s="1"/>
  <c r="E24" i="15"/>
  <c r="E6" i="15"/>
  <c r="I6" i="15"/>
  <c r="E22" i="15"/>
  <c r="G22" i="15"/>
  <c r="E8" i="15"/>
  <c r="G8" i="15"/>
  <c r="E18" i="15"/>
  <c r="G18" i="15"/>
  <c r="E23" i="15"/>
  <c r="G23" i="15"/>
  <c r="E30" i="15"/>
  <c r="G30" i="15"/>
  <c r="E14" i="15"/>
  <c r="G14" i="15"/>
  <c r="E19" i="15"/>
  <c r="G19" i="15"/>
  <c r="E39" i="15"/>
  <c r="G39" i="15"/>
  <c r="E37" i="15"/>
  <c r="G37" i="15"/>
  <c r="E11" i="15"/>
  <c r="G11" i="15"/>
  <c r="E12" i="15"/>
  <c r="G12" i="15"/>
  <c r="E9" i="15"/>
  <c r="G9" i="15"/>
  <c r="E20" i="15"/>
  <c r="G20" i="15"/>
  <c r="E32" i="15"/>
  <c r="G32" i="15"/>
  <c r="E31" i="15"/>
  <c r="G31" i="15"/>
  <c r="E29" i="15"/>
  <c r="G29" i="15"/>
  <c r="E4" i="15"/>
  <c r="E7" i="15"/>
  <c r="G7" i="15"/>
  <c r="E28" i="15"/>
  <c r="G28" i="15"/>
  <c r="E13" i="15"/>
  <c r="G13" i="15"/>
  <c r="E15" i="15"/>
  <c r="G15" i="15"/>
  <c r="E25" i="15"/>
  <c r="G25" i="15"/>
  <c r="E33" i="15"/>
  <c r="G33" i="15"/>
  <c r="E10" i="15"/>
  <c r="G10" i="15"/>
  <c r="E16" i="15"/>
  <c r="G16" i="15"/>
  <c r="E21" i="15"/>
  <c r="G21" i="15"/>
  <c r="E26" i="15"/>
  <c r="G26" i="15"/>
  <c r="E41" i="15"/>
  <c r="G41" i="15"/>
  <c r="E27" i="15"/>
  <c r="G27" i="15"/>
  <c r="E38" i="15"/>
  <c r="G38" i="15"/>
  <c r="E35" i="15"/>
  <c r="G35" i="15"/>
  <c r="E17" i="15"/>
  <c r="G17" i="15"/>
  <c r="E40" i="15"/>
  <c r="G40" i="15"/>
  <c r="E36" i="15"/>
  <c r="G36" i="15"/>
  <c r="E3" i="15"/>
  <c r="E5" i="15"/>
  <c r="I3" i="15" l="1"/>
  <c r="I26" i="15"/>
  <c r="I16" i="15"/>
  <c r="I15" i="15"/>
  <c r="I28" i="15"/>
  <c r="I36" i="15"/>
  <c r="I17" i="15"/>
  <c r="I38" i="15"/>
  <c r="I41" i="15"/>
  <c r="I21" i="15"/>
  <c r="I10" i="15"/>
  <c r="I25" i="15"/>
  <c r="I13" i="15"/>
  <c r="I7" i="15"/>
  <c r="I29" i="15"/>
  <c r="I32" i="15"/>
  <c r="I9" i="15"/>
  <c r="I11" i="15"/>
  <c r="I37" i="15"/>
  <c r="I19" i="15"/>
  <c r="I30" i="15"/>
  <c r="I35" i="15"/>
  <c r="I27" i="15"/>
  <c r="I33" i="15"/>
  <c r="I4" i="15"/>
  <c r="I31" i="15"/>
  <c r="I20" i="15"/>
  <c r="I12" i="15"/>
  <c r="I39" i="15"/>
  <c r="I14" i="15"/>
  <c r="I23" i="15"/>
  <c r="I5" i="15"/>
  <c r="I40" i="15"/>
  <c r="I8" i="15"/>
  <c r="I18" i="15"/>
  <c r="I22"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9" authorId="0" shapeId="0" xr:uid="{C9036028-352C-4782-9135-756B2027C243}">
      <text>
        <r>
          <rPr>
            <i/>
            <sz val="12"/>
            <color indexed="81"/>
            <rFont val="Times New Roman"/>
            <family val="1"/>
          </rPr>
          <t>aid +1
haste +1
Negative Levels -4
Crushing Despair -2</t>
        </r>
      </text>
    </comment>
    <comment ref="C10" authorId="0" shapeId="0" xr:uid="{88AF2B61-E341-4D3C-A69F-136CA84DACB3}">
      <text>
        <r>
          <rPr>
            <sz val="12"/>
            <color indexed="81"/>
            <rFont val="Times New Roman"/>
            <family val="1"/>
          </rPr>
          <t xml:space="preserve">You can react more quickly than normal in a fight.
</t>
        </r>
        <r>
          <rPr>
            <b/>
            <sz val="12"/>
            <color indexed="81"/>
            <rFont val="Times New Roman"/>
            <family val="1"/>
          </rPr>
          <t xml:space="preserve">Benefit:  </t>
        </r>
        <r>
          <rPr>
            <sz val="12"/>
            <color indexed="81"/>
            <rFont val="Times New Roman"/>
            <family val="1"/>
          </rPr>
          <t xml:space="preserve">You get a +4 bonus on initiative checks.
</t>
        </r>
        <r>
          <rPr>
            <b/>
            <sz val="12"/>
            <color indexed="81"/>
            <rFont val="Times New Roman"/>
            <family val="1"/>
          </rPr>
          <t xml:space="preserve">Special:  </t>
        </r>
        <r>
          <rPr>
            <sz val="12"/>
            <color indexed="81"/>
            <rFont val="Times New Roman"/>
            <family val="1"/>
          </rPr>
          <t>A fighter may select Improved Initiative as one of his fighter bonus feats (see page 38).
PHB 96</t>
        </r>
      </text>
    </comment>
    <comment ref="E11" authorId="0" shapeId="0" xr:uid="{E44BC9F8-DC49-4A57-BC57-E5D7E4EF7837}">
      <text>
        <r>
          <rPr>
            <sz val="12"/>
            <color indexed="81"/>
            <rFont val="Times New Roman"/>
            <family val="1"/>
          </rPr>
          <t>See PHB 162</t>
        </r>
      </text>
    </comment>
    <comment ref="E13" authorId="0" shapeId="0" xr:uid="{00000000-0006-0000-0000-000006000000}">
      <text>
        <r>
          <rPr>
            <sz val="12"/>
            <color indexed="81"/>
            <rFont val="Times New Roman"/>
            <family val="1"/>
          </rPr>
          <t>[(4 * 8 Hound Archon) * 75%] +
[(0 * X Xxxxxx) * 75%] +
(4 * 2 Con)</t>
        </r>
      </text>
    </comment>
    <comment ref="E14" authorId="0" shapeId="0" xr:uid="{FE6F6CBB-A87B-4CB4-895F-6E1DC72F244D}">
      <text>
        <r>
          <rPr>
            <i/>
            <sz val="12"/>
            <color indexed="81"/>
            <rFont val="Times New Roman"/>
            <family val="1"/>
          </rPr>
          <t>protection from evil +2
haste +1</t>
        </r>
      </text>
    </comment>
    <comment ref="E15" authorId="0" shapeId="0" xr:uid="{00000000-0006-0000-0000-000009000000}">
      <text>
        <r>
          <rPr>
            <i/>
            <sz val="12"/>
            <color indexed="81"/>
            <rFont val="Times New Roman"/>
            <family val="1"/>
          </rPr>
          <t>protection from evil +2</t>
        </r>
      </text>
    </comment>
    <comment ref="E16" authorId="0" shapeId="0" xr:uid="{2B63F6EE-E664-4C18-87C2-B960A2A7F654}">
      <text>
        <r>
          <rPr>
            <i/>
            <sz val="12"/>
            <color indexed="81"/>
            <rFont val="Times New Roman"/>
            <family val="1"/>
          </rPr>
          <t>protection from evil +2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11" authorId="0" shapeId="0" xr:uid="{25EA40DC-139B-4E64-9FEF-B6FA32EA2A75}">
      <text>
        <r>
          <rPr>
            <sz val="12"/>
            <color indexed="81"/>
            <rFont val="Times New Roman"/>
            <family val="1"/>
          </rPr>
          <t xml:space="preserve">You can fight with a weapon in each hand. You can make one extra attack each round with the second weapon.
</t>
        </r>
        <r>
          <rPr>
            <b/>
            <sz val="12"/>
            <color indexed="81"/>
            <rFont val="Times New Roman"/>
            <family val="1"/>
          </rPr>
          <t xml:space="preserve">Prerequisite:  </t>
        </r>
        <r>
          <rPr>
            <sz val="12"/>
            <color indexed="81"/>
            <rFont val="Times New Roman"/>
            <family val="1"/>
          </rPr>
          <t xml:space="preserve">Dex 15.
</t>
        </r>
        <r>
          <rPr>
            <b/>
            <sz val="12"/>
            <color indexed="81"/>
            <rFont val="Times New Roman"/>
            <family val="1"/>
          </rPr>
          <t xml:space="preserve">Benefit:  </t>
        </r>
        <r>
          <rPr>
            <sz val="12"/>
            <color indexed="81"/>
            <rFont val="Times New Roman"/>
            <family val="1"/>
          </rPr>
          <t xml:space="preserve">Your penalties on attack rolls for fighting with two weapons are reduced. The penalty for your primary hand lessens by 2 and the one for your off hand lessens by 6.
</t>
        </r>
        <r>
          <rPr>
            <b/>
            <sz val="12"/>
            <color indexed="81"/>
            <rFont val="Times New Roman"/>
            <family val="1"/>
          </rPr>
          <t xml:space="preserve">Normal:  </t>
        </r>
        <r>
          <rPr>
            <sz val="12"/>
            <color indexed="81"/>
            <rFont val="Times New Roman"/>
            <family val="1"/>
          </rPr>
          <t xml:space="preserve">See Two-Weapon Fighting, page 160, and Table 8–10: Two-Weapon Fighting Penalties, page 160.
</t>
        </r>
        <r>
          <rPr>
            <b/>
            <sz val="12"/>
            <color indexed="81"/>
            <rFont val="Times New Roman"/>
            <family val="1"/>
          </rPr>
          <t xml:space="preserve">Special:  </t>
        </r>
        <r>
          <rPr>
            <sz val="12"/>
            <color indexed="81"/>
            <rFont val="Times New Roman"/>
            <family val="1"/>
          </rPr>
          <t>A 2nd-level ranger who has chosen the two-weapon combat style is treated as having Two-Weapon Fighting, even if he does not have the prerequisite for it, but only when he is wearing light or no armor (see page 48).
A fighter may select Two-Weapon Fighting as one of his fighter bonus feats (see page 38).
PHB 102</t>
        </r>
      </text>
    </comment>
    <comment ref="A12" authorId="0" shapeId="0" xr:uid="{C6B14F2B-5C42-4E77-AA86-2CEAEBADE35C}">
      <text>
        <r>
          <rPr>
            <sz val="12"/>
            <color indexed="81"/>
            <rFont val="Times New Roman"/>
            <family val="1"/>
          </rPr>
          <t xml:space="preserve">You can focus holy power into your natural attacks.
</t>
        </r>
        <r>
          <rPr>
            <b/>
            <sz val="12"/>
            <color indexed="81"/>
            <rFont val="Times New Roman"/>
            <family val="1"/>
          </rPr>
          <t xml:space="preserve">Prerequisites: </t>
        </r>
        <r>
          <rPr>
            <sz val="12"/>
            <color indexed="81"/>
            <rFont val="Times New Roman"/>
            <family val="1"/>
          </rPr>
          <t xml:space="preserve">One or more natural weapon attacks, base attack bonus +5.
</t>
        </r>
        <r>
          <rPr>
            <b/>
            <sz val="12"/>
            <color indexed="81"/>
            <rFont val="Times New Roman"/>
            <family val="1"/>
          </rPr>
          <t xml:space="preserve">Benefit: </t>
        </r>
        <r>
          <rPr>
            <sz val="12"/>
            <color indexed="81"/>
            <rFont val="Times New Roman"/>
            <family val="1"/>
          </rPr>
          <t>Each time you deal damage with a natural attack, you deal 1 extra point of damage to evil creatures, or 1d4 points to evil outsiders and evil undead. In addition, your natural attacks are considered good-aligned for purposes of overcoming damage reduction.
PHB 98</t>
        </r>
      </text>
    </comment>
    <comment ref="A13" authorId="0" shapeId="0" xr:uid="{FAD05F38-6221-4992-8F34-597D27E3100D}">
      <text>
        <r>
          <rPr>
            <sz val="12"/>
            <color indexed="81"/>
            <rFont val="Times New Roman"/>
            <family val="1"/>
          </rPr>
          <t xml:space="preserve">You are adept at dodging blows.
</t>
        </r>
        <r>
          <rPr>
            <b/>
            <sz val="12"/>
            <color indexed="81"/>
            <rFont val="Times New Roman"/>
            <family val="1"/>
          </rPr>
          <t xml:space="preserve">Prerequisite:  </t>
        </r>
        <r>
          <rPr>
            <sz val="12"/>
            <color indexed="81"/>
            <rFont val="Times New Roman"/>
            <family val="1"/>
          </rPr>
          <t xml:space="preserve">Dex 13.
</t>
        </r>
        <r>
          <rPr>
            <b/>
            <sz val="12"/>
            <color indexed="81"/>
            <rFont val="Times New Roman"/>
            <family val="1"/>
          </rPr>
          <t xml:space="preserve">Benefit:  </t>
        </r>
        <r>
          <rPr>
            <sz val="12"/>
            <color indexed="81"/>
            <rFont val="Times New Roman"/>
            <family val="1"/>
          </rPr>
          <t>During your action, you designate an opponent and receive a +1 dodge bonus to Armor Class against attacks from that opponent.  You can select a new opponent on any action.
A condition that makes you lose your Dexterity bonus to Armor Class (if any) also makes you lose dodge bonuses. Also, dodge bonuses (such as this one and a dwarf’s racial bonus on dodge attempts against giants) stack with each other, unlike most other types of bonuses.
PHB 93</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K3" authorId="0" shapeId="0" xr:uid="{99380EA4-6247-45D4-97F2-75D36AE4D1AC}">
      <text>
        <r>
          <rPr>
            <sz val="12"/>
            <color indexed="81"/>
            <rFont val="Times New Roman"/>
            <family val="1"/>
          </rPr>
          <t xml:space="preserve">You can focus holy power into your natural attacks.
</t>
        </r>
        <r>
          <rPr>
            <b/>
            <sz val="12"/>
            <color indexed="81"/>
            <rFont val="Times New Roman"/>
            <family val="1"/>
          </rPr>
          <t xml:space="preserve">Prerequisites: </t>
        </r>
        <r>
          <rPr>
            <sz val="12"/>
            <color indexed="81"/>
            <rFont val="Times New Roman"/>
            <family val="1"/>
          </rPr>
          <t xml:space="preserve">One or more natural weapon attacks, base attack bonus +5.
</t>
        </r>
        <r>
          <rPr>
            <b/>
            <sz val="12"/>
            <color indexed="81"/>
            <rFont val="Times New Roman"/>
            <family val="1"/>
          </rPr>
          <t xml:space="preserve">Benefit: </t>
        </r>
        <r>
          <rPr>
            <sz val="12"/>
            <color indexed="81"/>
            <rFont val="Times New Roman"/>
            <family val="1"/>
          </rPr>
          <t>Each time you deal damage with a natural attack, you deal 1 extra point of damage to evil creatures, or 1d4 points to evil outsiders and evil undead. In addition, your natural attacks are considered good-aligned for purposes of overcoming damage reduction.
PHB 98</t>
        </r>
      </text>
    </comment>
    <comment ref="K4" authorId="0" shapeId="0" xr:uid="{40F94C87-2A0E-45BF-B05B-2519BD248B83}">
      <text>
        <r>
          <rPr>
            <sz val="12"/>
            <color indexed="81"/>
            <rFont val="Times New Roman"/>
            <family val="1"/>
          </rPr>
          <t xml:space="preserve">You can focus holy power into your natural attacks.
</t>
        </r>
        <r>
          <rPr>
            <b/>
            <sz val="12"/>
            <color indexed="81"/>
            <rFont val="Times New Roman"/>
            <family val="1"/>
          </rPr>
          <t xml:space="preserve">Prerequisites: </t>
        </r>
        <r>
          <rPr>
            <sz val="12"/>
            <color indexed="81"/>
            <rFont val="Times New Roman"/>
            <family val="1"/>
          </rPr>
          <t xml:space="preserve">One or more natural weapon attacks, base attack bonus +5.
</t>
        </r>
        <r>
          <rPr>
            <b/>
            <sz val="12"/>
            <color indexed="81"/>
            <rFont val="Times New Roman"/>
            <family val="1"/>
          </rPr>
          <t xml:space="preserve">Benefit: </t>
        </r>
        <r>
          <rPr>
            <sz val="12"/>
            <color indexed="81"/>
            <rFont val="Times New Roman"/>
            <family val="1"/>
          </rPr>
          <t>Each time you deal damage with a natural attack, you deal 1 extra point of damage to evil creatures, or 1d4 points to evil outsiders and evil undead. In addition, your natural attacks are considered good-aligned for purposes of overcoming damage reduction.
PHB 98</t>
        </r>
      </text>
    </comment>
    <comment ref="K5" authorId="0" shapeId="0" xr:uid="{35099455-46D1-457F-89B4-0828BD940D91}">
      <text>
        <r>
          <rPr>
            <sz val="12"/>
            <color indexed="81"/>
            <rFont val="Times New Roman"/>
            <family val="1"/>
          </rPr>
          <t xml:space="preserve">You can focus holy power into your natural attacks.
</t>
        </r>
        <r>
          <rPr>
            <b/>
            <sz val="12"/>
            <color indexed="81"/>
            <rFont val="Times New Roman"/>
            <family val="1"/>
          </rPr>
          <t xml:space="preserve">Prerequisites: </t>
        </r>
        <r>
          <rPr>
            <sz val="12"/>
            <color indexed="81"/>
            <rFont val="Times New Roman"/>
            <family val="1"/>
          </rPr>
          <t xml:space="preserve">One or more natural weapon attacks, base attack bonus +5.
</t>
        </r>
        <r>
          <rPr>
            <b/>
            <sz val="12"/>
            <color indexed="81"/>
            <rFont val="Times New Roman"/>
            <family val="1"/>
          </rPr>
          <t xml:space="preserve">Benefit: </t>
        </r>
        <r>
          <rPr>
            <sz val="12"/>
            <color indexed="81"/>
            <rFont val="Times New Roman"/>
            <family val="1"/>
          </rPr>
          <t>Each time you deal damage with a natural attack, you deal 1 extra point of damage to evil creatures, or 1d4 points to evil outsiders and evil undead. In addition, your natural attacks are considered good-aligned for purposes of overcoming damage reduction.
PHB 98</t>
        </r>
      </text>
    </comment>
    <comment ref="D14" authorId="0" shapeId="0" xr:uid="{00000000-0006-0000-0500-00000A000000}">
      <text>
        <r>
          <rPr>
            <sz val="12"/>
            <color indexed="81"/>
            <rFont val="Times New Roman"/>
            <family val="1"/>
          </rPr>
          <t>Balance, Climb, Escape Artist, Hide, Jump, Move Silently, Sleight of Hand, Tumble.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5" authorId="0" shapeId="0" xr:uid="{DD2752D0-6829-4F80-A097-9E7067E8C7FD}">
      <text>
        <r>
          <rPr>
            <b/>
            <sz val="12"/>
            <color indexed="81"/>
            <rFont val="Times New Roman"/>
            <family val="1"/>
          </rPr>
          <t xml:space="preserve">Price (Item Level): </t>
        </r>
        <r>
          <rPr>
            <sz val="12"/>
            <color indexed="81"/>
            <rFont val="Times New Roman"/>
            <family val="1"/>
          </rPr>
          <t xml:space="preserve">1,350 gp (5th)
</t>
        </r>
        <r>
          <rPr>
            <b/>
            <sz val="12"/>
            <color indexed="81"/>
            <rFont val="Times New Roman"/>
            <family val="1"/>
          </rPr>
          <t xml:space="preserve">Body Slot: </t>
        </r>
        <r>
          <rPr>
            <sz val="12"/>
            <color indexed="81"/>
            <rFont val="Times New Roman"/>
            <family val="1"/>
          </rPr>
          <t xml:space="preserve">Throat
</t>
        </r>
        <r>
          <rPr>
            <b/>
            <sz val="12"/>
            <color indexed="81"/>
            <rFont val="Times New Roman"/>
            <family val="1"/>
          </rPr>
          <t xml:space="preserve">Caster Level: </t>
        </r>
        <r>
          <rPr>
            <sz val="12"/>
            <color indexed="81"/>
            <rFont val="Times New Roman"/>
            <family val="1"/>
          </rPr>
          <t xml:space="preserve">12th
</t>
        </r>
        <r>
          <rPr>
            <b/>
            <sz val="12"/>
            <color indexed="81"/>
            <rFont val="Times New Roman"/>
            <family val="1"/>
          </rPr>
          <t xml:space="preserve">Aura: </t>
        </r>
        <r>
          <rPr>
            <sz val="12"/>
            <color indexed="81"/>
            <rFont val="Times New Roman"/>
            <family val="1"/>
          </rPr>
          <t xml:space="preserve">Strong; (DC 21) transmutation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1 lb.
This necklace consists of a leather thong strung with dragon’s teeth.
All attacks you make with natural weapons or unarmed strikes while wearing this amulet overcome damage reduction as through they were magic weapons.
(The attacks don’t gain an enhancement bonus, just the ability to overcome some creatures’ damage reduction.)
MIC 148</t>
        </r>
      </text>
    </comment>
    <comment ref="A7" authorId="0" shapeId="0" xr:uid="{D0474837-F38F-443B-BE3F-7307B36147EF}">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 ref="A12" authorId="0" shapeId="0" xr:uid="{5CBFC19A-4048-4142-B4A9-C4A3D7B7E63B}">
      <text>
        <r>
          <rPr>
            <b/>
            <sz val="12"/>
            <color indexed="81"/>
            <rFont val="Times New Roman"/>
            <family val="1"/>
          </rPr>
          <t xml:space="preserve">Price (Item Level):  </t>
        </r>
        <r>
          <rPr>
            <sz val="12"/>
            <color indexed="81"/>
            <rFont val="Times New Roman"/>
            <family val="1"/>
          </rPr>
          <t xml:space="preserve">350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conjuration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2 lb.
This nondescript, small leather pouch has a light blue silk drawstring.
This pouch contains enough trail rations to feed a Medium creature for one day.  Every morning at sunrise, the pouch magically creates another day’s worth of rations.
</t>
        </r>
        <r>
          <rPr>
            <b/>
            <sz val="12"/>
            <color indexed="81"/>
            <rFont val="Times New Roman"/>
            <family val="1"/>
          </rPr>
          <t xml:space="preserve">Prerequisites:  </t>
        </r>
        <r>
          <rPr>
            <sz val="12"/>
            <color indexed="81"/>
            <rFont val="Times New Roman"/>
            <family val="1"/>
          </rPr>
          <t xml:space="preserve">Craft Wondrous Item,
create food and water.
</t>
        </r>
        <r>
          <rPr>
            <b/>
            <sz val="12"/>
            <color indexed="81"/>
            <rFont val="Times New Roman"/>
            <family val="1"/>
          </rPr>
          <t xml:space="preserve">Cost to Create:  </t>
        </r>
        <r>
          <rPr>
            <sz val="12"/>
            <color indexed="81"/>
            <rFont val="Times New Roman"/>
            <family val="1"/>
          </rPr>
          <t>175 gp, 14 XP, 1 day.
MIC 160</t>
        </r>
      </text>
    </comment>
    <comment ref="A16" authorId="0" shapeId="0" xr:uid="{CE32A9A1-8A95-4369-A7FA-CEBDFDC294DE}">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enchantment
</t>
        </r>
        <r>
          <rPr>
            <b/>
            <sz val="12"/>
            <color indexed="81"/>
            <rFont val="Times New Roman"/>
            <family val="1"/>
          </rPr>
          <t xml:space="preserve">Activation: </t>
        </r>
        <r>
          <rPr>
            <sz val="12"/>
            <color indexed="81"/>
            <rFont val="Times New Roman"/>
            <family val="1"/>
          </rPr>
          <t>Full-round (manipulation); see text
Weight: 6 lb.This woolen sleeping bag is embroidered with stars and moons in silver and blue thread, and it smells of lavender.
A magic bedroll grants you a comfortable and peaceful night’s sleep. As long as you lie in it, you gain the benefi t of an endure elements spell. After sleeping for 8 hours in the bedroll, you recover 1 hit point per character level, in addition to the hit points you recover normally. Getting into or out of a magic bedroll is a full-round action.
MIC 163</t>
        </r>
      </text>
    </comment>
    <comment ref="A20" authorId="0" shapeId="0" xr:uid="{098298C0-06CC-43F7-AA20-19BE9E56E25B}">
      <text>
        <r>
          <rPr>
            <b/>
            <sz val="12"/>
            <color indexed="81"/>
            <rFont val="Times New Roman"/>
            <family val="1"/>
          </rPr>
          <t xml:space="preserve">Price (Item Level): </t>
        </r>
        <r>
          <rPr>
            <sz val="12"/>
            <color indexed="81"/>
            <rFont val="Times New Roman"/>
            <family val="1"/>
          </rPr>
          <t xml:space="preserve">200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Standard (command)
</t>
        </r>
        <r>
          <rPr>
            <b/>
            <sz val="12"/>
            <color indexed="81"/>
            <rFont val="Times New Roman"/>
            <family val="1"/>
          </rPr>
          <t xml:space="preserve">Weight: </t>
        </r>
        <r>
          <rPr>
            <sz val="12"/>
            <color indexed="81"/>
            <rFont val="Times New Roman"/>
            <family val="1"/>
          </rPr>
          <t>—
This common-looking brown clay mug has persistent stains just under the rim.
Three times per day, when you recite the command word, this mug fi lls with 12 ounces of water, cheap ale, or watery wine (your choice).
MIC 160</t>
        </r>
      </text>
    </comment>
  </commentList>
</comments>
</file>

<file path=xl/sharedStrings.xml><?xml version="1.0" encoding="utf-8"?>
<sst xmlns="http://schemas.openxmlformats.org/spreadsheetml/2006/main" count="333" uniqueCount="201">
  <si>
    <t>Level</t>
  </si>
  <si>
    <t>Properties</t>
  </si>
  <si>
    <t>Melee Weapon</t>
  </si>
  <si>
    <t>Qty.</t>
  </si>
  <si>
    <t>Ranged Weapon</t>
  </si>
  <si>
    <t>Rng.</t>
  </si>
  <si>
    <t>Skills</t>
  </si>
  <si>
    <t>Concentration</t>
  </si>
  <si>
    <t>AC Mod.</t>
  </si>
  <si>
    <t>Handle Animal</t>
  </si>
  <si>
    <t>Move Silently</t>
  </si>
  <si>
    <t>Ride</t>
  </si>
  <si>
    <t>Search</t>
  </si>
  <si>
    <t>Swim</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</si>
  <si>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</si>
  <si>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</si>
  <si>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</si>
  <si>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</si>
  <si>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</si>
  <si>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</si>
  <si>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</si>
  <si>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</si>
  <si>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</si>
  <si>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</si>
  <si>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</si>
  <si>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</si>
  <si>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</si>
  <si>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</si>
  <si>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</si>
  <si>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</si>
  <si>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</si>
  <si>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</si>
  <si>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</si>
  <si>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</si>
  <si>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</si>
  <si>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</si>
  <si>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</si>
  <si>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</si>
  <si>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</si>
  <si>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</si>
  <si>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</si>
  <si>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</si>
  <si>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</si>
  <si>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</si>
  <si>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</si>
  <si>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</si>
  <si>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</si>
  <si>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</si>
  <si>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</si>
  <si>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</si>
  <si>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</si>
  <si>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</si>
  <si>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</si>
  <si>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</si>
  <si>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</si>
  <si>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Fortitude</t>
  </si>
  <si>
    <t>Reflex</t>
  </si>
  <si>
    <t>Will</t>
  </si>
  <si>
    <t>Armor &amp; Shield</t>
  </si>
  <si>
    <t>Missiles</t>
  </si>
  <si>
    <t>Spell</t>
  </si>
  <si>
    <t>Languages</t>
  </si>
  <si>
    <t>Equipment Worn</t>
  </si>
  <si>
    <t>Item</t>
  </si>
  <si>
    <t>Effects/</t>
  </si>
  <si>
    <t>Notes</t>
  </si>
  <si>
    <t>Check</t>
  </si>
  <si>
    <t>Arcane</t>
  </si>
  <si>
    <t>Speed</t>
  </si>
  <si>
    <t>Perform:  (type)</t>
  </si>
  <si>
    <t>Sleight of Hand</t>
  </si>
  <si>
    <t>Survival</t>
  </si>
  <si>
    <t>Atk</t>
  </si>
  <si>
    <t>Roll</t>
  </si>
  <si>
    <t>Simple and Martial Weapons</t>
  </si>
  <si>
    <t>Scrolls and Potions</t>
  </si>
  <si>
    <t>CLev</t>
  </si>
  <si>
    <t>Value</t>
  </si>
  <si>
    <t>Male</t>
  </si>
  <si>
    <t>Piercing</t>
  </si>
  <si>
    <t>Total Equity:</t>
  </si>
  <si>
    <t>-</t>
  </si>
  <si>
    <t>Skill/Save</t>
  </si>
  <si>
    <t>Weapons and Armor</t>
  </si>
  <si>
    <t>Weapon Proficiency</t>
  </si>
  <si>
    <t>Played by Edward Kilcullen</t>
  </si>
  <si>
    <t>Hound Archon</t>
  </si>
  <si>
    <t>Dmg</t>
  </si>
  <si>
    <t>Hound Archon 1</t>
  </si>
  <si>
    <t>Bite</t>
  </si>
  <si>
    <t>20</t>
  </si>
  <si>
    <t>Archon Features</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</si>
  <si>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</si>
  <si>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19-20/x2</t>
  </si>
  <si>
    <t>Slashing</t>
  </si>
  <si>
    <t>1d4</t>
  </si>
  <si>
    <t>Race</t>
  </si>
  <si>
    <t>Subtype</t>
  </si>
  <si>
    <t>Class</t>
  </si>
  <si>
    <t>Region</t>
  </si>
  <si>
    <t>Height</t>
  </si>
  <si>
    <t>Sex</t>
  </si>
  <si>
    <t>Weight</t>
  </si>
  <si>
    <t>Age</t>
  </si>
  <si>
    <t>Alignment</t>
  </si>
  <si>
    <t>Deity</t>
  </si>
  <si>
    <t>Attack Bonus</t>
  </si>
  <si>
    <t>Initiative</t>
  </si>
  <si>
    <t>Strength</t>
  </si>
  <si>
    <t>Lb. Capacity</t>
  </si>
  <si>
    <t>Dexterity</t>
  </si>
  <si>
    <t>Lb. Carried</t>
  </si>
  <si>
    <t>Constitution</t>
  </si>
  <si>
    <t>Hit Points</t>
  </si>
  <si>
    <t>Intelligence</t>
  </si>
  <si>
    <t>Touch AC</t>
  </si>
  <si>
    <t>Wisdom</t>
  </si>
  <si>
    <t>FF AC</t>
  </si>
  <si>
    <t>Charisma</t>
  </si>
  <si>
    <t>AC</t>
  </si>
  <si>
    <t>Good</t>
  </si>
  <si>
    <t>Hound Archon 2</t>
  </si>
  <si>
    <t>Hound Archon 3</t>
  </si>
  <si>
    <t>Slam 1</t>
  </si>
  <si>
    <t>Slam 2</t>
  </si>
  <si>
    <t>Bludgeon</t>
  </si>
  <si>
    <t>Natural Armor</t>
  </si>
  <si>
    <t>DC</t>
  </si>
  <si>
    <t>Message</t>
  </si>
  <si>
    <t>Aid</t>
  </si>
  <si>
    <t>Continual Flame</t>
  </si>
  <si>
    <t>Detect Evil</t>
  </si>
  <si>
    <t>Soft Equity Ceiling:</t>
  </si>
  <si>
    <t>Hound Archon 4</t>
  </si>
  <si>
    <t>CL:</t>
  </si>
  <si>
    <t>1d8</t>
  </si>
  <si>
    <t>Speak Language:  [language]</t>
  </si>
  <si>
    <t>Thrown Item</t>
  </si>
  <si>
    <t>varies</t>
  </si>
  <si>
    <t>10’</t>
  </si>
  <si>
    <t>Gold Coins</t>
  </si>
  <si>
    <t>Belt with Pouches</t>
  </si>
  <si>
    <t>Feats</t>
  </si>
  <si>
    <t>At-Will Abilities</t>
  </si>
  <si>
    <t>Touch/Grapple</t>
  </si>
  <si>
    <t>HD</t>
  </si>
  <si>
    <t>one</t>
  </si>
  <si>
    <t>+4 vs. Poison</t>
  </si>
  <si>
    <t>Sanctify Natural Attack</t>
  </si>
  <si>
    <t>Kassuq</t>
  </si>
  <si>
    <t>6’ 1”</t>
  </si>
  <si>
    <t>195 lbs.</t>
  </si>
  <si>
    <t>Chaotic Good</t>
  </si>
  <si>
    <t>Torm</t>
  </si>
  <si>
    <t xml:space="preserve">Great Glacier </t>
  </si>
  <si>
    <t>Craft:  Blacksmith</t>
  </si>
  <si>
    <t>CROSS-CLASS</t>
  </si>
  <si>
    <t>Knowledge:  [type]</t>
  </si>
  <si>
    <t>Profession:  Cook</t>
  </si>
  <si>
    <t>Common, Celestial</t>
  </si>
  <si>
    <t>No Armor or Shields</t>
  </si>
  <si>
    <t>Scent 10’</t>
  </si>
  <si>
    <t>Regional:  Surefooted</t>
  </si>
  <si>
    <t>1st:  Quick Change</t>
  </si>
  <si>
    <t>3rd:  Improved Initiative</t>
  </si>
  <si>
    <t>Backpack</t>
  </si>
  <si>
    <t>Everfull Mug</t>
  </si>
  <si>
    <t>Rope, 50’ Silk</t>
  </si>
  <si>
    <t>Cold Weather Outfit</t>
  </si>
  <si>
    <t>MW Artisan’s Tools</t>
  </si>
  <si>
    <t>Tent</t>
  </si>
  <si>
    <t>Hammer</t>
  </si>
  <si>
    <t>Traveler’s Outfit</t>
  </si>
  <si>
    <t>five</t>
  </si>
  <si>
    <t>Wyrmfang Amulet</t>
  </si>
  <si>
    <t>1d3</t>
  </si>
  <si>
    <r>
      <t xml:space="preserve">Potion of </t>
    </r>
    <r>
      <rPr>
        <i/>
        <sz val="12"/>
        <rFont val="Times New Roman"/>
        <family val="1"/>
      </rPr>
      <t>Cure Light Wounds</t>
    </r>
  </si>
  <si>
    <r>
      <t xml:space="preserve">Potion of </t>
    </r>
    <r>
      <rPr>
        <i/>
        <sz val="12"/>
        <rFont val="Times New Roman"/>
        <family val="1"/>
      </rPr>
      <t>Darkvision</t>
    </r>
  </si>
  <si>
    <r>
      <t xml:space="preserve">Potion of </t>
    </r>
    <r>
      <rPr>
        <i/>
        <sz val="12"/>
        <rFont val="Times New Roman"/>
        <family val="1"/>
      </rPr>
      <t>Mage Armor</t>
    </r>
  </si>
  <si>
    <t>Flint &amp; Steel</t>
  </si>
  <si>
    <t>Winter Blankets</t>
  </si>
  <si>
    <t>Trail Rations</t>
  </si>
  <si>
    <r>
      <t xml:space="preserve">Longsword, </t>
    </r>
    <r>
      <rPr>
        <i/>
        <sz val="12"/>
        <rFont val="Times New Roman"/>
        <family val="1"/>
      </rPr>
      <t>haste</t>
    </r>
  </si>
  <si>
    <t>Electricity Resistance 10</t>
  </si>
  <si>
    <t>Heward’s Handy Haversack</t>
  </si>
  <si>
    <t>% Full:</t>
  </si>
  <si>
    <t>Hound Archon 5</t>
  </si>
  <si>
    <t>Longsword +1</t>
  </si>
  <si>
    <t>Everlasting Rations</t>
  </si>
  <si>
    <r>
      <t xml:space="preserve">Potion of </t>
    </r>
    <r>
      <rPr>
        <i/>
        <sz val="12"/>
        <rFont val="Times New Roman"/>
        <family val="1"/>
      </rPr>
      <t>Bull’s Strength</t>
    </r>
  </si>
  <si>
    <t>60’</t>
  </si>
  <si>
    <t>Biped Speed</t>
  </si>
  <si>
    <t>Canid Speed:</t>
  </si>
  <si>
    <t>40’</t>
  </si>
  <si>
    <t>Magic Bedroll</t>
  </si>
  <si>
    <t>MW Harpoon</t>
  </si>
  <si>
    <t>1d10</t>
  </si>
  <si>
    <t>30’</t>
  </si>
  <si>
    <t>x2</t>
  </si>
  <si>
    <t>Lodge DC 10+dmg</t>
  </si>
  <si>
    <t>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</si>
</sst>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474]"/>
  </numFmts>
  <fonts count="55" x14ac:knownFonts="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81"/>
      <name val="Times New Roman"/>
      <family val="1"/>
    </font>
    <font>
      <b/>
      <sz val="13"/>
      <color rgb="FF00CC00"/>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sz val="12"/>
      <name val="Times New Roman"/>
      <family val="1"/>
      <charset val="1"/>
    </font>
    <font>
      <sz val="10"/>
      <name val="Arial"/>
      <family val="2"/>
    </font>
    <font>
      <b/>
      <sz val="12"/>
      <color indexed="81"/>
      <name val="Times New Roman"/>
      <family val="1"/>
    </font>
    <font>
      <i/>
      <sz val="16"/>
      <color indexed="21"/>
      <name val="Times New Roman"/>
      <family val="1"/>
    </font>
    <font>
      <i/>
      <sz val="16"/>
      <color indexed="53"/>
      <name val="Times New Roman"/>
      <family val="1"/>
    </font>
    <font>
      <i/>
      <sz val="16"/>
      <color indexed="10"/>
      <name val="Times New Roman"/>
      <family val="1"/>
    </font>
    <font>
      <i/>
      <sz val="16"/>
      <color indexed="12"/>
      <name val="Times New Roman"/>
      <family val="1"/>
    </font>
    <font>
      <sz val="12"/>
      <color theme="1"/>
      <name val="Wingdings"/>
      <charset val="2"/>
    </font>
    <font>
      <i/>
      <sz val="22"/>
      <color theme="8" tint="0.39997558519241921"/>
      <name val="Times New Roman"/>
      <family val="1"/>
    </font>
    <font>
      <b/>
      <sz val="12"/>
      <color theme="8" tint="0.39997558519241921"/>
      <name val="Times New Roman"/>
      <family val="1"/>
    </font>
    <font>
      <i/>
      <sz val="12"/>
      <color theme="8" tint="0.79998168889431442"/>
      <name val="Times New Roman"/>
      <family val="1"/>
    </font>
    <font>
      <b/>
      <sz val="13"/>
      <color rgb="FF00B0F0"/>
      <name val="Times New Roman"/>
      <family val="1"/>
    </font>
    <font>
      <i/>
      <sz val="12"/>
      <name val="Times New Roman"/>
      <family val="1"/>
    </font>
    <font>
      <i/>
      <sz val="17"/>
      <name val="Times New Roman"/>
      <family val="1"/>
    </font>
  </fonts>
  <fills count="18">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11"/>
        <bgColor indexed="64"/>
      </patternFill>
    </fill>
    <fill>
      <patternFill patternType="solid">
        <fgColor indexed="12"/>
        <bgColor indexed="64"/>
      </patternFill>
    </fill>
    <fill>
      <patternFill patternType="solid">
        <fgColor rgb="FF7030A0"/>
        <bgColor indexed="64"/>
      </patternFill>
    </fill>
    <fill>
      <patternFill patternType="solid">
        <fgColor theme="0" tint="-0.249977111117893"/>
        <bgColor indexed="64"/>
      </patternFill>
    </fill>
    <fill>
      <patternFill patternType="solid">
        <fgColor rgb="FFFF0000"/>
        <bgColor indexed="64"/>
      </patternFill>
    </fill>
    <fill>
      <patternFill patternType="solid">
        <fgColor rgb="FFCCFFCC"/>
        <bgColor indexed="64"/>
      </patternFill>
    </fill>
    <fill>
      <patternFill patternType="solid">
        <fgColor theme="0"/>
        <bgColor indexed="64"/>
      </patternFill>
    </fill>
    <fill>
      <patternFill patternType="solid">
        <fgColor rgb="FF33CC33"/>
        <bgColor indexed="64"/>
      </patternFill>
    </fill>
    <fill>
      <patternFill patternType="solid">
        <fgColor rgb="FF9900FF"/>
        <bgColor indexed="64"/>
      </patternFill>
    </fill>
    <fill>
      <patternFill patternType="solid">
        <fgColor theme="0" tint="-0.14999847407452621"/>
        <bgColor indexed="64"/>
      </patternFill>
    </fill>
  </fills>
  <borders count="119">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double">
        <color indexed="64"/>
      </right>
      <top style="hair">
        <color indexed="64"/>
      </top>
      <bottom style="double">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medium">
        <color indexed="64"/>
      </left>
      <right style="thin">
        <color indexed="64"/>
      </right>
      <top/>
      <bottom style="thin">
        <color indexed="9"/>
      </bottom>
      <diagonal/>
    </border>
    <border>
      <left/>
      <right style="double">
        <color indexed="64"/>
      </right>
      <top style="medium">
        <color indexed="64"/>
      </top>
      <bottom style="medium">
        <color indexed="64"/>
      </bottom>
      <diagonal/>
    </border>
    <border>
      <left style="thin">
        <color auto="1"/>
      </left>
      <right style="double">
        <color auto="1"/>
      </right>
      <top style="double">
        <color auto="1"/>
      </top>
      <bottom style="thin">
        <color auto="1"/>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hair">
        <color indexed="64"/>
      </left>
      <right style="hair">
        <color indexed="64"/>
      </right>
      <top style="hair">
        <color indexed="64"/>
      </top>
      <bottom/>
      <diagonal/>
    </border>
    <border>
      <left style="medium">
        <color auto="1"/>
      </left>
      <right style="thin">
        <color indexed="64"/>
      </right>
      <top style="double">
        <color auto="1"/>
      </top>
      <bottom style="thin">
        <color auto="1"/>
      </bottom>
      <diagonal/>
    </border>
    <border>
      <left style="thin">
        <color indexed="64"/>
      </left>
      <right style="thin">
        <color indexed="64"/>
      </right>
      <top style="double">
        <color indexed="64"/>
      </top>
      <bottom style="medium">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double">
        <color indexed="64"/>
      </right>
      <top style="medium">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right style="hair">
        <color indexed="64"/>
      </right>
      <top style="hair">
        <color indexed="64"/>
      </top>
      <bottom style="double">
        <color indexed="64"/>
      </bottom>
      <diagonal/>
    </border>
    <border>
      <left style="thin">
        <color auto="1"/>
      </left>
      <right style="medium">
        <color auto="1"/>
      </right>
      <top style="double">
        <color auto="1"/>
      </top>
      <bottom style="thin">
        <color auto="1"/>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hair">
        <color indexed="64"/>
      </right>
      <top style="hair">
        <color indexed="64"/>
      </top>
      <bottom/>
      <diagonal/>
    </border>
    <border>
      <left style="double">
        <color indexed="64"/>
      </left>
      <right style="double">
        <color indexed="64"/>
      </right>
      <top/>
      <bottom style="hair">
        <color indexed="64"/>
      </bottom>
      <diagonal/>
    </border>
    <border>
      <left style="double">
        <color indexed="64"/>
      </left>
      <right style="double">
        <color indexed="64"/>
      </right>
      <top/>
      <bottom/>
      <diagonal/>
    </border>
    <border>
      <left style="double">
        <color indexed="64"/>
      </left>
      <right/>
      <top/>
      <bottom style="hair">
        <color indexed="64"/>
      </bottom>
      <diagonal/>
    </border>
    <border>
      <left/>
      <right/>
      <top/>
      <bottom style="hair">
        <color indexed="64"/>
      </bottom>
      <diagonal/>
    </border>
    <border>
      <left style="double">
        <color indexed="64"/>
      </left>
      <right style="thin">
        <color indexed="64"/>
      </right>
      <top style="thin">
        <color indexed="64"/>
      </top>
      <bottom style="double">
        <color indexed="64"/>
      </bottom>
      <diagonal/>
    </border>
    <border>
      <left/>
      <right style="medium">
        <color auto="1"/>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bottom style="double">
        <color indexed="64"/>
      </bottom>
      <diagonal/>
    </border>
    <border>
      <left/>
      <right style="hair">
        <color indexed="64"/>
      </right>
      <top style="hair">
        <color indexed="64"/>
      </top>
      <bottom/>
      <diagonal/>
    </border>
    <border>
      <left/>
      <right style="double">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double">
        <color indexed="64"/>
      </left>
      <right style="thin">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double">
        <color indexed="64"/>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hair">
        <color indexed="64"/>
      </left>
      <right style="double">
        <color indexed="64"/>
      </right>
      <top style="medium">
        <color indexed="64"/>
      </top>
      <bottom style="hair">
        <color indexed="64"/>
      </bottom>
      <diagonal/>
    </border>
    <border>
      <left style="medium">
        <color indexed="64"/>
      </left>
      <right style="double">
        <color indexed="64"/>
      </right>
      <top style="double">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double">
        <color indexed="64"/>
      </left>
      <right/>
      <top style="double">
        <color indexed="64"/>
      </top>
      <bottom style="thick">
        <color rgb="FF00B0F0"/>
      </bottom>
      <diagonal/>
    </border>
    <border>
      <left/>
      <right/>
      <top style="double">
        <color indexed="64"/>
      </top>
      <bottom style="thick">
        <color rgb="FF00B0F0"/>
      </bottom>
      <diagonal/>
    </border>
    <border>
      <left/>
      <right style="double">
        <color indexed="64"/>
      </right>
      <top style="double">
        <color indexed="64"/>
      </top>
      <bottom style="thick">
        <color rgb="FF00B0F0"/>
      </bottom>
      <diagonal/>
    </border>
  </borders>
  <cellStyleXfs count="11">
    <xf numFmtId="0" fontId="0" fillId="0" borderId="0"/>
    <xf numFmtId="0" fontId="31" fillId="0" borderId="0" applyNumberFormat="0" applyFill="0" applyBorder="0" applyAlignment="0" applyProtection="0">
      <alignment vertical="top"/>
      <protection locked="0"/>
    </xf>
    <xf numFmtId="9" fontId="2" fillId="0" borderId="0" applyFont="0" applyFill="0" applyBorder="0" applyAlignment="0" applyProtection="0"/>
    <xf numFmtId="0" fontId="2" fillId="0" borderId="0"/>
    <xf numFmtId="0" fontId="41" fillId="0" borderId="0"/>
    <xf numFmtId="0" fontId="4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cellStyleXfs>
  <cellXfs count="386">
    <xf numFmtId="0" fontId="0" fillId="0" borderId="0" xfId="0"/>
    <xf numFmtId="0" fontId="5" fillId="0" borderId="0" xfId="0" applyFont="1"/>
    <xf numFmtId="0" fontId="4" fillId="0" borderId="0" xfId="0" applyFont="1" applyAlignment="1">
      <alignment horizontal="right"/>
    </xf>
    <xf numFmtId="0" fontId="5" fillId="0" borderId="0" xfId="0" applyFont="1" applyAlignment="1">
      <alignment horizontal="left"/>
    </xf>
    <xf numFmtId="0" fontId="18" fillId="0" borderId="0" xfId="0" applyFont="1"/>
    <xf numFmtId="0" fontId="27" fillId="0" borderId="0" xfId="0" applyFont="1"/>
    <xf numFmtId="0" fontId="28" fillId="0" borderId="0" xfId="0" applyFont="1"/>
    <xf numFmtId="0" fontId="29" fillId="0" borderId="0" xfId="0" applyFont="1"/>
    <xf numFmtId="0" fontId="30" fillId="0" borderId="0" xfId="0" applyFont="1"/>
    <xf numFmtId="0" fontId="11" fillId="3" borderId="18" xfId="0" applyFont="1" applyFill="1" applyBorder="1" applyAlignment="1">
      <alignment horizontal="center" vertical="center" wrapText="1"/>
    </xf>
    <xf numFmtId="0" fontId="2" fillId="0" borderId="36" xfId="0" applyFont="1" applyBorder="1" applyAlignment="1">
      <alignment horizontal="center" vertical="center"/>
    </xf>
    <xf numFmtId="0" fontId="3" fillId="0" borderId="0" xfId="0" applyFont="1" applyAlignment="1">
      <alignment horizontal="centerContinuous" vertical="center"/>
    </xf>
    <xf numFmtId="0" fontId="5" fillId="0" borderId="0" xfId="0" applyFont="1" applyAlignment="1">
      <alignment vertical="center"/>
    </xf>
    <xf numFmtId="0" fontId="19" fillId="12" borderId="11" xfId="0" applyFont="1" applyFill="1" applyBorder="1" applyAlignment="1">
      <alignment horizontal="center" vertical="center"/>
    </xf>
    <xf numFmtId="0" fontId="19" fillId="12" borderId="12" xfId="0" applyFont="1" applyFill="1" applyBorder="1" applyAlignment="1">
      <alignment horizontal="center" vertical="center"/>
    </xf>
    <xf numFmtId="49" fontId="19" fillId="12" borderId="12" xfId="0" applyNumberFormat="1" applyFont="1" applyFill="1" applyBorder="1" applyAlignment="1">
      <alignment horizontal="center" vertical="center"/>
    </xf>
    <xf numFmtId="0" fontId="19" fillId="12" borderId="16" xfId="0" applyFont="1" applyFill="1" applyBorder="1" applyAlignment="1">
      <alignment horizontal="center" vertical="center"/>
    </xf>
    <xf numFmtId="0" fontId="39" fillId="10" borderId="16" xfId="0" applyFont="1" applyFill="1" applyBorder="1" applyAlignment="1">
      <alignment horizontal="center" vertical="center"/>
    </xf>
    <xf numFmtId="0" fontId="19" fillId="12" borderId="13" xfId="0" applyFont="1" applyFill="1" applyBorder="1" applyAlignment="1">
      <alignment horizontal="center" vertical="center"/>
    </xf>
    <xf numFmtId="0" fontId="2" fillId="0" borderId="42"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Continuous" vertical="center"/>
    </xf>
    <xf numFmtId="164" fontId="5" fillId="0" borderId="0" xfId="0" applyNumberFormat="1" applyFont="1" applyAlignment="1">
      <alignment horizontal="center" vertical="center"/>
    </xf>
    <xf numFmtId="0" fontId="19" fillId="12" borderId="16" xfId="0" applyFont="1" applyFill="1" applyBorder="1" applyAlignment="1">
      <alignment horizontal="centerContinuous" vertical="center"/>
    </xf>
    <xf numFmtId="0" fontId="19" fillId="12" borderId="52" xfId="0" applyFont="1" applyFill="1" applyBorder="1" applyAlignment="1">
      <alignment horizontal="centerContinuous" vertical="center"/>
    </xf>
    <xf numFmtId="0" fontId="19" fillId="12" borderId="53" xfId="0" applyFont="1" applyFill="1" applyBorder="1" applyAlignment="1">
      <alignment horizontal="centerContinuous" vertical="center"/>
    </xf>
    <xf numFmtId="164" fontId="5" fillId="0" borderId="55" xfId="0" applyNumberFormat="1" applyFont="1" applyBorder="1" applyAlignment="1">
      <alignment horizontal="centerContinuous" vertical="center"/>
    </xf>
    <xf numFmtId="0" fontId="17" fillId="0" borderId="0" xfId="0" applyFont="1" applyAlignment="1">
      <alignment horizontal="right" vertical="center"/>
    </xf>
    <xf numFmtId="0" fontId="19" fillId="12" borderId="14" xfId="0" applyFont="1" applyFill="1" applyBorder="1" applyAlignment="1">
      <alignment horizontal="centerContinuous" vertical="center"/>
    </xf>
    <xf numFmtId="0" fontId="19" fillId="12" borderId="15" xfId="0" applyFont="1" applyFill="1" applyBorder="1" applyAlignment="1">
      <alignment horizontal="centerContinuous" vertical="center"/>
    </xf>
    <xf numFmtId="0" fontId="5" fillId="0" borderId="55" xfId="0" applyFont="1" applyBorder="1" applyAlignment="1">
      <alignment horizontal="centerContinuous" vertical="center"/>
    </xf>
    <xf numFmtId="0" fontId="5" fillId="0" borderId="66" xfId="0" applyFont="1" applyBorder="1" applyAlignment="1">
      <alignment horizontal="centerContinuous" vertical="center"/>
    </xf>
    <xf numFmtId="49" fontId="2" fillId="0" borderId="66" xfId="0" applyNumberFormat="1" applyFont="1" applyBorder="1" applyAlignment="1">
      <alignment horizontal="center" vertical="center"/>
    </xf>
    <xf numFmtId="0" fontId="5" fillId="0" borderId="41" xfId="0" applyFont="1" applyBorder="1" applyAlignment="1">
      <alignment horizontal="centerContinuous" vertical="center"/>
    </xf>
    <xf numFmtId="0" fontId="5" fillId="0" borderId="69" xfId="0" applyFont="1" applyBorder="1" applyAlignment="1">
      <alignment horizontal="centerContinuous" vertical="center"/>
    </xf>
    <xf numFmtId="0" fontId="5" fillId="0" borderId="67" xfId="0" applyFont="1" applyBorder="1" applyAlignment="1">
      <alignment horizontal="centerContinuous" vertical="center"/>
    </xf>
    <xf numFmtId="164" fontId="5" fillId="0" borderId="70" xfId="0" applyNumberFormat="1" applyFont="1" applyBorder="1" applyAlignment="1">
      <alignment horizontal="centerContinuous" vertical="center"/>
    </xf>
    <xf numFmtId="164" fontId="3" fillId="0" borderId="0" xfId="0" applyNumberFormat="1" applyFont="1" applyAlignment="1">
      <alignment horizontal="centerContinuous" vertical="center"/>
    </xf>
    <xf numFmtId="0" fontId="19" fillId="3" borderId="33" xfId="0" applyFont="1" applyFill="1" applyBorder="1" applyAlignment="1">
      <alignment horizontal="center" vertical="center"/>
    </xf>
    <xf numFmtId="164" fontId="19" fillId="3" borderId="34" xfId="0" applyNumberFormat="1" applyFont="1" applyFill="1" applyBorder="1" applyAlignment="1">
      <alignment horizontal="center" vertical="center"/>
    </xf>
    <xf numFmtId="0" fontId="19" fillId="3" borderId="33" xfId="0" applyFont="1" applyFill="1" applyBorder="1" applyAlignment="1">
      <alignment horizontal="right" vertical="center"/>
    </xf>
    <xf numFmtId="0" fontId="19" fillId="3" borderId="35" xfId="0" applyFont="1" applyFill="1" applyBorder="1" applyAlignment="1">
      <alignment vertical="center"/>
    </xf>
    <xf numFmtId="0" fontId="2" fillId="0" borderId="60" xfId="0" applyFont="1" applyBorder="1" applyAlignment="1">
      <alignment horizontal="center" vertical="center" shrinkToFit="1"/>
    </xf>
    <xf numFmtId="164" fontId="5" fillId="0" borderId="36" xfId="0" applyNumberFormat="1" applyFont="1" applyBorder="1" applyAlignment="1">
      <alignment horizontal="center" vertical="center" shrinkToFit="1"/>
    </xf>
    <xf numFmtId="0" fontId="5" fillId="0" borderId="37" xfId="0" applyFont="1" applyBorder="1" applyAlignment="1">
      <alignment horizontal="left" vertical="center"/>
    </xf>
    <xf numFmtId="0" fontId="5" fillId="0" borderId="38" xfId="0" applyFont="1" applyBorder="1" applyAlignment="1">
      <alignment horizontal="left" vertical="center" shrinkToFit="1"/>
    </xf>
    <xf numFmtId="164" fontId="2" fillId="0" borderId="36" xfId="0" applyNumberFormat="1" applyFont="1" applyBorder="1" applyAlignment="1">
      <alignment horizontal="center" vertical="center" shrinkToFit="1"/>
    </xf>
    <xf numFmtId="0" fontId="5" fillId="0" borderId="39" xfId="0" applyFont="1" applyBorder="1" applyAlignment="1">
      <alignment horizontal="left" vertical="center"/>
    </xf>
    <xf numFmtId="0" fontId="5" fillId="0" borderId="40" xfId="0" applyFont="1" applyBorder="1" applyAlignment="1">
      <alignment horizontal="left" vertical="center" shrinkToFit="1"/>
    </xf>
    <xf numFmtId="0" fontId="5" fillId="0" borderId="0" xfId="0" applyFont="1" applyAlignment="1">
      <alignment vertical="center" wrapText="1"/>
    </xf>
    <xf numFmtId="0" fontId="5" fillId="0" borderId="0" xfId="0" applyFont="1" applyAlignment="1">
      <alignment horizontal="left" vertical="center"/>
    </xf>
    <xf numFmtId="0" fontId="5" fillId="0" borderId="0" xfId="0" applyFont="1" applyAlignment="1">
      <alignment horizontal="left" vertical="center" wrapText="1"/>
    </xf>
    <xf numFmtId="0" fontId="4" fillId="0" borderId="0" xfId="0" applyFont="1" applyAlignment="1">
      <alignment horizontal="right" vertical="center" wrapText="1"/>
    </xf>
    <xf numFmtId="0" fontId="7" fillId="0" borderId="51" xfId="0" applyFont="1" applyBorder="1" applyAlignment="1">
      <alignment horizontal="center" vertical="center" shrinkToFit="1"/>
    </xf>
    <xf numFmtId="0" fontId="23" fillId="0" borderId="19" xfId="0" applyFont="1" applyBorder="1" applyAlignment="1">
      <alignment horizontal="centerContinuous" vertical="center"/>
    </xf>
    <xf numFmtId="0" fontId="14" fillId="0" borderId="0" xfId="0" applyFont="1" applyAlignment="1">
      <alignment horizontal="centerContinuous" vertical="center"/>
    </xf>
    <xf numFmtId="0" fontId="7" fillId="0" borderId="21" xfId="0" applyFont="1" applyBorder="1" applyAlignment="1">
      <alignment horizontal="center" vertical="center"/>
    </xf>
    <xf numFmtId="0" fontId="25" fillId="0" borderId="22" xfId="0" applyFont="1" applyBorder="1" applyAlignment="1">
      <alignment horizontal="center" vertical="center"/>
    </xf>
    <xf numFmtId="49" fontId="7" fillId="0" borderId="21" xfId="0" applyNumberFormat="1" applyFont="1" applyBorder="1" applyAlignment="1">
      <alignment horizontal="center" vertical="center"/>
    </xf>
    <xf numFmtId="0" fontId="37" fillId="0" borderId="1" xfId="0" applyFont="1" applyBorder="1" applyAlignment="1">
      <alignment vertical="center"/>
    </xf>
    <xf numFmtId="0" fontId="22" fillId="0" borderId="22" xfId="0" applyFont="1" applyBorder="1" applyAlignment="1">
      <alignment horizontal="center" vertical="center"/>
    </xf>
    <xf numFmtId="0" fontId="12" fillId="0" borderId="22" xfId="0" applyFont="1" applyBorder="1" applyAlignment="1">
      <alignment horizontal="center" vertical="center"/>
    </xf>
    <xf numFmtId="0" fontId="7" fillId="0" borderId="23" xfId="0" applyFont="1" applyBorder="1" applyAlignment="1">
      <alignment horizontal="center" vertical="center"/>
    </xf>
    <xf numFmtId="0" fontId="7" fillId="0" borderId="46" xfId="0" applyFont="1" applyBorder="1" applyAlignment="1">
      <alignment horizontal="center" vertical="center"/>
    </xf>
    <xf numFmtId="0" fontId="26" fillId="0" borderId="9" xfId="0" applyFont="1" applyBorder="1" applyAlignment="1">
      <alignment horizontal="center" vertical="center"/>
    </xf>
    <xf numFmtId="0" fontId="26" fillId="0" borderId="46" xfId="0" applyFont="1" applyBorder="1" applyAlignment="1">
      <alignment horizontal="center" vertical="center"/>
    </xf>
    <xf numFmtId="0" fontId="10" fillId="0" borderId="1" xfId="0" applyFont="1" applyBorder="1" applyAlignment="1">
      <alignment vertical="center"/>
    </xf>
    <xf numFmtId="49" fontId="15" fillId="0" borderId="21" xfId="0" applyNumberFormat="1" applyFont="1" applyBorder="1" applyAlignment="1">
      <alignment horizontal="center" vertical="center"/>
    </xf>
    <xf numFmtId="0" fontId="15" fillId="0" borderId="22" xfId="0" applyFont="1" applyBorder="1" applyAlignment="1">
      <alignment horizontal="center" vertical="center"/>
    </xf>
    <xf numFmtId="0" fontId="7" fillId="0" borderId="22" xfId="0" applyFont="1" applyBorder="1" applyAlignment="1">
      <alignment horizontal="center" vertical="center"/>
    </xf>
    <xf numFmtId="49" fontId="7" fillId="0" borderId="22" xfId="0" applyNumberFormat="1" applyFont="1" applyBorder="1" applyAlignment="1">
      <alignment horizontal="center" vertical="center"/>
    </xf>
    <xf numFmtId="0" fontId="12" fillId="0" borderId="1" xfId="0" applyFont="1" applyBorder="1" applyAlignment="1">
      <alignment vertical="center"/>
    </xf>
    <xf numFmtId="49" fontId="22" fillId="0" borderId="21" xfId="0" applyNumberFormat="1" applyFont="1" applyBorder="1" applyAlignment="1">
      <alignment horizontal="center" vertical="center"/>
    </xf>
    <xf numFmtId="0" fontId="13" fillId="0" borderId="1" xfId="0" applyFont="1" applyBorder="1" applyAlignment="1">
      <alignment vertical="center"/>
    </xf>
    <xf numFmtId="49" fontId="21" fillId="0" borderId="21" xfId="0" applyNumberFormat="1" applyFont="1" applyBorder="1" applyAlignment="1">
      <alignment horizontal="center" vertical="center"/>
    </xf>
    <xf numFmtId="0" fontId="21" fillId="0" borderId="22" xfId="0" applyFont="1" applyBorder="1" applyAlignment="1">
      <alignment horizontal="center" vertical="center"/>
    </xf>
    <xf numFmtId="0" fontId="13" fillId="0" borderId="22" xfId="0" applyFont="1" applyBorder="1" applyAlignment="1">
      <alignment horizontal="center" vertical="center"/>
    </xf>
    <xf numFmtId="0" fontId="7" fillId="13" borderId="21" xfId="0" applyFont="1" applyFill="1" applyBorder="1" applyAlignment="1">
      <alignment horizontal="center" vertical="center"/>
    </xf>
    <xf numFmtId="49" fontId="7" fillId="13" borderId="22" xfId="0" applyNumberFormat="1" applyFont="1" applyFill="1" applyBorder="1" applyAlignment="1">
      <alignment horizontal="center" vertical="center"/>
    </xf>
    <xf numFmtId="0" fontId="7" fillId="13" borderId="23" xfId="0" applyFont="1" applyFill="1" applyBorder="1" applyAlignment="1">
      <alignment horizontal="center" vertical="center"/>
    </xf>
    <xf numFmtId="0" fontId="10" fillId="5" borderId="1" xfId="0" applyFont="1" applyFill="1" applyBorder="1" applyAlignment="1">
      <alignment vertical="center"/>
    </xf>
    <xf numFmtId="0" fontId="7" fillId="5" borderId="21" xfId="0" applyFont="1" applyFill="1" applyBorder="1" applyAlignment="1">
      <alignment horizontal="center" vertical="center"/>
    </xf>
    <xf numFmtId="49" fontId="15" fillId="5" borderId="21" xfId="0" applyNumberFormat="1" applyFont="1" applyFill="1" applyBorder="1" applyAlignment="1">
      <alignment horizontal="center" vertical="center"/>
    </xf>
    <xf numFmtId="0" fontId="15" fillId="5" borderId="22" xfId="0" applyFont="1" applyFill="1" applyBorder="1" applyAlignment="1">
      <alignment horizontal="center" vertical="center"/>
    </xf>
    <xf numFmtId="49" fontId="7" fillId="5" borderId="22" xfId="0" applyNumberFormat="1" applyFont="1" applyFill="1" applyBorder="1" applyAlignment="1">
      <alignment horizontal="center" vertical="center"/>
    </xf>
    <xf numFmtId="0" fontId="7" fillId="5" borderId="23" xfId="0" applyFont="1" applyFill="1" applyBorder="1" applyAlignment="1">
      <alignment horizontal="center" vertical="center"/>
    </xf>
    <xf numFmtId="0" fontId="13" fillId="13" borderId="1" xfId="0" applyFont="1" applyFill="1" applyBorder="1" applyAlignment="1">
      <alignment vertical="center"/>
    </xf>
    <xf numFmtId="0" fontId="10" fillId="6" borderId="1" xfId="0" applyFont="1" applyFill="1" applyBorder="1" applyAlignment="1">
      <alignment vertical="center"/>
    </xf>
    <xf numFmtId="0" fontId="7" fillId="6" borderId="21" xfId="0" applyFont="1" applyFill="1" applyBorder="1" applyAlignment="1">
      <alignment horizontal="center" vertical="center"/>
    </xf>
    <xf numFmtId="49" fontId="15" fillId="6" borderId="21" xfId="0" applyNumberFormat="1" applyFont="1" applyFill="1" applyBorder="1" applyAlignment="1">
      <alignment horizontal="center" vertical="center"/>
    </xf>
    <xf numFmtId="0" fontId="15" fillId="6" borderId="22" xfId="0" applyFont="1" applyFill="1" applyBorder="1" applyAlignment="1">
      <alignment horizontal="center" vertical="center"/>
    </xf>
    <xf numFmtId="49" fontId="7" fillId="6" borderId="22" xfId="0" applyNumberFormat="1" applyFont="1" applyFill="1" applyBorder="1" applyAlignment="1">
      <alignment horizontal="center" vertical="center"/>
    </xf>
    <xf numFmtId="0" fontId="13" fillId="6" borderId="1" xfId="0" applyFont="1" applyFill="1" applyBorder="1" applyAlignment="1">
      <alignment vertical="center"/>
    </xf>
    <xf numFmtId="49" fontId="21" fillId="7" borderId="21" xfId="0" applyNumberFormat="1" applyFont="1" applyFill="1" applyBorder="1" applyAlignment="1">
      <alignment horizontal="center" vertical="center"/>
    </xf>
    <xf numFmtId="0" fontId="21" fillId="7" borderId="22" xfId="0" applyFont="1" applyFill="1" applyBorder="1" applyAlignment="1">
      <alignment horizontal="center" vertical="center"/>
    </xf>
    <xf numFmtId="0" fontId="10" fillId="13" borderId="1" xfId="0" applyFont="1" applyFill="1" applyBorder="1" applyAlignment="1">
      <alignment vertical="center"/>
    </xf>
    <xf numFmtId="49" fontId="15" fillId="13" borderId="21" xfId="0" applyNumberFormat="1" applyFont="1" applyFill="1" applyBorder="1" applyAlignment="1">
      <alignment horizontal="center" vertical="center"/>
    </xf>
    <xf numFmtId="0" fontId="15" fillId="13" borderId="22" xfId="0" applyFont="1" applyFill="1" applyBorder="1" applyAlignment="1">
      <alignment horizontal="center" vertical="center"/>
    </xf>
    <xf numFmtId="0" fontId="12" fillId="5" borderId="1" xfId="0" applyFont="1" applyFill="1" applyBorder="1" applyAlignment="1">
      <alignment vertical="center"/>
    </xf>
    <xf numFmtId="49" fontId="22" fillId="5" borderId="21" xfId="0" applyNumberFormat="1" applyFont="1" applyFill="1" applyBorder="1" applyAlignment="1">
      <alignment horizontal="center" vertical="center"/>
    </xf>
    <xf numFmtId="0" fontId="22" fillId="5" borderId="22" xfId="0" applyFont="1" applyFill="1" applyBorder="1" applyAlignment="1">
      <alignment horizontal="center" vertical="center"/>
    </xf>
    <xf numFmtId="0" fontId="10" fillId="4" borderId="1" xfId="0" applyFont="1" applyFill="1" applyBorder="1" applyAlignment="1">
      <alignment vertical="center"/>
    </xf>
    <xf numFmtId="0" fontId="7" fillId="4" borderId="21" xfId="0" applyFont="1" applyFill="1" applyBorder="1" applyAlignment="1">
      <alignment horizontal="center" vertical="center"/>
    </xf>
    <xf numFmtId="49" fontId="15" fillId="4" borderId="21" xfId="0" applyNumberFormat="1" applyFont="1" applyFill="1" applyBorder="1" applyAlignment="1">
      <alignment horizontal="center" vertical="center"/>
    </xf>
    <xf numFmtId="0" fontId="15" fillId="4" borderId="22" xfId="0" applyFont="1" applyFill="1" applyBorder="1" applyAlignment="1">
      <alignment horizontal="center" vertical="center"/>
    </xf>
    <xf numFmtId="49" fontId="7" fillId="4" borderId="22" xfId="0" applyNumberFormat="1" applyFont="1" applyFill="1" applyBorder="1" applyAlignment="1">
      <alignment horizontal="center" vertical="center"/>
    </xf>
    <xf numFmtId="0" fontId="7" fillId="4" borderId="23" xfId="0" applyFont="1" applyFill="1" applyBorder="1" applyAlignment="1">
      <alignment horizontal="center" vertical="center"/>
    </xf>
    <xf numFmtId="0" fontId="7" fillId="0" borderId="23" xfId="0" quotePrefix="1" applyFont="1" applyBorder="1" applyAlignment="1">
      <alignment horizontal="center" vertical="center"/>
    </xf>
    <xf numFmtId="0" fontId="12" fillId="4" borderId="1" xfId="0" applyFont="1" applyFill="1" applyBorder="1" applyAlignment="1">
      <alignment vertical="center"/>
    </xf>
    <xf numFmtId="49" fontId="22" fillId="4" borderId="21" xfId="0" applyNumberFormat="1" applyFont="1" applyFill="1" applyBorder="1" applyAlignment="1">
      <alignment horizontal="center" vertical="center"/>
    </xf>
    <xf numFmtId="0" fontId="22" fillId="4" borderId="22" xfId="0" applyFont="1" applyFill="1" applyBorder="1" applyAlignment="1">
      <alignment horizontal="center" vertical="center"/>
    </xf>
    <xf numFmtId="0" fontId="13" fillId="5" borderId="1" xfId="0" applyFont="1" applyFill="1" applyBorder="1" applyAlignment="1">
      <alignment vertical="center"/>
    </xf>
    <xf numFmtId="49" fontId="21" fillId="5" borderId="21" xfId="0" applyNumberFormat="1" applyFont="1" applyFill="1" applyBorder="1" applyAlignment="1">
      <alignment horizontal="center" vertical="center"/>
    </xf>
    <xf numFmtId="0" fontId="21" fillId="5" borderId="22" xfId="0" applyFont="1" applyFill="1" applyBorder="1" applyAlignment="1">
      <alignment horizontal="center" vertical="center"/>
    </xf>
    <xf numFmtId="0" fontId="4" fillId="0" borderId="0" xfId="0" applyFont="1" applyAlignment="1">
      <alignment horizontal="right" vertical="center"/>
    </xf>
    <xf numFmtId="0" fontId="6" fillId="0" borderId="1" xfId="0" applyFont="1" applyBorder="1" applyAlignment="1">
      <alignment horizontal="right" vertical="center"/>
    </xf>
    <xf numFmtId="0" fontId="7" fillId="0" borderId="0" xfId="0" applyFont="1" applyAlignment="1">
      <alignment horizontal="centerContinuous" vertical="center"/>
    </xf>
    <xf numFmtId="0" fontId="6" fillId="0" borderId="0" xfId="0" applyFont="1" applyAlignment="1">
      <alignment horizontal="right" vertical="center"/>
    </xf>
    <xf numFmtId="0" fontId="7" fillId="0" borderId="0" xfId="0" applyFont="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49" xfId="0" applyFont="1" applyFill="1" applyBorder="1" applyAlignment="1">
      <alignment horizontal="right" vertical="center"/>
    </xf>
    <xf numFmtId="0" fontId="7" fillId="0" borderId="0" xfId="0" applyFont="1" applyAlignment="1">
      <alignment horizontal="left" vertical="center"/>
    </xf>
    <xf numFmtId="0" fontId="8" fillId="2" borderId="8" xfId="0" applyFont="1" applyFill="1" applyBorder="1" applyAlignment="1">
      <alignment horizontal="right" vertical="center"/>
    </xf>
    <xf numFmtId="0" fontId="24" fillId="0" borderId="9" xfId="0" applyFont="1" applyBorder="1" applyAlignment="1">
      <alignment horizontal="center" vertical="center"/>
    </xf>
    <xf numFmtId="0" fontId="9" fillId="4" borderId="62" xfId="0" applyFont="1" applyFill="1" applyBorder="1" applyAlignment="1">
      <alignment horizontal="right" vertical="center"/>
    </xf>
    <xf numFmtId="0" fontId="12" fillId="2" borderId="4" xfId="0" applyFont="1" applyFill="1" applyBorder="1" applyAlignment="1">
      <alignment horizontal="right" vertical="center"/>
    </xf>
    <xf numFmtId="49" fontId="24" fillId="0" borderId="9" xfId="0" applyNumberFormat="1" applyFont="1" applyBorder="1" applyAlignment="1">
      <alignment horizontal="center" vertical="center"/>
    </xf>
    <xf numFmtId="0" fontId="9" fillId="4" borderId="57" xfId="0" applyFont="1" applyFill="1" applyBorder="1" applyAlignment="1">
      <alignment horizontal="right" vertical="center"/>
    </xf>
    <xf numFmtId="164" fontId="6" fillId="8" borderId="26" xfId="0" applyNumberFormat="1" applyFont="1" applyFill="1" applyBorder="1" applyAlignment="1">
      <alignment horizontal="center" vertical="center"/>
    </xf>
    <xf numFmtId="49" fontId="24" fillId="0" borderId="3" xfId="0" applyNumberFormat="1" applyFont="1" applyBorder="1" applyAlignment="1">
      <alignment horizontal="center" vertical="center"/>
    </xf>
    <xf numFmtId="0" fontId="8" fillId="4" borderId="57" xfId="0" applyFont="1" applyFill="1" applyBorder="1" applyAlignment="1">
      <alignment horizontal="right" vertical="center"/>
    </xf>
    <xf numFmtId="0" fontId="34" fillId="2" borderId="4" xfId="0" applyFont="1" applyFill="1" applyBorder="1" applyAlignment="1">
      <alignment horizontal="right" vertical="center"/>
    </xf>
    <xf numFmtId="0" fontId="20" fillId="2" borderId="4" xfId="0" applyFont="1" applyFill="1" applyBorder="1" applyAlignment="1">
      <alignment horizontal="right" vertical="center"/>
    </xf>
    <xf numFmtId="0" fontId="10" fillId="4" borderId="57" xfId="0" applyFont="1" applyFill="1" applyBorder="1" applyAlignment="1">
      <alignment horizontal="right" vertical="center"/>
    </xf>
    <xf numFmtId="0" fontId="13" fillId="2" borderId="10" xfId="0" applyFont="1" applyFill="1" applyBorder="1" applyAlignment="1">
      <alignment horizontal="right" vertical="center"/>
    </xf>
    <xf numFmtId="0" fontId="10" fillId="4" borderId="58" xfId="0" applyFont="1" applyFill="1" applyBorder="1" applyAlignment="1">
      <alignment horizontal="right" vertical="center"/>
    </xf>
    <xf numFmtId="0" fontId="7" fillId="0" borderId="6" xfId="0" applyFont="1" applyBorder="1" applyAlignment="1">
      <alignment vertical="center"/>
    </xf>
    <xf numFmtId="0" fontId="7" fillId="0" borderId="7" xfId="0" applyFont="1" applyBorder="1" applyAlignment="1">
      <alignment vertical="center"/>
    </xf>
    <xf numFmtId="164" fontId="5" fillId="0" borderId="42" xfId="0" applyNumberFormat="1" applyFont="1" applyBorder="1" applyAlignment="1">
      <alignment horizontal="center" vertical="center" shrinkToFit="1"/>
    </xf>
    <xf numFmtId="0" fontId="5" fillId="0" borderId="43" xfId="0" applyFont="1" applyBorder="1" applyAlignment="1">
      <alignment horizontal="left" vertical="center"/>
    </xf>
    <xf numFmtId="0" fontId="5" fillId="0" borderId="44" xfId="0" applyFont="1" applyBorder="1" applyAlignment="1">
      <alignment horizontal="left" vertical="center" shrinkToFit="1"/>
    </xf>
    <xf numFmtId="0" fontId="6" fillId="4" borderId="73" xfId="0" applyFont="1" applyFill="1" applyBorder="1" applyAlignment="1">
      <alignment horizontal="right" vertical="center"/>
    </xf>
    <xf numFmtId="1" fontId="4" fillId="0" borderId="0" xfId="0" applyNumberFormat="1" applyFont="1" applyAlignment="1">
      <alignment horizontal="right" vertical="center"/>
    </xf>
    <xf numFmtId="1" fontId="4" fillId="0" borderId="0" xfId="0" applyNumberFormat="1" applyFont="1" applyAlignment="1">
      <alignment horizontal="center" vertical="center"/>
    </xf>
    <xf numFmtId="1" fontId="5" fillId="0" borderId="0" xfId="0" applyNumberFormat="1" applyFont="1" applyAlignment="1">
      <alignment horizontal="left" vertical="center"/>
    </xf>
    <xf numFmtId="1" fontId="5" fillId="0" borderId="0" xfId="0" applyNumberFormat="1" applyFont="1" applyAlignment="1">
      <alignment horizontal="center" vertical="center"/>
    </xf>
    <xf numFmtId="1" fontId="4" fillId="0" borderId="0" xfId="0" applyNumberFormat="1" applyFont="1" applyAlignment="1">
      <alignment horizontal="left" vertical="center"/>
    </xf>
    <xf numFmtId="1" fontId="2" fillId="0" borderId="0" xfId="0" applyNumberFormat="1" applyFont="1" applyAlignment="1">
      <alignment horizontal="left" vertical="center"/>
    </xf>
    <xf numFmtId="1" fontId="2" fillId="0" borderId="0" xfId="0" applyNumberFormat="1" applyFont="1" applyAlignment="1">
      <alignment horizontal="center" vertical="center"/>
    </xf>
    <xf numFmtId="1" fontId="4" fillId="0" borderId="0" xfId="0" applyNumberFormat="1" applyFont="1" applyAlignment="1">
      <alignment horizontal="right"/>
    </xf>
    <xf numFmtId="1" fontId="5" fillId="0" borderId="0" xfId="0" applyNumberFormat="1" applyFont="1" applyAlignment="1">
      <alignment horizontal="left"/>
    </xf>
    <xf numFmtId="0" fontId="8" fillId="13" borderId="1" xfId="0" applyFont="1" applyFill="1" applyBorder="1" applyAlignment="1">
      <alignment vertical="center"/>
    </xf>
    <xf numFmtId="49" fontId="16" fillId="13" borderId="21" xfId="0" applyNumberFormat="1" applyFont="1" applyFill="1" applyBorder="1" applyAlignment="1">
      <alignment horizontal="center" vertical="center"/>
    </xf>
    <xf numFmtId="0" fontId="16" fillId="13" borderId="22" xfId="0" applyFont="1" applyFill="1" applyBorder="1" applyAlignment="1">
      <alignment horizontal="center" vertical="center"/>
    </xf>
    <xf numFmtId="164" fontId="5" fillId="0" borderId="72" xfId="0" applyNumberFormat="1" applyFont="1" applyBorder="1" applyAlignment="1">
      <alignment horizontal="center" vertical="center" shrinkToFit="1"/>
    </xf>
    <xf numFmtId="0" fontId="19" fillId="12" borderId="74" xfId="0" applyFont="1" applyFill="1" applyBorder="1" applyAlignment="1">
      <alignment horizontal="center" vertical="center"/>
    </xf>
    <xf numFmtId="0" fontId="2" fillId="0" borderId="0" xfId="0" applyFont="1" applyAlignment="1">
      <alignment vertical="center"/>
    </xf>
    <xf numFmtId="1" fontId="19" fillId="12" borderId="27" xfId="0" applyNumberFormat="1" applyFont="1" applyFill="1" applyBorder="1" applyAlignment="1">
      <alignment horizontal="center" vertical="center"/>
    </xf>
    <xf numFmtId="0" fontId="2" fillId="0" borderId="54" xfId="0" applyFont="1" applyBorder="1" applyAlignment="1">
      <alignment horizontal="centerContinuous" vertical="center" shrinkToFit="1"/>
    </xf>
    <xf numFmtId="0" fontId="19" fillId="0" borderId="55" xfId="0" applyFont="1" applyBorder="1" applyAlignment="1">
      <alignment horizontal="centerContinuous" vertical="center"/>
    </xf>
    <xf numFmtId="0" fontId="19" fillId="0" borderId="75" xfId="0" applyFont="1" applyBorder="1" applyAlignment="1">
      <alignment horizontal="centerContinuous" vertical="center"/>
    </xf>
    <xf numFmtId="0" fontId="2" fillId="0" borderId="76" xfId="0" applyFont="1" applyBorder="1" applyAlignment="1">
      <alignment horizontal="center" vertical="center"/>
    </xf>
    <xf numFmtId="0" fontId="2" fillId="0" borderId="45" xfId="0" applyFont="1" applyBorder="1" applyAlignment="1">
      <alignment horizontal="center" vertical="center"/>
    </xf>
    <xf numFmtId="0" fontId="2" fillId="0" borderId="56" xfId="0" applyFont="1" applyBorder="1" applyAlignment="1">
      <alignment horizontal="centerContinuous" vertical="center"/>
    </xf>
    <xf numFmtId="1" fontId="2" fillId="0" borderId="77" xfId="0" applyNumberFormat="1" applyFont="1" applyBorder="1" applyAlignment="1">
      <alignment horizontal="center" vertical="center"/>
    </xf>
    <xf numFmtId="0" fontId="2" fillId="0" borderId="78" xfId="0" applyFont="1" applyBorder="1" applyAlignment="1">
      <alignment horizontal="centerContinuous" vertical="center" shrinkToFit="1"/>
    </xf>
    <xf numFmtId="0" fontId="19" fillId="0" borderId="79" xfId="0" applyFont="1" applyBorder="1" applyAlignment="1">
      <alignment horizontal="centerContinuous" vertical="center"/>
    </xf>
    <xf numFmtId="0" fontId="19" fillId="0" borderId="80" xfId="0" applyFont="1" applyBorder="1" applyAlignment="1">
      <alignment horizontal="centerContinuous" vertical="center"/>
    </xf>
    <xf numFmtId="0" fontId="2" fillId="0" borderId="37" xfId="0" applyFont="1" applyBorder="1" applyAlignment="1">
      <alignment horizontal="center" vertical="center"/>
    </xf>
    <xf numFmtId="0" fontId="2" fillId="0" borderId="81" xfId="0" applyFont="1" applyBorder="1" applyAlignment="1">
      <alignment horizontal="centerContinuous" vertical="center"/>
    </xf>
    <xf numFmtId="0" fontId="2" fillId="0" borderId="41" xfId="0" applyFont="1" applyBorder="1" applyAlignment="1">
      <alignment horizontal="centerContinuous" vertical="center" shrinkToFit="1"/>
    </xf>
    <xf numFmtId="0" fontId="2" fillId="0" borderId="70" xfId="0" applyFont="1" applyBorder="1" applyAlignment="1">
      <alignment horizontal="centerContinuous" vertical="center"/>
    </xf>
    <xf numFmtId="0" fontId="2" fillId="0" borderId="83" xfId="0" applyFont="1" applyBorder="1" applyAlignment="1">
      <alignment horizontal="centerContinuous" vertical="center"/>
    </xf>
    <xf numFmtId="49" fontId="2" fillId="0" borderId="42" xfId="0" applyNumberFormat="1" applyFont="1" applyBorder="1" applyAlignment="1">
      <alignment horizontal="center" vertical="center"/>
    </xf>
    <xf numFmtId="0" fontId="2" fillId="0" borderId="71" xfId="0" applyFont="1" applyBorder="1" applyAlignment="1">
      <alignment horizontal="centerContinuous" vertical="center"/>
    </xf>
    <xf numFmtId="1" fontId="2" fillId="0" borderId="51" xfId="0" applyNumberFormat="1" applyFont="1" applyBorder="1" applyAlignment="1">
      <alignment horizontal="center" vertical="center"/>
    </xf>
    <xf numFmtId="164" fontId="19" fillId="3" borderId="27" xfId="0" applyNumberFormat="1" applyFont="1" applyFill="1" applyBorder="1" applyAlignment="1">
      <alignment horizontal="center" vertical="center"/>
    </xf>
    <xf numFmtId="1" fontId="2" fillId="0" borderId="32" xfId="0" applyNumberFormat="1" applyFont="1" applyBorder="1" applyAlignment="1">
      <alignment horizontal="center" vertical="center" shrinkToFit="1"/>
    </xf>
    <xf numFmtId="1" fontId="2" fillId="0" borderId="51" xfId="0" applyNumberFormat="1" applyFont="1" applyBorder="1" applyAlignment="1">
      <alignment horizontal="center" vertical="center" shrinkToFit="1"/>
    </xf>
    <xf numFmtId="0" fontId="2" fillId="0" borderId="61" xfId="0" applyFont="1" applyBorder="1" applyAlignment="1">
      <alignment horizontal="center" vertical="center" shrinkToFit="1"/>
    </xf>
    <xf numFmtId="0" fontId="7" fillId="0" borderId="29" xfId="0" applyFont="1" applyBorder="1" applyAlignment="1">
      <alignment horizontal="center" vertical="center"/>
    </xf>
    <xf numFmtId="1" fontId="40" fillId="10" borderId="42" xfId="0" applyNumberFormat="1" applyFont="1" applyFill="1" applyBorder="1" applyAlignment="1">
      <alignment horizontal="center" vertical="center"/>
    </xf>
    <xf numFmtId="1" fontId="2" fillId="0" borderId="42" xfId="0" applyNumberFormat="1" applyFont="1" applyBorder="1" applyAlignment="1">
      <alignment horizontal="center" vertical="center"/>
    </xf>
    <xf numFmtId="0" fontId="2" fillId="0" borderId="85" xfId="0" applyFont="1" applyBorder="1" applyAlignment="1">
      <alignment horizontal="center" vertical="center"/>
    </xf>
    <xf numFmtId="0" fontId="2" fillId="0" borderId="86" xfId="0" applyFont="1" applyBorder="1" applyAlignment="1">
      <alignment horizontal="center" vertical="center"/>
    </xf>
    <xf numFmtId="1" fontId="2" fillId="0" borderId="90" xfId="0" applyNumberFormat="1" applyFont="1" applyBorder="1" applyAlignment="1">
      <alignment horizontal="center" vertical="center"/>
    </xf>
    <xf numFmtId="0" fontId="7" fillId="13" borderId="23" xfId="0" quotePrefix="1" applyFont="1" applyFill="1" applyBorder="1" applyAlignment="1">
      <alignment horizontal="center" vertical="center"/>
    </xf>
    <xf numFmtId="0" fontId="7" fillId="6" borderId="23" xfId="0" quotePrefix="1" applyFont="1" applyFill="1" applyBorder="1" applyAlignment="1">
      <alignment horizontal="center" vertical="center"/>
    </xf>
    <xf numFmtId="0" fontId="2" fillId="0" borderId="61" xfId="0" applyFont="1" applyBorder="1" applyAlignment="1">
      <alignment horizontal="center" vertical="center"/>
    </xf>
    <xf numFmtId="164" fontId="5" fillId="0" borderId="42" xfId="0" applyNumberFormat="1" applyFont="1" applyBorder="1" applyAlignment="1">
      <alignment horizontal="center" vertical="center"/>
    </xf>
    <xf numFmtId="0" fontId="2" fillId="0" borderId="44" xfId="0" applyFont="1" applyBorder="1" applyAlignment="1">
      <alignment horizontal="center" vertical="center"/>
    </xf>
    <xf numFmtId="0" fontId="2" fillId="0" borderId="80" xfId="0" applyFont="1" applyBorder="1" applyAlignment="1">
      <alignment horizontal="center" vertical="center" shrinkToFit="1"/>
    </xf>
    <xf numFmtId="0" fontId="5" fillId="0" borderId="80" xfId="0" applyFont="1" applyBorder="1" applyAlignment="1">
      <alignment horizontal="center" vertical="center" shrinkToFit="1"/>
    </xf>
    <xf numFmtId="0" fontId="2" fillId="0" borderId="83" xfId="0" applyFont="1" applyBorder="1" applyAlignment="1">
      <alignment horizontal="center" vertical="center" shrinkToFit="1"/>
    </xf>
    <xf numFmtId="1" fontId="7" fillId="0" borderId="22" xfId="0" applyNumberFormat="1" applyFont="1" applyBorder="1" applyAlignment="1">
      <alignment horizontal="center" vertical="center"/>
    </xf>
    <xf numFmtId="0" fontId="2" fillId="0" borderId="54" xfId="0" applyFont="1" applyBorder="1" applyAlignment="1">
      <alignment horizontal="centerContinuous" vertical="center"/>
    </xf>
    <xf numFmtId="0" fontId="6" fillId="4" borderId="93" xfId="0" applyFont="1" applyFill="1" applyBorder="1" applyAlignment="1">
      <alignment horizontal="right" vertical="center"/>
    </xf>
    <xf numFmtId="1" fontId="2" fillId="0" borderId="94" xfId="0" applyNumberFormat="1" applyFont="1" applyBorder="1" applyAlignment="1">
      <alignment horizontal="centerContinuous" vertical="center"/>
    </xf>
    <xf numFmtId="0" fontId="20" fillId="13" borderId="1" xfId="0" applyFont="1" applyFill="1" applyBorder="1" applyAlignment="1">
      <alignment vertical="center"/>
    </xf>
    <xf numFmtId="49" fontId="26" fillId="13" borderId="21" xfId="0" applyNumberFormat="1" applyFont="1" applyFill="1" applyBorder="1" applyAlignment="1">
      <alignment horizontal="center" vertical="center"/>
    </xf>
    <xf numFmtId="0" fontId="26" fillId="13" borderId="22" xfId="0" applyFont="1" applyFill="1" applyBorder="1" applyAlignment="1">
      <alignment horizontal="center" vertical="center"/>
    </xf>
    <xf numFmtId="0" fontId="7" fillId="0" borderId="96" xfId="0" applyFont="1" applyBorder="1" applyAlignment="1">
      <alignment horizontal="centerContinuous" vertical="center"/>
    </xf>
    <xf numFmtId="0" fontId="5" fillId="0" borderId="97" xfId="0" applyFont="1" applyBorder="1" applyAlignment="1">
      <alignment horizontal="center" vertical="center" shrinkToFit="1"/>
    </xf>
    <xf numFmtId="0" fontId="5" fillId="0" borderId="72" xfId="0" applyFont="1" applyBorder="1" applyAlignment="1">
      <alignment horizontal="left" vertical="center"/>
    </xf>
    <xf numFmtId="1" fontId="2" fillId="0" borderId="82" xfId="0" applyNumberFormat="1" applyFont="1" applyBorder="1" applyAlignment="1">
      <alignment horizontal="center" vertical="center" shrinkToFit="1"/>
    </xf>
    <xf numFmtId="0" fontId="2" fillId="0" borderId="88" xfId="0" applyFont="1" applyBorder="1" applyAlignment="1">
      <alignment horizontal="center" vertical="center" shrinkToFit="1"/>
    </xf>
    <xf numFmtId="0" fontId="44" fillId="0" borderId="27" xfId="0" applyFont="1" applyBorder="1" applyAlignment="1">
      <alignment horizontal="centerContinuous" vertical="center"/>
    </xf>
    <xf numFmtId="0" fontId="45" fillId="0" borderId="27" xfId="0" applyFont="1" applyBorder="1" applyAlignment="1">
      <alignment horizontal="centerContinuous" vertical="center"/>
    </xf>
    <xf numFmtId="0" fontId="46" fillId="0" borderId="27" xfId="0" applyFont="1" applyBorder="1" applyAlignment="1">
      <alignment horizontal="centerContinuous" vertical="center" wrapText="1"/>
    </xf>
    <xf numFmtId="0" fontId="13" fillId="14" borderId="1" xfId="0" applyFont="1" applyFill="1" applyBorder="1" applyAlignment="1">
      <alignment vertical="center"/>
    </xf>
    <xf numFmtId="0" fontId="7" fillId="14" borderId="21" xfId="0" applyFont="1" applyFill="1" applyBorder="1" applyAlignment="1">
      <alignment horizontal="center" vertical="center"/>
    </xf>
    <xf numFmtId="49" fontId="21" fillId="14" borderId="21" xfId="0" applyNumberFormat="1" applyFont="1" applyFill="1" applyBorder="1" applyAlignment="1">
      <alignment horizontal="center" vertical="center"/>
    </xf>
    <xf numFmtId="0" fontId="21" fillId="14" borderId="22" xfId="0" applyFont="1" applyFill="1" applyBorder="1" applyAlignment="1">
      <alignment horizontal="center" vertical="center"/>
    </xf>
    <xf numFmtId="0" fontId="13" fillId="14" borderId="22" xfId="0" applyFont="1" applyFill="1" applyBorder="1" applyAlignment="1">
      <alignment horizontal="center" vertical="center"/>
    </xf>
    <xf numFmtId="49" fontId="7" fillId="14" borderId="22" xfId="0" applyNumberFormat="1" applyFont="1" applyFill="1" applyBorder="1" applyAlignment="1">
      <alignment horizontal="center" vertical="center"/>
    </xf>
    <xf numFmtId="0" fontId="9" fillId="13" borderId="1" xfId="0" applyFont="1" applyFill="1" applyBorder="1" applyAlignment="1">
      <alignment vertical="center"/>
    </xf>
    <xf numFmtId="49" fontId="25" fillId="13" borderId="21" xfId="0" applyNumberFormat="1" applyFont="1" applyFill="1" applyBorder="1" applyAlignment="1">
      <alignment horizontal="center" vertical="center"/>
    </xf>
    <xf numFmtId="0" fontId="25" fillId="13" borderId="22" xfId="0" applyFont="1" applyFill="1" applyBorder="1" applyAlignment="1">
      <alignment horizontal="center" vertical="center"/>
    </xf>
    <xf numFmtId="0" fontId="6" fillId="4" borderId="95" xfId="0" applyFont="1" applyFill="1" applyBorder="1" applyAlignment="1">
      <alignment horizontal="right" vertical="center"/>
    </xf>
    <xf numFmtId="3" fontId="7" fillId="0" borderId="25" xfId="0" applyNumberFormat="1" applyFont="1" applyBorder="1" applyAlignment="1">
      <alignment horizontal="center" vertical="center"/>
    </xf>
    <xf numFmtId="49" fontId="24" fillId="0" borderId="20" xfId="0" applyNumberFormat="1" applyFont="1" applyBorder="1" applyAlignment="1">
      <alignment horizontal="center" vertical="center"/>
    </xf>
    <xf numFmtId="0" fontId="7" fillId="0" borderId="64" xfId="0" applyFont="1" applyBorder="1" applyAlignment="1">
      <alignment horizontal="center" vertical="center"/>
    </xf>
    <xf numFmtId="0" fontId="2" fillId="0" borderId="42" xfId="0" quotePrefix="1" applyFont="1" applyBorder="1" applyAlignment="1">
      <alignment horizontal="left" vertical="center"/>
    </xf>
    <xf numFmtId="1" fontId="7" fillId="0" borderId="24" xfId="0" applyNumberFormat="1" applyFont="1" applyBorder="1" applyAlignment="1">
      <alignment horizontal="center" vertical="center"/>
    </xf>
    <xf numFmtId="1" fontId="7" fillId="0" borderId="25" xfId="0" applyNumberFormat="1" applyFont="1" applyBorder="1" applyAlignment="1">
      <alignment horizontal="center" vertical="center"/>
    </xf>
    <xf numFmtId="0" fontId="19" fillId="0" borderId="92" xfId="0" applyFont="1" applyBorder="1" applyAlignment="1">
      <alignment horizontal="centerContinuous" vertical="center"/>
    </xf>
    <xf numFmtId="0" fontId="19" fillId="0" borderId="99" xfId="0" applyFont="1" applyBorder="1" applyAlignment="1">
      <alignment horizontal="centerContinuous" vertical="center"/>
    </xf>
    <xf numFmtId="0" fontId="2" fillId="0" borderId="100" xfId="0" applyFont="1" applyBorder="1" applyAlignment="1">
      <alignment horizontal="center" vertical="center"/>
    </xf>
    <xf numFmtId="0" fontId="2" fillId="0" borderId="98" xfId="0" applyFont="1" applyBorder="1" applyAlignment="1">
      <alignment horizontal="centerContinuous" vertical="center"/>
    </xf>
    <xf numFmtId="1" fontId="7" fillId="0" borderId="20" xfId="0" applyNumberFormat="1" applyFont="1" applyBorder="1" applyAlignment="1">
      <alignment horizontal="centerContinuous" vertical="center"/>
    </xf>
    <xf numFmtId="0" fontId="7" fillId="0" borderId="3" xfId="0" quotePrefix="1" applyFont="1" applyBorder="1" applyAlignment="1">
      <alignment horizontal="center" vertical="center"/>
    </xf>
    <xf numFmtId="0" fontId="7" fillId="0" borderId="20" xfId="0" quotePrefix="1" applyFont="1" applyBorder="1" applyAlignment="1">
      <alignment horizontal="center" vertical="center"/>
    </xf>
    <xf numFmtId="0" fontId="2" fillId="0" borderId="60" xfId="0" applyFont="1" applyBorder="1" applyAlignment="1">
      <alignment horizontal="center" vertical="center"/>
    </xf>
    <xf numFmtId="0" fontId="2" fillId="0" borderId="36" xfId="0" quotePrefix="1" applyFont="1" applyBorder="1" applyAlignment="1">
      <alignment horizontal="center" vertical="center" wrapText="1"/>
    </xf>
    <xf numFmtId="49" fontId="2" fillId="0" borderId="36" xfId="2" applyNumberFormat="1" applyFont="1" applyFill="1" applyBorder="1" applyAlignment="1">
      <alignment horizontal="center" vertical="center"/>
    </xf>
    <xf numFmtId="0" fontId="2" fillId="0" borderId="36" xfId="0" applyFont="1" applyBorder="1" applyAlignment="1">
      <alignment horizontal="center" vertical="center" shrinkToFit="1"/>
    </xf>
    <xf numFmtId="164" fontId="5" fillId="0" borderId="36" xfId="0" applyNumberFormat="1" applyFont="1" applyBorder="1" applyAlignment="1">
      <alignment horizontal="center" vertical="center"/>
    </xf>
    <xf numFmtId="1" fontId="40" fillId="10" borderId="36" xfId="0" applyNumberFormat="1" applyFont="1" applyFill="1" applyBorder="1" applyAlignment="1">
      <alignment horizontal="center" vertical="center"/>
    </xf>
    <xf numFmtId="1" fontId="2" fillId="0" borderId="36" xfId="0" applyNumberFormat="1" applyFont="1" applyBorder="1" applyAlignment="1">
      <alignment horizontal="center" vertical="center"/>
    </xf>
    <xf numFmtId="0" fontId="2" fillId="0" borderId="38" xfId="0" applyFont="1" applyBorder="1" applyAlignment="1">
      <alignment horizontal="center" vertical="center"/>
    </xf>
    <xf numFmtId="1" fontId="2" fillId="0" borderId="89" xfId="0" applyNumberFormat="1" applyFont="1" applyBorder="1" applyAlignment="1">
      <alignment horizontal="center" vertical="center"/>
    </xf>
    <xf numFmtId="164" fontId="2" fillId="0" borderId="86" xfId="0" applyNumberFormat="1" applyFont="1" applyBorder="1" applyAlignment="1">
      <alignment horizontal="center" vertical="center"/>
    </xf>
    <xf numFmtId="0" fontId="2" fillId="0" borderId="101" xfId="0" applyFont="1" applyBorder="1" applyAlignment="1">
      <alignment horizontal="center" vertical="center"/>
    </xf>
    <xf numFmtId="0" fontId="2" fillId="0" borderId="65" xfId="0" applyFont="1" applyBorder="1" applyAlignment="1">
      <alignment horizontal="center" vertical="center"/>
    </xf>
    <xf numFmtId="0" fontId="2" fillId="0" borderId="65" xfId="0" quotePrefix="1" applyFont="1" applyBorder="1" applyAlignment="1">
      <alignment horizontal="center" vertical="center"/>
    </xf>
    <xf numFmtId="9" fontId="2" fillId="0" borderId="65" xfId="0" applyNumberFormat="1" applyFont="1" applyBorder="1" applyAlignment="1">
      <alignment horizontal="center" vertical="center"/>
    </xf>
    <xf numFmtId="164" fontId="2" fillId="0" borderId="65" xfId="0" applyNumberFormat="1" applyFont="1" applyBorder="1" applyAlignment="1">
      <alignment horizontal="center" vertical="center"/>
    </xf>
    <xf numFmtId="164" fontId="2" fillId="0" borderId="66" xfId="0" applyNumberFormat="1" applyFont="1" applyBorder="1" applyAlignment="1">
      <alignment horizontal="centerContinuous" vertical="center"/>
    </xf>
    <xf numFmtId="0" fontId="5" fillId="0" borderId="56" xfId="0" quotePrefix="1" applyFont="1" applyBorder="1" applyAlignment="1">
      <alignment horizontal="centerContinuous" vertical="center"/>
    </xf>
    <xf numFmtId="0" fontId="2" fillId="0" borderId="102" xfId="0" applyFont="1" applyBorder="1" applyAlignment="1">
      <alignment horizontal="center" vertical="center"/>
    </xf>
    <xf numFmtId="0" fontId="5" fillId="0" borderId="68" xfId="0" applyFont="1" applyBorder="1" applyAlignment="1">
      <alignment horizontal="center" vertical="center"/>
    </xf>
    <xf numFmtId="0" fontId="2" fillId="0" borderId="68" xfId="0" applyFont="1" applyBorder="1" applyAlignment="1">
      <alignment horizontal="center" vertical="center"/>
    </xf>
    <xf numFmtId="164" fontId="2" fillId="0" borderId="67" xfId="0" applyNumberFormat="1" applyFont="1" applyBorder="1" applyAlignment="1">
      <alignment horizontal="centerContinuous" vertical="center"/>
    </xf>
    <xf numFmtId="0" fontId="5" fillId="0" borderId="71" xfId="0" applyFont="1" applyBorder="1" applyAlignment="1">
      <alignment horizontal="centerContinuous" vertical="center"/>
    </xf>
    <xf numFmtId="0" fontId="35" fillId="0" borderId="1" xfId="0" applyFont="1" applyBorder="1" applyAlignment="1">
      <alignment vertical="center"/>
    </xf>
    <xf numFmtId="0" fontId="36" fillId="0" borderId="28" xfId="0" applyFont="1" applyBorder="1" applyAlignment="1">
      <alignment vertical="center"/>
    </xf>
    <xf numFmtId="49" fontId="15" fillId="0" borderId="30" xfId="0" applyNumberFormat="1" applyFont="1" applyBorder="1" applyAlignment="1">
      <alignment horizontal="center" shrinkToFit="1"/>
    </xf>
    <xf numFmtId="0" fontId="7" fillId="11" borderId="21" xfId="0" applyFont="1" applyFill="1" applyBorder="1" applyAlignment="1">
      <alignment horizontal="center" vertical="center"/>
    </xf>
    <xf numFmtId="49" fontId="7" fillId="11" borderId="22" xfId="0" applyNumberFormat="1" applyFont="1" applyFill="1" applyBorder="1" applyAlignment="1">
      <alignment horizontal="center" vertical="center"/>
    </xf>
    <xf numFmtId="1" fontId="7" fillId="13" borderId="22" xfId="0" applyNumberFormat="1" applyFont="1" applyFill="1" applyBorder="1" applyAlignment="1">
      <alignment horizontal="center" vertical="center"/>
    </xf>
    <xf numFmtId="0" fontId="12" fillId="13" borderId="1" xfId="0" applyFont="1" applyFill="1" applyBorder="1" applyAlignment="1">
      <alignment vertical="center"/>
    </xf>
    <xf numFmtId="49" fontId="22" fillId="13" borderId="21" xfId="0" applyNumberFormat="1" applyFont="1" applyFill="1" applyBorder="1" applyAlignment="1">
      <alignment horizontal="center" vertical="center"/>
    </xf>
    <xf numFmtId="0" fontId="22" fillId="13" borderId="22" xfId="0" applyFont="1" applyFill="1" applyBorder="1" applyAlignment="1">
      <alignment horizontal="center" vertical="center"/>
    </xf>
    <xf numFmtId="0" fontId="20" fillId="13" borderId="22" xfId="0" applyFont="1" applyFill="1" applyBorder="1" applyAlignment="1">
      <alignment horizontal="center" vertical="center"/>
    </xf>
    <xf numFmtId="0" fontId="11" fillId="3" borderId="17" xfId="0" applyFont="1" applyFill="1" applyBorder="1" applyAlignment="1">
      <alignment horizontal="centerContinuous" vertical="center"/>
    </xf>
    <xf numFmtId="0" fontId="11" fillId="3" borderId="18" xfId="0" applyFont="1" applyFill="1" applyBorder="1" applyAlignment="1">
      <alignment horizontal="center" vertical="center"/>
    </xf>
    <xf numFmtId="0" fontId="11" fillId="3" borderId="34" xfId="0" applyFont="1" applyFill="1" applyBorder="1" applyAlignment="1">
      <alignment horizontal="center" vertical="center"/>
    </xf>
    <xf numFmtId="0" fontId="11" fillId="3" borderId="63" xfId="0" applyFont="1" applyFill="1" applyBorder="1" applyAlignment="1">
      <alignment horizontal="center" vertical="center"/>
    </xf>
    <xf numFmtId="0" fontId="4" fillId="0" borderId="0" xfId="0" applyFont="1" applyAlignment="1">
      <alignment vertical="center"/>
    </xf>
    <xf numFmtId="49" fontId="7" fillId="0" borderId="46" xfId="0" applyNumberFormat="1" applyFont="1" applyBorder="1" applyAlignment="1">
      <alignment horizontal="center" vertical="center"/>
    </xf>
    <xf numFmtId="49" fontId="7" fillId="13" borderId="21" xfId="0" applyNumberFormat="1" applyFont="1" applyFill="1" applyBorder="1" applyAlignment="1">
      <alignment horizontal="center" vertical="center"/>
    </xf>
    <xf numFmtId="0" fontId="2" fillId="0" borderId="0" xfId="0" applyFont="1" applyAlignment="1">
      <alignment horizontal="center" vertical="center"/>
    </xf>
    <xf numFmtId="0" fontId="14" fillId="0" borderId="0" xfId="0" applyFont="1" applyAlignment="1">
      <alignment horizontal="centerContinuous" vertical="center" wrapText="1"/>
    </xf>
    <xf numFmtId="0" fontId="11" fillId="9" borderId="103" xfId="0" applyFont="1" applyFill="1" applyBorder="1" applyAlignment="1">
      <alignment horizontal="centerContinuous" vertical="center" wrapText="1"/>
    </xf>
    <xf numFmtId="0" fontId="11" fillId="9" borderId="104" xfId="0" applyFont="1" applyFill="1" applyBorder="1" applyAlignment="1">
      <alignment horizontal="center" vertical="center" wrapText="1"/>
    </xf>
    <xf numFmtId="0" fontId="7" fillId="0" borderId="105" xfId="0" applyFont="1" applyBorder="1" applyAlignment="1">
      <alignment horizontal="center" vertical="center"/>
    </xf>
    <xf numFmtId="0" fontId="7" fillId="0" borderId="106" xfId="0" applyFont="1" applyBorder="1" applyAlignment="1">
      <alignment horizontal="center" vertical="center"/>
    </xf>
    <xf numFmtId="0" fontId="7" fillId="0" borderId="1" xfId="0" applyFont="1" applyBorder="1" applyAlignment="1">
      <alignment horizontal="center" vertical="center"/>
    </xf>
    <xf numFmtId="0" fontId="7" fillId="0" borderId="5" xfId="0" applyFont="1" applyBorder="1" applyAlignment="1">
      <alignment horizontal="center" vertical="center"/>
    </xf>
    <xf numFmtId="0" fontId="7" fillId="0" borderId="47" xfId="0" applyFont="1" applyBorder="1" applyAlignment="1">
      <alignment horizontal="center" vertical="center"/>
    </xf>
    <xf numFmtId="0" fontId="5" fillId="0" borderId="1" xfId="0" applyFont="1" applyBorder="1" applyAlignment="1">
      <alignment vertical="center" wrapText="1"/>
    </xf>
    <xf numFmtId="0" fontId="47" fillId="0" borderId="0" xfId="0" applyFont="1" applyAlignment="1">
      <alignment horizontal="centerContinuous" vertical="center" wrapText="1"/>
    </xf>
    <xf numFmtId="0" fontId="48" fillId="0" borderId="0" xfId="0" applyFont="1" applyAlignment="1">
      <alignment horizontal="centerContinuous"/>
    </xf>
    <xf numFmtId="164" fontId="2" fillId="0" borderId="42" xfId="0" applyNumberFormat="1" applyFont="1" applyBorder="1" applyAlignment="1">
      <alignment horizontal="center" vertical="center" shrinkToFit="1"/>
    </xf>
    <xf numFmtId="0" fontId="5" fillId="0" borderId="36" xfId="0" applyFont="1" applyBorder="1" applyAlignment="1">
      <alignment horizontal="center" vertical="center" shrinkToFit="1"/>
    </xf>
    <xf numFmtId="1" fontId="2" fillId="11" borderId="0" xfId="0" applyNumberFormat="1" applyFont="1" applyFill="1" applyAlignment="1">
      <alignment horizontal="center" vertical="center"/>
    </xf>
    <xf numFmtId="9" fontId="2" fillId="0" borderId="68" xfId="0" applyNumberFormat="1" applyFont="1" applyBorder="1" applyAlignment="1">
      <alignment horizontal="center" vertical="center"/>
    </xf>
    <xf numFmtId="164" fontId="2" fillId="0" borderId="68" xfId="0" applyNumberFormat="1" applyFont="1" applyBorder="1" applyAlignment="1">
      <alignment horizontal="center" vertical="center"/>
    </xf>
    <xf numFmtId="165" fontId="2" fillId="0" borderId="0" xfId="0" applyNumberFormat="1" applyFont="1" applyAlignment="1">
      <alignment horizontal="center" vertical="center"/>
    </xf>
    <xf numFmtId="0" fontId="5" fillId="0" borderId="0" xfId="0" applyFont="1" applyAlignment="1">
      <alignment horizontal="center" vertical="center" wrapText="1"/>
    </xf>
    <xf numFmtId="0" fontId="20" fillId="0" borderId="1" xfId="0" applyFont="1" applyBorder="1" applyAlignment="1">
      <alignment vertical="center"/>
    </xf>
    <xf numFmtId="49" fontId="26" fillId="0" borderId="21" xfId="0" applyNumberFormat="1" applyFont="1" applyBorder="1" applyAlignment="1">
      <alignment horizontal="center" vertical="center"/>
    </xf>
    <xf numFmtId="0" fontId="26" fillId="0" borderId="22" xfId="0" applyFont="1" applyBorder="1" applyAlignment="1">
      <alignment horizontal="center" vertical="center"/>
    </xf>
    <xf numFmtId="164" fontId="2" fillId="0" borderId="42" xfId="0" applyNumberFormat="1" applyFont="1" applyBorder="1" applyAlignment="1">
      <alignment horizontal="center" vertical="center"/>
    </xf>
    <xf numFmtId="164" fontId="2" fillId="0" borderId="36" xfId="0" applyNumberFormat="1" applyFont="1" applyBorder="1" applyAlignment="1">
      <alignment horizontal="center" vertical="center"/>
    </xf>
    <xf numFmtId="0" fontId="11" fillId="9" borderId="108" xfId="0" applyFont="1" applyFill="1" applyBorder="1" applyAlignment="1">
      <alignment horizontal="center" vertical="center" wrapText="1"/>
    </xf>
    <xf numFmtId="49" fontId="7" fillId="0" borderId="109" xfId="0" applyNumberFormat="1" applyFont="1" applyBorder="1" applyAlignment="1">
      <alignment horizontal="center" vertical="center"/>
    </xf>
    <xf numFmtId="49" fontId="7" fillId="0" borderId="23" xfId="0" applyNumberFormat="1" applyFont="1" applyBorder="1" applyAlignment="1">
      <alignment horizontal="center" vertical="center"/>
    </xf>
    <xf numFmtId="49" fontId="7" fillId="0" borderId="31" xfId="0" applyNumberFormat="1" applyFont="1" applyBorder="1" applyAlignment="1">
      <alignment horizontal="center" vertical="center"/>
    </xf>
    <xf numFmtId="49" fontId="2" fillId="0" borderId="67" xfId="0" applyNumberFormat="1" applyFont="1" applyBorder="1" applyAlignment="1">
      <alignment horizontal="center" vertical="center"/>
    </xf>
    <xf numFmtId="1" fontId="2" fillId="0" borderId="32" xfId="0" applyNumberFormat="1" applyFont="1" applyBorder="1" applyAlignment="1">
      <alignment horizontal="center" vertical="center"/>
    </xf>
    <xf numFmtId="0" fontId="2" fillId="0" borderId="59" xfId="0" applyFont="1" applyBorder="1" applyAlignment="1">
      <alignment horizontal="center" vertical="center"/>
    </xf>
    <xf numFmtId="0" fontId="2" fillId="0" borderId="45" xfId="0" quotePrefix="1" applyFont="1" applyBorder="1" applyAlignment="1">
      <alignment horizontal="center" vertical="center" wrapText="1"/>
    </xf>
    <xf numFmtId="49" fontId="2" fillId="0" borderId="45" xfId="2" applyNumberFormat="1" applyFont="1" applyFill="1" applyBorder="1" applyAlignment="1">
      <alignment horizontal="center" vertical="center"/>
    </xf>
    <xf numFmtId="0" fontId="2" fillId="0" borderId="45" xfId="0" applyFont="1" applyBorder="1" applyAlignment="1">
      <alignment horizontal="center" vertical="center" shrinkToFit="1"/>
    </xf>
    <xf numFmtId="164" fontId="5" fillId="0" borderId="45" xfId="0" applyNumberFormat="1" applyFont="1" applyBorder="1" applyAlignment="1">
      <alignment horizontal="center" vertical="center"/>
    </xf>
    <xf numFmtId="1" fontId="2" fillId="0" borderId="45" xfId="0" applyNumberFormat="1" applyFont="1" applyBorder="1" applyAlignment="1">
      <alignment horizontal="center" vertical="center"/>
    </xf>
    <xf numFmtId="0" fontId="2" fillId="0" borderId="107" xfId="0" applyFont="1" applyBorder="1" applyAlignment="1">
      <alignment horizontal="center" vertical="center"/>
    </xf>
    <xf numFmtId="0" fontId="7" fillId="0" borderId="32" xfId="0" applyFont="1" applyBorder="1" applyAlignment="1">
      <alignment horizontal="centerContinuous" vertical="center"/>
    </xf>
    <xf numFmtId="0" fontId="7" fillId="0" borderId="32" xfId="0" applyFont="1" applyBorder="1" applyAlignment="1">
      <alignment horizontal="centerContinuous"/>
    </xf>
    <xf numFmtId="0" fontId="7" fillId="0" borderId="32" xfId="0" applyFont="1" applyBorder="1" applyAlignment="1">
      <alignment horizontal="center" vertical="center" shrinkToFit="1"/>
    </xf>
    <xf numFmtId="0" fontId="7" fillId="0" borderId="51" xfId="0" quotePrefix="1" applyFont="1" applyBorder="1" applyAlignment="1">
      <alignment horizontal="centerContinuous" vertical="center" shrinkToFit="1"/>
    </xf>
    <xf numFmtId="0" fontId="13" fillId="6" borderId="22" xfId="0" applyFont="1" applyFill="1" applyBorder="1" applyAlignment="1">
      <alignment horizontal="center" vertical="center"/>
    </xf>
    <xf numFmtId="0" fontId="2" fillId="0" borderId="110" xfId="0" applyFont="1" applyBorder="1" applyAlignment="1">
      <alignment horizontal="center" vertical="center"/>
    </xf>
    <xf numFmtId="0" fontId="2" fillId="0" borderId="111" xfId="0" applyFont="1" applyBorder="1" applyAlignment="1">
      <alignment horizontal="center" vertical="center"/>
    </xf>
    <xf numFmtId="0" fontId="2" fillId="0" borderId="111" xfId="0" quotePrefix="1" applyFont="1" applyBorder="1" applyAlignment="1">
      <alignment horizontal="center" vertical="center"/>
    </xf>
    <xf numFmtId="9" fontId="2" fillId="0" borderId="111" xfId="0" applyNumberFormat="1" applyFont="1" applyBorder="1" applyAlignment="1">
      <alignment horizontal="center" vertical="center"/>
    </xf>
    <xf numFmtId="164" fontId="2" fillId="0" borderId="111" xfId="0" applyNumberFormat="1" applyFont="1" applyBorder="1" applyAlignment="1">
      <alignment horizontal="center" vertical="center"/>
    </xf>
    <xf numFmtId="164" fontId="2" fillId="0" borderId="112" xfId="0" applyNumberFormat="1" applyFont="1" applyBorder="1" applyAlignment="1">
      <alignment horizontal="centerContinuous" vertical="center"/>
    </xf>
    <xf numFmtId="164" fontId="5" fillId="0" borderId="79" xfId="0" applyNumberFormat="1" applyFont="1" applyBorder="1" applyAlignment="1">
      <alignment horizontal="centerContinuous" vertical="center"/>
    </xf>
    <xf numFmtId="0" fontId="5" fillId="0" borderId="81" xfId="0" quotePrefix="1" applyFont="1" applyBorder="1" applyAlignment="1">
      <alignment horizontal="centerContinuous" vertical="center"/>
    </xf>
    <xf numFmtId="164" fontId="2" fillId="0" borderId="72" xfId="0" applyNumberFormat="1" applyFont="1" applyBorder="1" applyAlignment="1">
      <alignment horizontal="center" vertical="center" shrinkToFit="1"/>
    </xf>
    <xf numFmtId="0" fontId="7" fillId="0" borderId="2" xfId="0" quotePrefix="1" applyFont="1" applyBorder="1" applyAlignment="1">
      <alignment horizontal="center" vertical="center"/>
    </xf>
    <xf numFmtId="0" fontId="7" fillId="5" borderId="23" xfId="0" quotePrefix="1" applyFont="1" applyFill="1" applyBorder="1" applyAlignment="1">
      <alignment horizontal="center" vertical="center"/>
    </xf>
    <xf numFmtId="1" fontId="7" fillId="0" borderId="21" xfId="0" applyNumberFormat="1" applyFont="1" applyBorder="1" applyAlignment="1">
      <alignment horizontal="center" vertical="center"/>
    </xf>
    <xf numFmtId="1" fontId="7" fillId="0" borderId="46" xfId="0" applyNumberFormat="1" applyFont="1" applyBorder="1" applyAlignment="1">
      <alignment horizontal="center" vertical="center"/>
    </xf>
    <xf numFmtId="0" fontId="7" fillId="0" borderId="82" xfId="0" applyFont="1" applyBorder="1" applyAlignment="1">
      <alignment horizontal="center" vertical="center" shrinkToFit="1"/>
    </xf>
    <xf numFmtId="0" fontId="2" fillId="0" borderId="113" xfId="0" applyFont="1" applyBorder="1" applyAlignment="1">
      <alignment horizontal="center" vertical="center"/>
    </xf>
    <xf numFmtId="0" fontId="2" fillId="0" borderId="114" xfId="0" applyFont="1" applyBorder="1" applyAlignment="1">
      <alignment horizontal="center" vertical="center"/>
    </xf>
    <xf numFmtId="49" fontId="2" fillId="0" borderId="114" xfId="2" applyNumberFormat="1" applyFont="1" applyFill="1" applyBorder="1" applyAlignment="1">
      <alignment horizontal="center" vertical="center"/>
    </xf>
    <xf numFmtId="164" fontId="5" fillId="0" borderId="114" xfId="0" applyNumberFormat="1" applyFont="1" applyBorder="1" applyAlignment="1">
      <alignment horizontal="center" vertical="center"/>
    </xf>
    <xf numFmtId="1" fontId="40" fillId="10" borderId="114" xfId="0" applyNumberFormat="1" applyFont="1" applyFill="1" applyBorder="1" applyAlignment="1">
      <alignment horizontal="center" vertical="center"/>
    </xf>
    <xf numFmtId="1" fontId="2" fillId="0" borderId="114" xfId="0" applyNumberFormat="1" applyFont="1" applyBorder="1" applyAlignment="1">
      <alignment horizontal="center" vertical="center"/>
    </xf>
    <xf numFmtId="0" fontId="2" fillId="0" borderId="115" xfId="0" applyFont="1" applyBorder="1" applyAlignment="1">
      <alignment horizontal="center" vertical="center"/>
    </xf>
    <xf numFmtId="0" fontId="2" fillId="0" borderId="87" xfId="0" applyFont="1" applyBorder="1" applyAlignment="1">
      <alignment horizontal="center" vertical="center"/>
    </xf>
    <xf numFmtId="49" fontId="2" fillId="0" borderId="66" xfId="0" applyNumberFormat="1" applyFont="1" applyBorder="1" applyAlignment="1">
      <alignment horizontal="centerContinuous" vertical="center"/>
    </xf>
    <xf numFmtId="0" fontId="5" fillId="0" borderId="56" xfId="0" applyFont="1" applyBorder="1" applyAlignment="1">
      <alignment horizontal="centerContinuous" vertical="center"/>
    </xf>
    <xf numFmtId="49" fontId="2" fillId="0" borderId="67" xfId="0" applyNumberFormat="1" applyFont="1" applyBorder="1" applyAlignment="1">
      <alignment horizontal="centerContinuous" vertical="center"/>
    </xf>
    <xf numFmtId="165" fontId="2" fillId="0" borderId="0" xfId="0" applyNumberFormat="1" applyFont="1" applyAlignment="1">
      <alignment vertical="center"/>
    </xf>
    <xf numFmtId="1" fontId="6" fillId="15" borderId="24" xfId="0" applyNumberFormat="1" applyFont="1" applyFill="1" applyBorder="1" applyAlignment="1">
      <alignment horizontal="center" vertical="center"/>
    </xf>
    <xf numFmtId="0" fontId="7" fillId="0" borderId="9" xfId="0" applyFont="1" applyBorder="1" applyAlignment="1">
      <alignment horizontal="center" vertical="center"/>
    </xf>
    <xf numFmtId="0" fontId="7" fillId="14" borderId="23" xfId="0" quotePrefix="1" applyFont="1" applyFill="1" applyBorder="1" applyAlignment="1">
      <alignment horizontal="center" vertical="center"/>
    </xf>
    <xf numFmtId="0" fontId="6" fillId="11" borderId="1" xfId="0" applyFont="1" applyFill="1" applyBorder="1" applyAlignment="1">
      <alignment horizontal="right" vertical="center"/>
    </xf>
    <xf numFmtId="0" fontId="7" fillId="11" borderId="0" xfId="0" applyFont="1" applyFill="1" applyAlignment="1">
      <alignment horizontal="centerContinuous" vertical="center"/>
    </xf>
    <xf numFmtId="0" fontId="6" fillId="11" borderId="0" xfId="0" applyFont="1" applyFill="1" applyAlignment="1">
      <alignment horizontal="right" vertical="center"/>
    </xf>
    <xf numFmtId="0" fontId="7" fillId="11" borderId="0" xfId="0" applyFont="1" applyFill="1" applyAlignment="1">
      <alignment horizontal="center" vertical="center"/>
    </xf>
    <xf numFmtId="49" fontId="21" fillId="13" borderId="21" xfId="0" applyNumberFormat="1" applyFont="1" applyFill="1" applyBorder="1" applyAlignment="1">
      <alignment horizontal="center" vertical="center"/>
    </xf>
    <xf numFmtId="0" fontId="21" fillId="13" borderId="22" xfId="0" applyFont="1" applyFill="1" applyBorder="1" applyAlignment="1">
      <alignment horizontal="center" vertical="center"/>
    </xf>
    <xf numFmtId="0" fontId="13" fillId="13" borderId="22" xfId="0" applyFont="1" applyFill="1" applyBorder="1" applyAlignment="1">
      <alignment horizontal="center" vertical="center"/>
    </xf>
    <xf numFmtId="0" fontId="12" fillId="0" borderId="5" xfId="0" applyFont="1" applyBorder="1" applyAlignment="1">
      <alignment vertical="center"/>
    </xf>
    <xf numFmtId="49" fontId="22" fillId="0" borderId="47" xfId="0" applyNumberFormat="1" applyFont="1" applyBorder="1" applyAlignment="1">
      <alignment horizontal="center" vertical="center"/>
    </xf>
    <xf numFmtId="0" fontId="22" fillId="0" borderId="48" xfId="0" applyFont="1" applyBorder="1" applyAlignment="1">
      <alignment horizontal="center" vertical="center"/>
    </xf>
    <xf numFmtId="49" fontId="7" fillId="0" borderId="48" xfId="0" applyNumberFormat="1" applyFont="1" applyBorder="1" applyAlignment="1">
      <alignment horizontal="center" vertical="center"/>
    </xf>
    <xf numFmtId="0" fontId="7" fillId="0" borderId="31" xfId="0" applyFont="1" applyBorder="1" applyAlignment="1">
      <alignment horizontal="center" vertical="center"/>
    </xf>
    <xf numFmtId="0" fontId="10" fillId="11" borderId="1" xfId="0" applyFont="1" applyFill="1" applyBorder="1" applyAlignment="1">
      <alignment vertical="center"/>
    </xf>
    <xf numFmtId="49" fontId="15" fillId="11" borderId="21" xfId="0" applyNumberFormat="1" applyFont="1" applyFill="1" applyBorder="1" applyAlignment="1">
      <alignment horizontal="center" vertical="center"/>
    </xf>
    <xf numFmtId="0" fontId="15" fillId="11" borderId="22" xfId="0" applyFont="1" applyFill="1" applyBorder="1" applyAlignment="1">
      <alignment horizontal="center" vertical="center"/>
    </xf>
    <xf numFmtId="0" fontId="7" fillId="11" borderId="23" xfId="0" applyFont="1" applyFill="1" applyBorder="1" applyAlignment="1">
      <alignment horizontal="center" vertical="center"/>
    </xf>
    <xf numFmtId="0" fontId="12" fillId="13" borderId="22" xfId="0" applyFont="1" applyFill="1" applyBorder="1" applyAlignment="1">
      <alignment horizontal="center" vertical="center"/>
    </xf>
    <xf numFmtId="0" fontId="38" fillId="16" borderId="33" xfId="0" applyFont="1" applyFill="1" applyBorder="1" applyAlignment="1">
      <alignment horizontal="center" vertical="center"/>
    </xf>
    <xf numFmtId="0" fontId="38" fillId="16" borderId="22" xfId="0" applyFont="1" applyFill="1" applyBorder="1" applyAlignment="1">
      <alignment horizontal="center" vertical="center"/>
    </xf>
    <xf numFmtId="0" fontId="38" fillId="16" borderId="46" xfId="0" applyFont="1" applyFill="1" applyBorder="1" applyAlignment="1">
      <alignment horizontal="center" vertical="center"/>
    </xf>
    <xf numFmtId="0" fontId="38" fillId="16" borderId="48" xfId="0" applyFont="1" applyFill="1" applyBorder="1" applyAlignment="1">
      <alignment horizontal="center" vertical="center"/>
    </xf>
    <xf numFmtId="0" fontId="7" fillId="0" borderId="50" xfId="0" applyFont="1" applyBorder="1" applyAlignment="1">
      <alignment horizontal="centerContinuous" vertical="center"/>
    </xf>
    <xf numFmtId="0" fontId="2" fillId="0" borderId="84" xfId="0" applyFont="1" applyBorder="1" applyAlignment="1">
      <alignment horizontal="centerContinuous" vertical="center"/>
    </xf>
    <xf numFmtId="0" fontId="49" fillId="2" borderId="116" xfId="0" applyFont="1" applyFill="1" applyBorder="1" applyAlignment="1">
      <alignment horizontal="right" vertical="center"/>
    </xf>
    <xf numFmtId="0" fontId="49" fillId="2" borderId="117" xfId="0" applyFont="1" applyFill="1" applyBorder="1" applyAlignment="1">
      <alignment horizontal="left" vertical="center"/>
    </xf>
    <xf numFmtId="0" fontId="50" fillId="2" borderId="117" xfId="0" applyFont="1" applyFill="1" applyBorder="1" applyAlignment="1">
      <alignment horizontal="centerContinuous" vertical="center"/>
    </xf>
    <xf numFmtId="0" fontId="51" fillId="2" borderId="118" xfId="1" applyFont="1" applyFill="1" applyBorder="1" applyAlignment="1" applyProtection="1">
      <alignment horizontal="right" vertical="center"/>
    </xf>
    <xf numFmtId="0" fontId="2" fillId="0" borderId="36" xfId="2" applyNumberFormat="1" applyFont="1" applyFill="1" applyBorder="1" applyAlignment="1">
      <alignment horizontal="center" vertical="center"/>
    </xf>
    <xf numFmtId="0" fontId="52" fillId="2" borderId="4" xfId="0" applyFont="1" applyFill="1" applyBorder="1" applyAlignment="1">
      <alignment horizontal="right" vertical="center"/>
    </xf>
    <xf numFmtId="0" fontId="2" fillId="0" borderId="91" xfId="0" applyFont="1" applyBorder="1" applyAlignment="1">
      <alignment horizontal="centerContinuous" vertical="center" shrinkToFit="1"/>
    </xf>
    <xf numFmtId="164" fontId="2" fillId="17" borderId="36" xfId="0" applyNumberFormat="1" applyFont="1" applyFill="1" applyBorder="1" applyAlignment="1">
      <alignment horizontal="center" vertical="center"/>
    </xf>
    <xf numFmtId="164" fontId="2" fillId="17" borderId="114" xfId="0" applyNumberFormat="1" applyFont="1" applyFill="1" applyBorder="1" applyAlignment="1">
      <alignment horizontal="center" vertical="center"/>
    </xf>
    <xf numFmtId="164" fontId="2" fillId="17" borderId="45" xfId="0" applyNumberFormat="1" applyFont="1" applyFill="1" applyBorder="1" applyAlignment="1">
      <alignment horizontal="center" vertical="center"/>
    </xf>
    <xf numFmtId="1" fontId="2" fillId="17" borderId="89" xfId="0" applyNumberFormat="1" applyFont="1" applyFill="1" applyBorder="1" applyAlignment="1">
      <alignment horizontal="center" vertical="center"/>
    </xf>
    <xf numFmtId="1" fontId="2" fillId="17" borderId="96" xfId="0" applyNumberFormat="1" applyFont="1" applyFill="1" applyBorder="1" applyAlignment="1">
      <alignment horizontal="center" vertical="center"/>
    </xf>
    <xf numFmtId="0" fontId="7" fillId="0" borderId="51" xfId="0" applyFont="1" applyBorder="1" applyAlignment="1">
      <alignment horizontal="centerContinuous" vertical="center"/>
    </xf>
    <xf numFmtId="0" fontId="2" fillId="0" borderId="0" xfId="0" applyFont="1" applyAlignment="1">
      <alignment horizontal="center" vertical="center" shrinkToFit="1"/>
    </xf>
    <xf numFmtId="0" fontId="54" fillId="0" borderId="0" xfId="0" applyFont="1" applyAlignment="1">
      <alignment vertical="center"/>
    </xf>
    <xf numFmtId="0" fontId="2" fillId="0" borderId="0" xfId="0" applyFont="1" applyAlignment="1">
      <alignment horizontal="left" vertical="center" shrinkToFit="1"/>
    </xf>
    <xf numFmtId="0" fontId="19" fillId="3" borderId="16" xfId="0" applyFont="1" applyFill="1" applyBorder="1" applyAlignment="1">
      <alignment horizontal="center" vertical="center"/>
    </xf>
    <xf numFmtId="9" fontId="19" fillId="3" borderId="15" xfId="2" applyFont="1" applyFill="1" applyBorder="1" applyAlignment="1">
      <alignment horizontal="center" vertical="center"/>
    </xf>
    <xf numFmtId="0" fontId="2" fillId="0" borderId="43" xfId="0" applyFont="1" applyBorder="1" applyAlignment="1">
      <alignment horizontal="center" vertical="center"/>
    </xf>
    <xf numFmtId="164" fontId="2" fillId="0" borderId="45" xfId="0" applyNumberFormat="1" applyFont="1" applyBorder="1" applyAlignment="1">
      <alignment horizontal="center" vertical="center"/>
    </xf>
  </cellXfs>
  <cellStyles count="11">
    <cellStyle name="Excel Built-in Normal" xfId="4" xr:uid="{00000000-0005-0000-0000-000000000000}"/>
    <cellStyle name="Hyperlink" xfId="1" builtinId="8"/>
    <cellStyle name="Normal" xfId="0" builtinId="0"/>
    <cellStyle name="Normal 2" xfId="5" xr:uid="{00000000-0005-0000-0000-000003000000}"/>
    <cellStyle name="Normal 2 2" xfId="6" xr:uid="{00000000-0005-0000-0000-000004000000}"/>
    <cellStyle name="Normal 3" xfId="9" xr:uid="{00000000-0005-0000-0000-000005000000}"/>
    <cellStyle name="Normal 4" xfId="3" xr:uid="{00000000-0005-0000-0000-000006000000}"/>
    <cellStyle name="Normal 5" xfId="10" xr:uid="{00000000-0005-0000-0000-000007000000}"/>
    <cellStyle name="Percent" xfId="2" builtinId="5"/>
    <cellStyle name="Percent 2" xfId="7" xr:uid="{00000000-0005-0000-0000-000009000000}"/>
    <cellStyle name="Percent 2 2" xfId="8" xr:uid="{00000000-0005-0000-0000-00000A000000}"/>
  </cellStyles>
  <dxfs count="10">
    <dxf>
      <font>
        <color rgb="FFFF0000"/>
      </font>
    </dxf>
    <dxf>
      <font>
        <b/>
        <i val="0"/>
      </font>
      <fill>
        <patternFill>
          <bgColor rgb="FF00FF00"/>
        </patternFill>
      </fill>
    </dxf>
    <dxf>
      <font>
        <b/>
        <i/>
        <color theme="1"/>
      </font>
      <fill>
        <patternFill>
          <bgColor rgb="FF00FF00"/>
        </patternFill>
      </fill>
    </dxf>
    <dxf>
      <font>
        <b val="0"/>
        <i/>
        <color auto="1"/>
      </font>
      <fill>
        <patternFill>
          <bgColor theme="0" tint="-0.24994659260841701"/>
        </patternFill>
      </fill>
    </dxf>
    <dxf>
      <font>
        <b/>
        <i val="0"/>
      </font>
      <fill>
        <patternFill>
          <bgColor rgb="FF00FF00"/>
        </patternFill>
      </fill>
    </dxf>
    <dxf>
      <font>
        <b/>
        <i/>
        <color theme="1"/>
      </font>
      <fill>
        <patternFill>
          <bgColor rgb="FF00FF00"/>
        </patternFill>
      </fill>
    </dxf>
    <dxf>
      <font>
        <b val="0"/>
        <i/>
        <color auto="1"/>
      </font>
      <fill>
        <patternFill>
          <bgColor theme="0" tint="-0.24994659260841701"/>
        </patternFill>
      </fill>
    </dxf>
    <dxf>
      <fill>
        <patternFill>
          <bgColor rgb="FFFF00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9900FF"/>
      <color rgb="FFCCFFCC"/>
      <color rgb="FFFF0000"/>
      <color rgb="FFCC99FF"/>
      <color rgb="FF00FF00"/>
      <color rgb="FFFFCCFF"/>
      <color rgb="FF9933FF"/>
      <color rgb="FF9966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38100</xdr:colOff>
      <xdr:row>19</xdr:row>
      <xdr:rowOff>30480</xdr:rowOff>
    </xdr:from>
    <xdr:to>
      <xdr:col>7</xdr:col>
      <xdr:colOff>0</xdr:colOff>
      <xdr:row>59</xdr:row>
      <xdr:rowOff>160020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8100" y="4251960"/>
          <a:ext cx="6522720" cy="80543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200" b="1">
              <a:solidFill>
                <a:schemeClr val="dk1"/>
              </a:solidFill>
              <a:effectLst/>
              <a:latin typeface="Times New Roman" panose="02020603050405020304" pitchFamily="18" charset="0"/>
              <a:ea typeface="+mn-ea"/>
              <a:cs typeface="Times New Roman" panose="02020603050405020304" pitchFamily="18" charset="0"/>
            </a:rPr>
            <a:t>Appearance:  </a:t>
          </a:r>
          <a:r>
            <a:rPr lang="en-US" sz="1200">
              <a:solidFill>
                <a:schemeClr val="dk1"/>
              </a:solidFill>
              <a:effectLst/>
              <a:latin typeface="Times New Roman" panose="02020603050405020304" pitchFamily="18" charset="0"/>
              <a:ea typeface="+mn-ea"/>
              <a:cs typeface="Times New Roman" panose="02020603050405020304" pitchFamily="18" charset="0"/>
            </a:rPr>
            <a:t>Kassuq is tall with a muscular build.  His body is covered with long black fur, with gray fur on his chest, face and underside of his tail.  His ears are pointed and stand atop his head, able to swivel independently.  His left eye is gray and his right eye is blue, not an uncommon feature of Hound Archons from his region of the celestial planes.  His snout is long and contains several sharp, pointed teeth.  At the end is his black nose which is always a little damp, like any canine.  His fingers and toes end in short, non-retractable claws that can be used as weapons like his teeth.</a:t>
          </a:r>
        </a:p>
        <a:p>
          <a:pPr algn="just"/>
          <a:endParaRPr lang="en-US" sz="1200">
            <a:solidFill>
              <a:schemeClr val="dk1"/>
            </a:solidFill>
            <a:effectLst/>
            <a:latin typeface="Times New Roman" panose="02020603050405020304" pitchFamily="18" charset="0"/>
            <a:ea typeface="+mn-ea"/>
            <a:cs typeface="Times New Roman" panose="02020603050405020304" pitchFamily="18" charset="0"/>
          </a:endParaRPr>
        </a:p>
        <a:p>
          <a:pPr algn="just"/>
          <a:r>
            <a:rPr lang="en-US" sz="1200" b="1">
              <a:solidFill>
                <a:schemeClr val="dk1"/>
              </a:solidFill>
              <a:effectLst/>
              <a:latin typeface="Times New Roman" panose="02020603050405020304" pitchFamily="18" charset="0"/>
              <a:ea typeface="+mn-ea"/>
              <a:cs typeface="Times New Roman" panose="02020603050405020304" pitchFamily="18" charset="0"/>
            </a:rPr>
            <a:t>History:  </a:t>
          </a:r>
          <a:r>
            <a:rPr lang="en-US" sz="1200">
              <a:solidFill>
                <a:schemeClr val="dk1"/>
              </a:solidFill>
              <a:effectLst/>
              <a:latin typeface="Times New Roman" panose="02020603050405020304" pitchFamily="18" charset="0"/>
              <a:ea typeface="+mn-ea"/>
              <a:cs typeface="Times New Roman" panose="02020603050405020304" pitchFamily="18" charset="0"/>
            </a:rPr>
            <a:t>Kassuq and his tribe grew up on the tundra around the Great Glacier.  They hunted for their food as well as the evil minions that lived in the region.  They had made a name for themselves as slayers of orcs and giants over the years.  They had also come to be trusted as guides and scouts for those seeking passage through the frozen lands. </a:t>
          </a:r>
        </a:p>
        <a:p>
          <a:pPr algn="just"/>
          <a:r>
            <a:rPr lang="en-US" sz="1200">
              <a:solidFill>
                <a:schemeClr val="dk1"/>
              </a:solidFill>
              <a:effectLst/>
              <a:latin typeface="Times New Roman" panose="02020603050405020304" pitchFamily="18" charset="0"/>
              <a:ea typeface="+mn-ea"/>
              <a:cs typeface="Times New Roman" panose="02020603050405020304" pitchFamily="18" charset="0"/>
            </a:rPr>
            <a:t>When Kassuq was young, only a few years old, his tribe was attacked by a combined group of orcs and three frost giants.  Though they fought valiantly, slaying several orcs, they had to retreat in the end.  Most of the tribe had died that day, only 15 surviving including Kassuq and his sister Piguttuk (Flower).  His parents and his other three litter mates were all dead.  </a:t>
          </a:r>
        </a:p>
        <a:p>
          <a:pPr algn="just"/>
          <a:r>
            <a:rPr lang="en-US" sz="1200">
              <a:solidFill>
                <a:schemeClr val="dk1"/>
              </a:solidFill>
              <a:effectLst/>
              <a:latin typeface="Times New Roman" panose="02020603050405020304" pitchFamily="18" charset="0"/>
              <a:ea typeface="+mn-ea"/>
              <a:cs typeface="Times New Roman" panose="02020603050405020304" pitchFamily="18" charset="0"/>
            </a:rPr>
            <a:t>The tribe escaped to the Ten Towns area, and because of their well known reputation, were quickly welcomed.  </a:t>
          </a:r>
        </a:p>
        <a:p>
          <a:pPr algn="just"/>
          <a:r>
            <a:rPr lang="en-US" sz="1200">
              <a:solidFill>
                <a:schemeClr val="dk1"/>
              </a:solidFill>
              <a:effectLst/>
              <a:latin typeface="Times New Roman" panose="02020603050405020304" pitchFamily="18" charset="0"/>
              <a:ea typeface="+mn-ea"/>
              <a:cs typeface="Times New Roman" panose="02020603050405020304" pitchFamily="18" charset="0"/>
            </a:rPr>
            <a:t>Shortly after their arrival in the area, a trade caravan of dwarfs from Vassa arrived.  When the dwarfs heard the story, they were eager to go out after the orcs and giants to avenge the tribe of archons.  Kassuq was hiding and listening when he overheard their plans.  He also heard that his uncle Akiak was going with the dwarfs, so Kassuq insisted on going as well.  No matter what they said to convince him, he refused to stay behind.  Reluctantly, they agreed to allow him to come under his uncle’s supervision.  </a:t>
          </a:r>
        </a:p>
        <a:p>
          <a:pPr algn="just"/>
          <a:r>
            <a:rPr lang="en-US" sz="1200">
              <a:solidFill>
                <a:schemeClr val="dk1"/>
              </a:solidFill>
              <a:effectLst/>
              <a:latin typeface="Times New Roman" panose="02020603050405020304" pitchFamily="18" charset="0"/>
              <a:ea typeface="+mn-ea"/>
              <a:cs typeface="Times New Roman" panose="02020603050405020304" pitchFamily="18" charset="0"/>
            </a:rPr>
            <a:t>Akiak and Kassuq lead the dwarfs to the area and, over several days, tracked down the attackers.  The giants were no longer with the orcs, which made things easier.  THe dwarfs and 2 archons made quick work of the orcs, catching them by surprise just as they were turning in for the night.  </a:t>
          </a:r>
        </a:p>
        <a:p>
          <a:pPr algn="just"/>
          <a:r>
            <a:rPr lang="en-US" sz="1200">
              <a:solidFill>
                <a:schemeClr val="dk1"/>
              </a:solidFill>
              <a:effectLst/>
              <a:latin typeface="Times New Roman" panose="02020603050405020304" pitchFamily="18" charset="0"/>
              <a:ea typeface="+mn-ea"/>
              <a:cs typeface="Times New Roman" panose="02020603050405020304" pitchFamily="18" charset="0"/>
            </a:rPr>
            <a:t>It took another two days to track down the giants.  When they found them, the three were in a drunken stupor, the bones of the archon’s they had eaten strewn about their camp.  Enraged, Akiak bolted into their midst.  The Dwarfs were as surprised as the giants, but the Dwarfs recovered and responded quicker.  Akiak was badly hurt, but the Dwarfs were able to overcome the giants and slew all three of them.  </a:t>
          </a:r>
        </a:p>
        <a:p>
          <a:pPr algn="just"/>
          <a:r>
            <a:rPr lang="en-US" sz="1200">
              <a:solidFill>
                <a:schemeClr val="dk1"/>
              </a:solidFill>
              <a:effectLst/>
              <a:latin typeface="Times New Roman" panose="02020603050405020304" pitchFamily="18" charset="0"/>
              <a:ea typeface="+mn-ea"/>
              <a:cs typeface="Times New Roman" panose="02020603050405020304" pitchFamily="18" charset="0"/>
            </a:rPr>
            <a:t>Kassuq was grateful to the dwarfs for avenging his family and his tribe.  He began to spend more time with them, especially one named Baldoor.  Kassuq was sad when he heard the dwarfs would be leaving and returning to their home in Vassa.  However, when he found out Baldoor was staying behind, his mood improved greatly.  The two have spent many hours together trekking through the tundra and great glacier or guiding caravans to and from Waterdeep.  Baldoor had even encouraged Kassuq to learn a trade, even if just as a hobby.  Kassuq took to weaponsmithing, with a particular interest in swords.  </a:t>
          </a:r>
        </a:p>
        <a:p>
          <a:pPr algn="just"/>
          <a:r>
            <a:rPr lang="en-US" sz="1200">
              <a:solidFill>
                <a:schemeClr val="dk1"/>
              </a:solidFill>
              <a:effectLst/>
              <a:latin typeface="Times New Roman" panose="02020603050405020304" pitchFamily="18" charset="0"/>
              <a:ea typeface="+mn-ea"/>
              <a:cs typeface="Times New Roman" panose="02020603050405020304" pitchFamily="18" charset="0"/>
            </a:rPr>
            <a:t>Meanwhile, with the orcs and giants that attacked them dead, the tribe built themselves a home in Ten Towns.  They settled in an area on the northern edge of the town Lonelywood, on the shores of Maer Dualoon.    </a:t>
          </a:r>
        </a:p>
        <a:p>
          <a:pPr algn="just"/>
          <a:endParaRPr lang="en-US" sz="1200">
            <a:solidFill>
              <a:schemeClr val="dk1"/>
            </a:solidFill>
            <a:effectLst/>
            <a:latin typeface="Times New Roman" panose="02020603050405020304" pitchFamily="18" charset="0"/>
            <a:ea typeface="+mn-ea"/>
            <a:cs typeface="Times New Roman" panose="02020603050405020304" pitchFamily="18" charset="0"/>
          </a:endParaRPr>
        </a:p>
        <a:p>
          <a:pPr algn="just"/>
          <a:r>
            <a:rPr lang="en-US" sz="1200" b="1">
              <a:solidFill>
                <a:schemeClr val="dk1"/>
              </a:solidFill>
              <a:effectLst/>
              <a:latin typeface="Times New Roman" panose="02020603050405020304" pitchFamily="18" charset="0"/>
              <a:ea typeface="+mn-ea"/>
              <a:cs typeface="Times New Roman" panose="02020603050405020304" pitchFamily="18" charset="0"/>
            </a:rPr>
            <a:t>Personality:  </a:t>
          </a:r>
          <a:r>
            <a:rPr lang="en-US" sz="1200">
              <a:solidFill>
                <a:schemeClr val="dk1"/>
              </a:solidFill>
              <a:effectLst/>
              <a:latin typeface="Times New Roman" panose="02020603050405020304" pitchFamily="18" charset="0"/>
              <a:ea typeface="+mn-ea"/>
              <a:cs typeface="Times New Roman" panose="02020603050405020304" pitchFamily="18" charset="0"/>
            </a:rPr>
            <a:t>Kassug is curious and adventurous, he loves to travel and explore.  In fact, that is how he got his name which translates to ‘Drifting Ice’.  Even as a cub, his constant desire to wander and explore was evident.  He has a calm, trusting demeanor and is slow to anger.  However, when he is angry, he is relentless.  He enjoys sitting next to a warm fire and telling stories or listening to others.  He is very loyal to those he trusts and is always quick to lend a hand.</a:t>
          </a:r>
        </a:p>
      </xdr:txBody>
    </xdr:sp>
    <xdr:clientData/>
  </xdr:twoCellAnchor>
  <xdr:twoCellAnchor>
    <xdr:from>
      <xdr:col>0</xdr:col>
      <xdr:colOff>45720</xdr:colOff>
      <xdr:row>16</xdr:row>
      <xdr:rowOff>45720</xdr:rowOff>
    </xdr:from>
    <xdr:to>
      <xdr:col>6</xdr:col>
      <xdr:colOff>1242060</xdr:colOff>
      <xdr:row>18</xdr:row>
      <xdr:rowOff>175260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720" y="3025140"/>
          <a:ext cx="6705600" cy="335280"/>
        </a:xfrm>
        <a:prstGeom prst="rect">
          <a:avLst/>
        </a:prstGeom>
        <a:solidFill>
          <a:srgbClr val="0000FF">
            <a:alpha val="61000"/>
          </a:srgbClr>
        </a:solidFill>
        <a:ln w="44450" cmpd="dbl">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r>
            <a:rPr lang="en-US" sz="1200" b="1" baseline="0">
              <a:solidFill>
                <a:schemeClr val="bg1"/>
              </a:solidFill>
              <a:latin typeface="Times New Roman" panose="02020603050405020304" pitchFamily="18" charset="0"/>
              <a:cs typeface="Times New Roman" panose="02020603050405020304" pitchFamily="18" charset="0"/>
            </a:rPr>
            <a:t>Current Effects:   </a:t>
          </a:r>
          <a:r>
            <a:rPr lang="en-US" sz="1200" b="0" i="1" baseline="0">
              <a:solidFill>
                <a:schemeClr val="bg1"/>
              </a:solidFill>
              <a:latin typeface="Times New Roman" panose="02020603050405020304" pitchFamily="18" charset="0"/>
              <a:cs typeface="Times New Roman" panose="02020603050405020304" pitchFamily="18" charset="0"/>
            </a:rPr>
            <a:t>Resist Electricity 10; Damage Reduction 5/+1</a:t>
          </a:r>
        </a:p>
      </xdr:txBody>
    </xdr:sp>
    <xdr:clientData/>
  </xdr:twoCellAnchor>
  <xdr:twoCellAnchor editAs="oneCell">
    <xdr:from>
      <xdr:col>5</xdr:col>
      <xdr:colOff>15240</xdr:colOff>
      <xdr:row>2</xdr:row>
      <xdr:rowOff>99060</xdr:rowOff>
    </xdr:from>
    <xdr:to>
      <xdr:col>6</xdr:col>
      <xdr:colOff>1005375</xdr:colOff>
      <xdr:row>14</xdr:row>
      <xdr:rowOff>137160</xdr:rowOff>
    </xdr:to>
    <xdr:pic>
      <xdr:nvPicPr>
        <xdr:cNvPr id="5" name="Picture 4">
          <a:extLst>
            <a:ext uri="{FF2B5EF4-FFF2-40B4-BE49-F238E27FC236}">
              <a16:creationId xmlns:a16="http://schemas.microsoft.com/office/drawing/2014/main" id="{CA05445A-6C47-478E-801B-CA1127B040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18660" y="693420"/>
          <a:ext cx="2018835" cy="2628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7" name="Rectangle 1">
          <a:extLst>
            <a:ext uri="{FF2B5EF4-FFF2-40B4-BE49-F238E27FC236}">
              <a16:creationId xmlns:a16="http://schemas.microsoft.com/office/drawing/2014/main" id="{00000000-0008-0000-0100-000055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839724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114300</xdr:colOff>
      <xdr:row>0</xdr:row>
      <xdr:rowOff>91440</xdr:rowOff>
    </xdr:from>
    <xdr:to>
      <xdr:col>14</xdr:col>
      <xdr:colOff>91440</xdr:colOff>
      <xdr:row>20</xdr:row>
      <xdr:rowOff>45720</xdr:rowOff>
    </xdr:to>
    <xdr:sp macro="" textlink="">
      <xdr:nvSpPr>
        <xdr:cNvPr id="3" name="TextBox 2">
          <a:extLst>
            <a:ext uri="{FF2B5EF4-FFF2-40B4-BE49-F238E27FC236}">
              <a16:creationId xmlns:a16="http://schemas.microsoft.com/office/drawing/2014/main" id="{4C79CDA6-1697-4B3E-956F-C449F5C1F484}"/>
            </a:ext>
          </a:extLst>
        </xdr:cNvPr>
        <xdr:cNvSpPr txBox="1"/>
      </xdr:nvSpPr>
      <xdr:spPr>
        <a:xfrm>
          <a:off x="4267200" y="91440"/>
          <a:ext cx="8382000" cy="4564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         Charmer: </a:t>
          </a:r>
        </a:p>
        <a:p>
          <a:r>
            <a:rPr lang="en-US" sz="1100">
              <a:solidFill>
                <a:schemeClr val="dk1"/>
              </a:solidFill>
              <a:effectLst/>
              <a:latin typeface="+mn-lt"/>
              <a:ea typeface="+mn-ea"/>
              <a:cs typeface="+mn-cs"/>
            </a:rPr>
            <a:t>	o   Majestic Argali (Afghan Hound) </a:t>
          </a:r>
        </a:p>
        <a:p>
          <a:r>
            <a:rPr lang="en-US" sz="1100">
              <a:solidFill>
                <a:schemeClr val="dk1"/>
              </a:solidFill>
              <a:effectLst/>
              <a:latin typeface="+mn-lt"/>
              <a:ea typeface="+mn-ea"/>
              <a:cs typeface="+mn-cs"/>
            </a:rPr>
            <a:t>•         Misc. Breeds: </a:t>
          </a:r>
        </a:p>
        <a:p>
          <a:r>
            <a:rPr lang="en-US" sz="1100">
              <a:solidFill>
                <a:schemeClr val="dk1"/>
              </a:solidFill>
              <a:effectLst/>
              <a:latin typeface="+mn-lt"/>
              <a:ea typeface="+mn-ea"/>
              <a:cs typeface="+mn-cs"/>
            </a:rPr>
            <a:t>	o   Miniature Short-tailed Zorse (Miniature Schnauzer) – A small but powerful breed the stand 12 inches tall at the shoulders and weigh in at 10-15 pounds.  They are good diggers and are bred to go after rats, mice and other small rodents.  (Possible bonus to digging speed in dirt?)  </a:t>
          </a:r>
        </a:p>
        <a:p>
          <a:r>
            <a:rPr lang="en-US" sz="1100">
              <a:solidFill>
                <a:schemeClr val="dk1"/>
              </a:solidFill>
              <a:effectLst/>
              <a:latin typeface="+mn-lt"/>
              <a:ea typeface="+mn-ea"/>
              <a:cs typeface="+mn-cs"/>
            </a:rPr>
            <a:t>•         Scout Breeds: </a:t>
          </a:r>
        </a:p>
        <a:p>
          <a:r>
            <a:rPr lang="en-US" sz="1100">
              <a:solidFill>
                <a:schemeClr val="dk1"/>
              </a:solidFill>
              <a:effectLst/>
              <a:latin typeface="+mn-lt"/>
              <a:ea typeface="+mn-ea"/>
              <a:cs typeface="+mn-cs"/>
            </a:rPr>
            <a:t>	o   Maroon-Spotted Dog (German Short-haired Pointer) </a:t>
          </a:r>
        </a:p>
        <a:p>
          <a:r>
            <a:rPr lang="en-US" sz="1100">
              <a:solidFill>
                <a:schemeClr val="dk1"/>
              </a:solidFill>
              <a:effectLst/>
              <a:latin typeface="+mn-lt"/>
              <a:ea typeface="+mn-ea"/>
              <a:cs typeface="+mn-cs"/>
            </a:rPr>
            <a:t>•         Sneaker:  </a:t>
          </a:r>
        </a:p>
        <a:p>
          <a:r>
            <a:rPr lang="en-US" sz="1100">
              <a:solidFill>
                <a:schemeClr val="dk1"/>
              </a:solidFill>
              <a:effectLst/>
              <a:latin typeface="+mn-lt"/>
              <a:ea typeface="+mn-ea"/>
              <a:cs typeface="+mn-cs"/>
            </a:rPr>
            <a:t>	o   Smokey-furred Whippet (Chihuahua) – A very small breed perfect for sneaking in and out of places quietly.  (?? To AC (+? Size +? Agility - ? Natural Armor.  +4 to all Hide and Move Silently checks. Also receives a -5 to all To-Hit and Damage Checks) </a:t>
          </a:r>
        </a:p>
        <a:p>
          <a:r>
            <a:rPr lang="en-US" sz="1100">
              <a:solidFill>
                <a:schemeClr val="dk1"/>
              </a:solidFill>
              <a:effectLst/>
              <a:latin typeface="+mn-lt"/>
              <a:ea typeface="+mn-ea"/>
              <a:cs typeface="+mn-cs"/>
            </a:rPr>
            <a:t>•         Sprinter Breeds: </a:t>
          </a:r>
        </a:p>
        <a:p>
          <a:r>
            <a:rPr lang="en-US" sz="1100">
              <a:solidFill>
                <a:schemeClr val="dk1"/>
              </a:solidFill>
              <a:effectLst/>
              <a:latin typeface="+mn-lt"/>
              <a:ea typeface="+mn-ea"/>
              <a:cs typeface="+mn-cs"/>
            </a:rPr>
            <a:t>	o   Zakhara Hound (Pharaoh Hound/Whippet) – Excellent speed over short distances.  (Running speed is x3 instead of x2’.  After 200 yards receives a -2 Penalty to Endurance Checks.  Also, must rest for at least 4 hours and pass a Constitution check or a full 8 hours before sprinting again.) </a:t>
          </a:r>
        </a:p>
        <a:p>
          <a:r>
            <a:rPr lang="en-US" sz="1100">
              <a:solidFill>
                <a:schemeClr val="dk1"/>
              </a:solidFill>
              <a:effectLst/>
              <a:latin typeface="+mn-lt"/>
              <a:ea typeface="+mn-ea"/>
              <a:cs typeface="+mn-cs"/>
            </a:rPr>
            <a:t>	o   Greyhound (Greyhound) – Excellent speed over short distances and excellent eye sight.  (Running speed is x3.5 instead of x2.  After 150 yards receives a -2 Penalty to Endurance Checks.  Also, must rest for at least 4 hours and pass a Constitution check or a full 8 hours before sprinting again.)</a:t>
          </a:r>
        </a:p>
        <a:p>
          <a:r>
            <a:rPr lang="en-US" sz="1100">
              <a:solidFill>
                <a:schemeClr val="dk1"/>
              </a:solidFill>
              <a:effectLst/>
              <a:latin typeface="+mn-lt"/>
              <a:ea typeface="+mn-ea"/>
              <a:cs typeface="+mn-cs"/>
            </a:rPr>
            <a:t>•         Warrior Breeds:  </a:t>
          </a:r>
        </a:p>
        <a:p>
          <a:r>
            <a:rPr lang="en-US" sz="1100">
              <a:solidFill>
                <a:schemeClr val="dk1"/>
              </a:solidFill>
              <a:effectLst/>
              <a:latin typeface="+mn-lt"/>
              <a:ea typeface="+mn-ea"/>
              <a:cs typeface="+mn-cs"/>
            </a:rPr>
            <a:t>	o   Great Dale Hound (Irish Wolf Hound) – Increase Endurance from its long legs (+2 extra turns before Endurance Check is needed while running &amp; receives a +1 Bonus to those checks.).  Also, due to size and strength it does greater damage (receives a +1 to Damage from Bite and Claw attacks)   </a:t>
          </a:r>
        </a:p>
        <a:p>
          <a:r>
            <a:rPr lang="en-US" sz="1100">
              <a:solidFill>
                <a:schemeClr val="dk1"/>
              </a:solidFill>
              <a:effectLst/>
              <a:latin typeface="+mn-lt"/>
              <a:ea typeface="+mn-ea"/>
              <a:cs typeface="+mn-cs"/>
            </a:rPr>
            <a:t>	o   Giant Short-tailed Zorse (Giant Schnauzer) </a:t>
          </a:r>
        </a:p>
        <a:p>
          <a:r>
            <a:rPr lang="en-US" sz="1100">
              <a:solidFill>
                <a:schemeClr val="dk1"/>
              </a:solidFill>
              <a:effectLst/>
              <a:latin typeface="+mn-lt"/>
              <a:ea typeface="+mn-ea"/>
              <a:cs typeface="+mn-cs"/>
            </a:rPr>
            <a:t>•         Working Breeds: </a:t>
          </a:r>
        </a:p>
        <a:p>
          <a:r>
            <a:rPr lang="en-US" sz="1100">
              <a:solidFill>
                <a:schemeClr val="dk1"/>
              </a:solidFill>
              <a:effectLst/>
              <a:latin typeface="+mn-lt"/>
              <a:ea typeface="+mn-ea"/>
              <a:cs typeface="+mn-cs"/>
            </a:rPr>
            <a:t>	o   Standard Short-tailed Zorse (Schnauzer) </a:t>
          </a:r>
        </a:p>
        <a:p>
          <a:r>
            <a:rPr lang="en-US" sz="1100">
              <a:solidFill>
                <a:schemeClr val="dk1"/>
              </a:solidFill>
              <a:effectLst/>
              <a:latin typeface="+mn-lt"/>
              <a:ea typeface="+mn-ea"/>
              <a:cs typeface="+mn-cs"/>
            </a:rPr>
            <a:t>	o   Icewind Dale Hound (Alaskan Malamute/Siberian Husky) </a:t>
          </a: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93345</xdr:colOff>
      <xdr:row>1</xdr:row>
      <xdr:rowOff>123825</xdr:rowOff>
    </xdr:from>
    <xdr:to>
      <xdr:col>3</xdr:col>
      <xdr:colOff>260985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litz2670@yahoo.com?subject=Fist%20of%20Ligh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7"/>
  <sheetViews>
    <sheetView showGridLines="0" tabSelected="1" zoomScaleNormal="100" workbookViewId="0"/>
  </sheetViews>
  <sheetFormatPr defaultColWidth="13" defaultRowHeight="15.6" x14ac:dyDescent="0.3"/>
  <cols>
    <col min="1" max="1" width="16.296875" style="114" bestFit="1" customWidth="1"/>
    <col min="2" max="2" width="12" style="50" customWidth="1"/>
    <col min="3" max="3" width="4" style="50" customWidth="1"/>
    <col min="4" max="4" width="13.69921875" style="114" bestFit="1" customWidth="1"/>
    <col min="5" max="5" width="13.09765625" style="50" bestFit="1" customWidth="1"/>
    <col min="6" max="6" width="13.5" style="114" customWidth="1"/>
    <col min="7" max="7" width="13.5" style="50" customWidth="1"/>
    <col min="8" max="16384" width="13" style="12"/>
  </cols>
  <sheetData>
    <row r="1" spans="1:7" ht="29.4" thickTop="1" thickBot="1" x14ac:dyDescent="0.35">
      <c r="A1" s="366" t="s">
        <v>149</v>
      </c>
      <c r="B1" s="367"/>
      <c r="C1" s="367"/>
      <c r="D1" s="368"/>
      <c r="E1" s="368"/>
      <c r="F1" s="368"/>
      <c r="G1" s="369" t="s">
        <v>85</v>
      </c>
    </row>
    <row r="2" spans="1:7" ht="17.399999999999999" thickTop="1" x14ac:dyDescent="0.3">
      <c r="A2" s="115" t="s">
        <v>96</v>
      </c>
      <c r="B2" s="116" t="s">
        <v>86</v>
      </c>
      <c r="C2" s="116"/>
      <c r="D2" s="117" t="s">
        <v>97</v>
      </c>
      <c r="E2" s="118" t="s">
        <v>120</v>
      </c>
      <c r="F2" s="119"/>
      <c r="G2" s="120"/>
    </row>
    <row r="3" spans="1:7" ht="16.8" x14ac:dyDescent="0.3">
      <c r="A3" s="115" t="s">
        <v>98</v>
      </c>
      <c r="B3" s="116" t="s">
        <v>86</v>
      </c>
      <c r="C3" s="116"/>
      <c r="D3" s="117" t="s">
        <v>0</v>
      </c>
      <c r="E3" s="118">
        <v>5</v>
      </c>
      <c r="F3" s="117"/>
      <c r="G3" s="120"/>
    </row>
    <row r="4" spans="1:7" ht="16.8" x14ac:dyDescent="0.3">
      <c r="A4" s="343" t="s">
        <v>98</v>
      </c>
      <c r="B4" s="344"/>
      <c r="C4" s="344"/>
      <c r="D4" s="345" t="s">
        <v>0</v>
      </c>
      <c r="E4" s="346">
        <v>0</v>
      </c>
      <c r="F4" s="117"/>
      <c r="G4" s="120"/>
    </row>
    <row r="5" spans="1:7" ht="16.8" x14ac:dyDescent="0.3">
      <c r="A5" s="115" t="s">
        <v>99</v>
      </c>
      <c r="B5" s="116" t="s">
        <v>154</v>
      </c>
      <c r="C5" s="116"/>
      <c r="D5" s="117" t="s">
        <v>145</v>
      </c>
      <c r="E5" s="118">
        <f>4+E4</f>
        <v>4</v>
      </c>
      <c r="F5" s="117"/>
      <c r="G5" s="120"/>
    </row>
    <row r="6" spans="1:7" ht="16.8" x14ac:dyDescent="0.3">
      <c r="A6" s="115" t="s">
        <v>101</v>
      </c>
      <c r="B6" s="116" t="s">
        <v>78</v>
      </c>
      <c r="C6" s="116"/>
      <c r="D6" s="117" t="s">
        <v>100</v>
      </c>
      <c r="E6" s="118" t="s">
        <v>150</v>
      </c>
      <c r="F6" s="117"/>
      <c r="G6" s="120"/>
    </row>
    <row r="7" spans="1:7" ht="16.8" x14ac:dyDescent="0.3">
      <c r="A7" s="115" t="s">
        <v>103</v>
      </c>
      <c r="B7" s="116">
        <v>16</v>
      </c>
      <c r="C7" s="116"/>
      <c r="D7" s="117" t="s">
        <v>102</v>
      </c>
      <c r="E7" s="118" t="s">
        <v>151</v>
      </c>
      <c r="F7" s="117"/>
      <c r="G7" s="120"/>
    </row>
    <row r="8" spans="1:7" ht="17.399999999999999" thickBot="1" x14ac:dyDescent="0.35">
      <c r="A8" s="115" t="s">
        <v>104</v>
      </c>
      <c r="B8" s="116" t="s">
        <v>152</v>
      </c>
      <c r="C8" s="116"/>
      <c r="D8" s="117" t="s">
        <v>105</v>
      </c>
      <c r="E8" s="118" t="s">
        <v>153</v>
      </c>
      <c r="F8" s="117"/>
      <c r="G8" s="120"/>
    </row>
    <row r="9" spans="1:7" ht="17.399999999999999" thickTop="1" x14ac:dyDescent="0.3">
      <c r="A9" s="121" t="s">
        <v>106</v>
      </c>
      <c r="B9" s="364">
        <f>4</f>
        <v>4</v>
      </c>
      <c r="C9" s="365"/>
      <c r="D9" s="142" t="s">
        <v>191</v>
      </c>
      <c r="E9" s="222" t="s">
        <v>193</v>
      </c>
      <c r="F9" s="122"/>
      <c r="G9" s="120"/>
    </row>
    <row r="10" spans="1:7" ht="17.399999999999999" thickBot="1" x14ac:dyDescent="0.35">
      <c r="A10" s="197" t="s">
        <v>107</v>
      </c>
      <c r="B10" s="230">
        <f>C12+4</f>
        <v>6</v>
      </c>
      <c r="C10" s="198"/>
      <c r="D10" s="219" t="s">
        <v>192</v>
      </c>
      <c r="E10" s="220" t="s">
        <v>190</v>
      </c>
      <c r="F10" s="122"/>
      <c r="G10" s="120"/>
    </row>
    <row r="11" spans="1:7" ht="17.399999999999999" thickTop="1" x14ac:dyDescent="0.3">
      <c r="A11" s="123" t="s">
        <v>108</v>
      </c>
      <c r="B11" s="341">
        <f>14</f>
        <v>14</v>
      </c>
      <c r="C11" s="124" t="str">
        <f t="shared" ref="C11:C16" si="0">IF(B11&gt;9.9,CONCATENATE("+",ROUNDDOWN((B11-10)/2,0)),ROUNDUP((B11-10)/2,0))</f>
        <v>+2</v>
      </c>
      <c r="D11" s="125" t="s">
        <v>109</v>
      </c>
      <c r="E11" s="257" t="s">
        <v>92</v>
      </c>
      <c r="F11" s="122"/>
      <c r="G11" s="120"/>
    </row>
    <row r="12" spans="1:7" ht="16.8" x14ac:dyDescent="0.3">
      <c r="A12" s="126" t="s">
        <v>110</v>
      </c>
      <c r="B12" s="231">
        <v>15</v>
      </c>
      <c r="C12" s="127" t="str">
        <f t="shared" si="0"/>
        <v>+2</v>
      </c>
      <c r="D12" s="128" t="s">
        <v>111</v>
      </c>
      <c r="E12" s="129">
        <f>SUM(Martial!G6:G21,Equipment!C3:C20)+5</f>
        <v>78.45</v>
      </c>
      <c r="F12" s="122"/>
      <c r="G12" s="120"/>
    </row>
    <row r="13" spans="1:7" ht="16.8" x14ac:dyDescent="0.3">
      <c r="A13" s="371" t="s">
        <v>112</v>
      </c>
      <c r="B13" s="231">
        <v>16</v>
      </c>
      <c r="C13" s="130" t="str">
        <f t="shared" si="0"/>
        <v>+3</v>
      </c>
      <c r="D13" s="131" t="s">
        <v>113</v>
      </c>
      <c r="E13" s="340">
        <f>ROUNDUP((($E$5-$E$4)*8*0.75)+(($E$4*0)*0.75)+($E$5*$C$13),0)</f>
        <v>36</v>
      </c>
      <c r="F13" s="122"/>
      <c r="G13" s="120"/>
    </row>
    <row r="14" spans="1:7" ht="16.8" x14ac:dyDescent="0.3">
      <c r="A14" s="132" t="s">
        <v>114</v>
      </c>
      <c r="B14" s="231">
        <v>14</v>
      </c>
      <c r="C14" s="127" t="str">
        <f t="shared" si="0"/>
        <v>+2</v>
      </c>
      <c r="D14" s="134" t="s">
        <v>115</v>
      </c>
      <c r="E14" s="224">
        <f>10+C12</f>
        <v>12</v>
      </c>
      <c r="F14" s="115"/>
      <c r="G14" s="120"/>
    </row>
    <row r="15" spans="1:7" ht="16.8" x14ac:dyDescent="0.3">
      <c r="A15" s="133" t="s">
        <v>116</v>
      </c>
      <c r="B15" s="231">
        <v>14</v>
      </c>
      <c r="C15" s="127" t="str">
        <f t="shared" si="0"/>
        <v>+2</v>
      </c>
      <c r="D15" s="134" t="s">
        <v>117</v>
      </c>
      <c r="E15" s="224">
        <f>E16-C12</f>
        <v>16</v>
      </c>
      <c r="F15" s="122"/>
      <c r="G15" s="120"/>
    </row>
    <row r="16" spans="1:7" ht="17.399999999999999" thickBot="1" x14ac:dyDescent="0.35">
      <c r="A16" s="135" t="s">
        <v>118</v>
      </c>
      <c r="B16" s="232">
        <v>10</v>
      </c>
      <c r="C16" s="221" t="str">
        <f t="shared" si="0"/>
        <v>+0</v>
      </c>
      <c r="D16" s="136" t="s">
        <v>119</v>
      </c>
      <c r="E16" s="225">
        <f>E14+SUM(Martial!B15:B17)</f>
        <v>18</v>
      </c>
      <c r="F16" s="137"/>
      <c r="G16" s="138"/>
    </row>
    <row r="17" ht="16.2" thickTop="1" x14ac:dyDescent="0.3"/>
  </sheetData>
  <phoneticPr fontId="0" type="noConversion"/>
  <conditionalFormatting sqref="E12">
    <cfRule type="cellIs" dxfId="9" priority="4" stopIfTrue="1" operator="greaterThan">
      <formula>116</formula>
    </cfRule>
    <cfRule type="cellIs" dxfId="8" priority="5" stopIfTrue="1" operator="between">
      <formula>58</formula>
      <formula>116</formula>
    </cfRule>
  </conditionalFormatting>
  <hyperlinks>
    <hyperlink ref="G1" r:id="rId1" xr:uid="{1C41234D-D7DF-45FD-B711-B6D5EF19AA96}"/>
  </hyperlinks>
  <printOptions gridLinesSet="0"/>
  <pageMargins left="0.25" right="0.25"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5"/>
  <sheetViews>
    <sheetView showGridLines="0" workbookViewId="0">
      <pane ySplit="2" topLeftCell="A3" activePane="bottomLeft" state="frozen"/>
      <selection activeCell="A3" sqref="A3"/>
      <selection pane="bottomLeft" activeCell="A3" sqref="A3"/>
    </sheetView>
  </sheetViews>
  <sheetFormatPr defaultColWidth="13" defaultRowHeight="15.6" x14ac:dyDescent="0.3"/>
  <cols>
    <col min="1" max="1" width="28.59765625" style="2" bestFit="1" customWidth="1"/>
    <col min="2" max="2" width="5.8984375" style="2" bestFit="1" customWidth="1"/>
    <col min="3" max="3" width="7.59765625" style="3" hidden="1" customWidth="1"/>
    <col min="4" max="4" width="5.8984375" style="3" hidden="1" customWidth="1"/>
    <col min="5" max="5" width="9.09765625" style="3" bestFit="1" customWidth="1"/>
    <col min="6" max="6" width="6.69921875" style="3" bestFit="1" customWidth="1"/>
    <col min="7" max="7" width="6" style="3" bestFit="1" customWidth="1"/>
    <col min="8" max="8" width="5.19921875" style="3" bestFit="1" customWidth="1"/>
    <col min="9" max="9" width="6.8984375" style="3" bestFit="1" customWidth="1"/>
    <col min="10" max="10" width="37.796875" style="2" customWidth="1"/>
    <col min="11" max="16384" width="13" style="1"/>
  </cols>
  <sheetData>
    <row r="1" spans="1:10" ht="23.4" thickBot="1" x14ac:dyDescent="0.35">
      <c r="A1" s="54" t="s">
        <v>6</v>
      </c>
      <c r="B1" s="55"/>
      <c r="C1" s="55"/>
      <c r="D1" s="55"/>
      <c r="E1" s="55"/>
      <c r="F1" s="55"/>
      <c r="G1" s="55"/>
      <c r="H1" s="55"/>
      <c r="I1" s="55"/>
      <c r="J1" s="55"/>
    </row>
    <row r="2" spans="1:10" s="269" customFormat="1" ht="34.200000000000003" thickBot="1" x14ac:dyDescent="0.35">
      <c r="A2" s="265" t="s">
        <v>82</v>
      </c>
      <c r="B2" s="266" t="s">
        <v>19</v>
      </c>
      <c r="C2" s="266" t="s">
        <v>26</v>
      </c>
      <c r="D2" s="266" t="s">
        <v>18</v>
      </c>
      <c r="E2" s="9" t="s">
        <v>51</v>
      </c>
      <c r="F2" s="9" t="s">
        <v>27</v>
      </c>
      <c r="G2" s="266" t="s">
        <v>53</v>
      </c>
      <c r="H2" s="360" t="s">
        <v>73</v>
      </c>
      <c r="I2" s="267" t="s">
        <v>66</v>
      </c>
      <c r="J2" s="268" t="s">
        <v>65</v>
      </c>
    </row>
    <row r="3" spans="1:10" s="4" customFormat="1" ht="16.8" x14ac:dyDescent="0.3">
      <c r="A3" s="255" t="s">
        <v>55</v>
      </c>
      <c r="B3" s="56">
        <f>4</f>
        <v>4</v>
      </c>
      <c r="C3" s="56" t="s">
        <v>21</v>
      </c>
      <c r="D3" s="57" t="str">
        <f>IF(C3="Str",'Personal File'!$C$11,IF(C3="Dex",'Personal File'!$C$12,IF(C3="Con",'Personal File'!$C$13,IF(C3="Int",'Personal File'!$C$14,IF(C3="Wis",'Personal File'!$C$15,IF(C3="Cha",'Personal File'!$C$16))))))</f>
        <v>+3</v>
      </c>
      <c r="E3" s="57" t="str">
        <f t="shared" ref="E3" si="0">CONCATENATE(C3," (",D3,")")</f>
        <v>Con (+3)</v>
      </c>
      <c r="F3" s="325">
        <v>1</v>
      </c>
      <c r="G3" s="325">
        <f>B3+D3+F3</f>
        <v>8</v>
      </c>
      <c r="H3" s="361">
        <f t="shared" ref="H3:H5" ca="1" si="1">RANDBETWEEN(1,20)</f>
        <v>3</v>
      </c>
      <c r="I3" s="58">
        <f t="shared" ref="I3" ca="1" si="2">SUM(G3:H3)</f>
        <v>11</v>
      </c>
      <c r="J3" s="323" t="s">
        <v>147</v>
      </c>
    </row>
    <row r="4" spans="1:10" s="4" customFormat="1" ht="16.8" x14ac:dyDescent="0.3">
      <c r="A4" s="59" t="s">
        <v>56</v>
      </c>
      <c r="B4" s="56">
        <f>4</f>
        <v>4</v>
      </c>
      <c r="C4" s="56" t="s">
        <v>24</v>
      </c>
      <c r="D4" s="60" t="str">
        <f>IF(C4="Str",'Personal File'!$C$11,IF(C4="Dex",'Personal File'!$C$12,IF(C4="Con",'Personal File'!$C$13,IF(C4="Int",'Personal File'!$C$14,IF(C4="Wis",'Personal File'!$C$15,IF(C4="Cha",'Personal File'!$C$16))))))</f>
        <v>+2</v>
      </c>
      <c r="E4" s="61" t="str">
        <f t="shared" ref="E4:E5" si="3">CONCATENATE(C4," (",D4,")")</f>
        <v>Dex (+2)</v>
      </c>
      <c r="F4" s="325">
        <v>1</v>
      </c>
      <c r="G4" s="325">
        <f>B4+D4+F4</f>
        <v>7</v>
      </c>
      <c r="H4" s="361">
        <f t="shared" ca="1" si="1"/>
        <v>9</v>
      </c>
      <c r="I4" s="58">
        <f t="shared" ref="I4:I41" ca="1" si="4">SUM(G4:H4)</f>
        <v>16</v>
      </c>
      <c r="J4" s="107"/>
    </row>
    <row r="5" spans="1:10" s="4" customFormat="1" ht="16.8" x14ac:dyDescent="0.3">
      <c r="A5" s="256" t="s">
        <v>57</v>
      </c>
      <c r="B5" s="63">
        <f>4</f>
        <v>4</v>
      </c>
      <c r="C5" s="63" t="s">
        <v>23</v>
      </c>
      <c r="D5" s="64" t="str">
        <f>IF(C5="Str",'Personal File'!$C$11,IF(C5="Dex",'Personal File'!$C$12,IF(C5="Con",'Personal File'!$C$13,IF(C5="Int",'Personal File'!$C$14,IF(C5="Wis",'Personal File'!$C$15,IF(C5="Cha",'Personal File'!$C$16))))))</f>
        <v>+2</v>
      </c>
      <c r="E5" s="65" t="str">
        <f t="shared" si="3"/>
        <v>Wis (+2)</v>
      </c>
      <c r="F5" s="326">
        <v>1</v>
      </c>
      <c r="G5" s="326">
        <f>B5+D5+F5</f>
        <v>7</v>
      </c>
      <c r="H5" s="362">
        <f t="shared" ca="1" si="1"/>
        <v>4</v>
      </c>
      <c r="I5" s="270">
        <f t="shared" ca="1" si="4"/>
        <v>11</v>
      </c>
      <c r="J5" s="181"/>
    </row>
    <row r="6" spans="1:10" s="4" customFormat="1" ht="16.8" x14ac:dyDescent="0.3">
      <c r="A6" s="66" t="s">
        <v>28</v>
      </c>
      <c r="B6" s="56">
        <v>0</v>
      </c>
      <c r="C6" s="67" t="s">
        <v>22</v>
      </c>
      <c r="D6" s="68" t="str">
        <f>IF(C6="Str",'Personal File'!$C$11,IF(C6="Dex",'Personal File'!$C$12,IF(C6="Con",'Personal File'!$C$13,IF(C6="Int",'Personal File'!$C$14,IF(C6="Wis",'Personal File'!$C$15,IF(C6="Cha",'Personal File'!$C$16))))))</f>
        <v>+2</v>
      </c>
      <c r="E6" s="68" t="str">
        <f t="shared" ref="E6" si="5">CONCATENATE(C6," (",D6,")")</f>
        <v>Int (+2)</v>
      </c>
      <c r="F6" s="69">
        <v>0</v>
      </c>
      <c r="G6" s="70">
        <f t="shared" ref="G6:G41" si="6">B6+D6+F6</f>
        <v>2</v>
      </c>
      <c r="H6" s="361">
        <f ca="1">RANDBETWEEN(1,20)</f>
        <v>12</v>
      </c>
      <c r="I6" s="58">
        <f t="shared" ca="1" si="4"/>
        <v>14</v>
      </c>
      <c r="J6" s="107"/>
    </row>
    <row r="7" spans="1:10" s="8" customFormat="1" ht="16.8" x14ac:dyDescent="0.3">
      <c r="A7" s="71" t="s">
        <v>29</v>
      </c>
      <c r="B7" s="56">
        <v>0</v>
      </c>
      <c r="C7" s="72" t="s">
        <v>24</v>
      </c>
      <c r="D7" s="60" t="str">
        <f>IF(C7="Str",'Personal File'!$C$11,IF(C7="Dex",'Personal File'!$C$12,IF(C7="Con",'Personal File'!$C$13,IF(C7="Int",'Personal File'!$C$14,IF(C7="Wis",'Personal File'!$C$15,IF(C7="Cha",'Personal File'!$C$16))))))</f>
        <v>+2</v>
      </c>
      <c r="E7" s="60" t="str">
        <f t="shared" ref="E7:E41" si="7">CONCATENATE(C7," (",D7,")")</f>
        <v>Dex (+2)</v>
      </c>
      <c r="F7" s="195">
        <f>SUM(Martial!$D$15:$D$17)</f>
        <v>0</v>
      </c>
      <c r="G7" s="70">
        <f t="shared" si="6"/>
        <v>2</v>
      </c>
      <c r="H7" s="361">
        <f t="shared" ref="H7:H40" ca="1" si="8">RANDBETWEEN(1,20)</f>
        <v>8</v>
      </c>
      <c r="I7" s="58">
        <f t="shared" ca="1" si="4"/>
        <v>10</v>
      </c>
      <c r="J7" s="107"/>
    </row>
    <row r="8" spans="1:10" s="6" customFormat="1" ht="16.8" x14ac:dyDescent="0.3">
      <c r="A8" s="73" t="s">
        <v>30</v>
      </c>
      <c r="B8" s="56">
        <v>0</v>
      </c>
      <c r="C8" s="74" t="s">
        <v>20</v>
      </c>
      <c r="D8" s="75" t="str">
        <f>IF(C8="Str",'Personal File'!$C$11,IF(C8="Dex",'Personal File'!$C$12,IF(C8="Con",'Personal File'!$C$13,IF(C8="Int",'Personal File'!$C$14,IF(C8="Wis",'Personal File'!$C$15,IF(C8="Cha",'Personal File'!$C$16))))))</f>
        <v>+0</v>
      </c>
      <c r="E8" s="76" t="str">
        <f t="shared" si="7"/>
        <v>Cha (+0)</v>
      </c>
      <c r="F8" s="70" t="s">
        <v>52</v>
      </c>
      <c r="G8" s="70">
        <f t="shared" si="6"/>
        <v>0</v>
      </c>
      <c r="H8" s="361">
        <f t="shared" ca="1" si="8"/>
        <v>4</v>
      </c>
      <c r="I8" s="58">
        <f t="shared" ca="1" si="4"/>
        <v>4</v>
      </c>
      <c r="J8" s="107"/>
    </row>
    <row r="9" spans="1:10" s="5" customFormat="1" ht="16.8" x14ac:dyDescent="0.3">
      <c r="A9" s="152" t="s">
        <v>31</v>
      </c>
      <c r="B9" s="77">
        <v>2</v>
      </c>
      <c r="C9" s="153" t="s">
        <v>25</v>
      </c>
      <c r="D9" s="154" t="str">
        <f>IF(C9="Str",'Personal File'!$C$11,IF(C9="Dex",'Personal File'!$C$12,IF(C9="Con",'Personal File'!$C$13,IF(C9="Int",'Personal File'!$C$14,IF(C9="Wis",'Personal File'!$C$15,IF(C9="Cha",'Personal File'!$C$16))))))</f>
        <v>+2</v>
      </c>
      <c r="E9" s="154" t="str">
        <f t="shared" si="7"/>
        <v>Str (+2)</v>
      </c>
      <c r="F9" s="260">
        <f>SUM(Martial!$D$15:$D$17)</f>
        <v>0</v>
      </c>
      <c r="G9" s="78">
        <f t="shared" si="6"/>
        <v>4</v>
      </c>
      <c r="H9" s="361">
        <f t="shared" ca="1" si="8"/>
        <v>11</v>
      </c>
      <c r="I9" s="271">
        <f t="shared" ca="1" si="4"/>
        <v>15</v>
      </c>
      <c r="J9" s="187" t="s">
        <v>156</v>
      </c>
    </row>
    <row r="10" spans="1:10" s="5" customFormat="1" ht="16.8" x14ac:dyDescent="0.3">
      <c r="A10" s="216" t="s">
        <v>7</v>
      </c>
      <c r="B10" s="77">
        <v>4</v>
      </c>
      <c r="C10" s="217" t="s">
        <v>21</v>
      </c>
      <c r="D10" s="218" t="str">
        <f>IF(C10="Str",'Personal File'!$C$11,IF(C10="Dex",'Personal File'!$C$12,IF(C10="Con",'Personal File'!$C$13,IF(C10="Int",'Personal File'!$C$14,IF(C10="Wis",'Personal File'!$C$15,IF(C10="Cha",'Personal File'!$C$16))))))</f>
        <v>+3</v>
      </c>
      <c r="E10" s="218" t="str">
        <f t="shared" si="7"/>
        <v>Con (+3)</v>
      </c>
      <c r="F10" s="78" t="s">
        <v>52</v>
      </c>
      <c r="G10" s="78">
        <f t="shared" si="6"/>
        <v>7</v>
      </c>
      <c r="H10" s="361">
        <f t="shared" ca="1" si="8"/>
        <v>14</v>
      </c>
      <c r="I10" s="271">
        <f t="shared" ca="1" si="4"/>
        <v>21</v>
      </c>
      <c r="J10" s="187"/>
    </row>
    <row r="11" spans="1:10" s="4" customFormat="1" ht="16.8" x14ac:dyDescent="0.3">
      <c r="A11" s="95" t="s">
        <v>155</v>
      </c>
      <c r="B11" s="77">
        <v>4</v>
      </c>
      <c r="C11" s="96" t="s">
        <v>22</v>
      </c>
      <c r="D11" s="97" t="str">
        <f>IF(C11="Str",'Personal File'!$C$11,IF(C11="Dex",'Personal File'!$C$12,IF(C11="Con",'Personal File'!$C$13,IF(C11="Int",'Personal File'!$C$14,IF(C11="Wis",'Personal File'!$C$15,IF(C11="Cha",'Personal File'!$C$16))))))</f>
        <v>+2</v>
      </c>
      <c r="E11" s="97" t="str">
        <f t="shared" si="7"/>
        <v>Int (+2)</v>
      </c>
      <c r="F11" s="78" t="s">
        <v>52</v>
      </c>
      <c r="G11" s="78">
        <f t="shared" si="6"/>
        <v>6</v>
      </c>
      <c r="H11" s="361">
        <f t="shared" ca="1" si="8"/>
        <v>7</v>
      </c>
      <c r="I11" s="271">
        <f t="shared" ca="1" si="4"/>
        <v>13</v>
      </c>
      <c r="J11" s="187"/>
    </row>
    <row r="12" spans="1:10" s="7" customFormat="1" ht="16.8" x14ac:dyDescent="0.3">
      <c r="A12" s="80" t="s">
        <v>32</v>
      </c>
      <c r="B12" s="81">
        <v>0</v>
      </c>
      <c r="C12" s="82" t="s">
        <v>22</v>
      </c>
      <c r="D12" s="83" t="str">
        <f>IF(C12="Str",'Personal File'!$C$11,IF(C12="Dex",'Personal File'!$C$12,IF(C12="Con",'Personal File'!$C$13,IF(C12="Int",'Personal File'!$C$14,IF(C12="Wis",'Personal File'!$C$15,IF(C12="Cha",'Personal File'!$C$16))))))</f>
        <v>+2</v>
      </c>
      <c r="E12" s="83" t="str">
        <f t="shared" si="7"/>
        <v>Int (+2)</v>
      </c>
      <c r="F12" s="84" t="s">
        <v>52</v>
      </c>
      <c r="G12" s="84">
        <f t="shared" si="6"/>
        <v>2</v>
      </c>
      <c r="H12" s="361">
        <f t="shared" ca="1" si="8"/>
        <v>3</v>
      </c>
      <c r="I12" s="84">
        <f t="shared" ca="1" si="4"/>
        <v>5</v>
      </c>
      <c r="J12" s="324"/>
    </row>
    <row r="13" spans="1:10" s="8" customFormat="1" ht="16.8" x14ac:dyDescent="0.3">
      <c r="A13" s="210" t="s">
        <v>33</v>
      </c>
      <c r="B13" s="211">
        <v>0</v>
      </c>
      <c r="C13" s="212" t="s">
        <v>20</v>
      </c>
      <c r="D13" s="213" t="str">
        <f>IF(C13="Str",'Personal File'!$C$11,IF(C13="Dex",'Personal File'!$C$12,IF(C13="Con",'Personal File'!$C$13,IF(C13="Int",'Personal File'!$C$14,IF(C13="Wis",'Personal File'!$C$15,IF(C13="Cha",'Personal File'!$C$16))))))</f>
        <v>+0</v>
      </c>
      <c r="E13" s="214" t="str">
        <f t="shared" si="7"/>
        <v>Cha (+0)</v>
      </c>
      <c r="F13" s="215" t="s">
        <v>52</v>
      </c>
      <c r="G13" s="215">
        <f t="shared" si="6"/>
        <v>0</v>
      </c>
      <c r="H13" s="361">
        <f t="shared" ca="1" si="8"/>
        <v>9</v>
      </c>
      <c r="I13" s="215">
        <f t="shared" ca="1" si="4"/>
        <v>9</v>
      </c>
      <c r="J13" s="342"/>
    </row>
    <row r="14" spans="1:10" s="8" customFormat="1" ht="16.8" x14ac:dyDescent="0.3">
      <c r="A14" s="80" t="s">
        <v>34</v>
      </c>
      <c r="B14" s="81">
        <v>0</v>
      </c>
      <c r="C14" s="82" t="s">
        <v>22</v>
      </c>
      <c r="D14" s="83" t="str">
        <f>IF(C14="Str",'Personal File'!$C$11,IF(C14="Dex",'Personal File'!$C$12,IF(C14="Con",'Personal File'!$C$13,IF(C14="Int",'Personal File'!$C$14,IF(C14="Wis",'Personal File'!$C$15,IF(C14="Cha",'Personal File'!$C$16))))))</f>
        <v>+2</v>
      </c>
      <c r="E14" s="83" t="str">
        <f t="shared" si="7"/>
        <v>Int (+2)</v>
      </c>
      <c r="F14" s="84" t="s">
        <v>52</v>
      </c>
      <c r="G14" s="84">
        <f t="shared" si="6"/>
        <v>2</v>
      </c>
      <c r="H14" s="361">
        <f t="shared" ca="1" si="8"/>
        <v>18</v>
      </c>
      <c r="I14" s="84">
        <f t="shared" ca="1" si="4"/>
        <v>20</v>
      </c>
      <c r="J14" s="324"/>
    </row>
    <row r="15" spans="1:10" s="8" customFormat="1" ht="16.8" x14ac:dyDescent="0.3">
      <c r="A15" s="73" t="s">
        <v>35</v>
      </c>
      <c r="B15" s="56">
        <v>0</v>
      </c>
      <c r="C15" s="74" t="s">
        <v>20</v>
      </c>
      <c r="D15" s="75" t="str">
        <f>IF(C15="Str",'Personal File'!$C$11,IF(C15="Dex",'Personal File'!$C$12,IF(C15="Con",'Personal File'!$C$13,IF(C15="Int",'Personal File'!$C$14,IF(C15="Wis",'Personal File'!$C$15,IF(C15="Cha",'Personal File'!$C$16))))))</f>
        <v>+0</v>
      </c>
      <c r="E15" s="76" t="str">
        <f t="shared" si="7"/>
        <v>Cha (+0)</v>
      </c>
      <c r="F15" s="70" t="s">
        <v>52</v>
      </c>
      <c r="G15" s="70">
        <f t="shared" si="6"/>
        <v>0</v>
      </c>
      <c r="H15" s="361">
        <f t="shared" ca="1" si="8"/>
        <v>9</v>
      </c>
      <c r="I15" s="70">
        <f t="shared" ca="1" si="4"/>
        <v>9</v>
      </c>
      <c r="J15" s="107"/>
    </row>
    <row r="16" spans="1:10" s="8" customFormat="1" ht="16.8" x14ac:dyDescent="0.3">
      <c r="A16" s="71" t="s">
        <v>36</v>
      </c>
      <c r="B16" s="56">
        <v>0</v>
      </c>
      <c r="C16" s="72" t="s">
        <v>24</v>
      </c>
      <c r="D16" s="60" t="str">
        <f>IF(C16="Str",'Personal File'!$C$11,IF(C16="Dex",'Personal File'!$C$12,IF(C16="Con",'Personal File'!$C$13,IF(C16="Int",'Personal File'!$C$14,IF(C16="Wis",'Personal File'!$C$15,IF(C16="Cha",'Personal File'!$C$16))))))</f>
        <v>+2</v>
      </c>
      <c r="E16" s="61" t="str">
        <f t="shared" si="7"/>
        <v>Dex (+2)</v>
      </c>
      <c r="F16" s="195">
        <f>SUM(Martial!$D$15:$D$17)</f>
        <v>0</v>
      </c>
      <c r="G16" s="70">
        <f t="shared" si="6"/>
        <v>2</v>
      </c>
      <c r="H16" s="361">
        <f t="shared" ca="1" si="8"/>
        <v>16</v>
      </c>
      <c r="I16" s="70">
        <f t="shared" ca="1" si="4"/>
        <v>18</v>
      </c>
      <c r="J16" s="107"/>
    </row>
    <row r="17" spans="1:10" s="8" customFormat="1" ht="16.8" x14ac:dyDescent="0.3">
      <c r="A17" s="87" t="s">
        <v>37</v>
      </c>
      <c r="B17" s="88">
        <v>0</v>
      </c>
      <c r="C17" s="89" t="s">
        <v>22</v>
      </c>
      <c r="D17" s="90" t="str">
        <f>IF(C17="Str",'Personal File'!$C$11,IF(C17="Dex",'Personal File'!$C$12,IF(C17="Con",'Personal File'!$C$13,IF(C17="Int",'Personal File'!$C$14,IF(C17="Wis",'Personal File'!$C$15,IF(C17="Cha",'Personal File'!$C$16))))))</f>
        <v>+2</v>
      </c>
      <c r="E17" s="90" t="str">
        <f t="shared" si="7"/>
        <v>Int (+2)</v>
      </c>
      <c r="F17" s="91" t="s">
        <v>52</v>
      </c>
      <c r="G17" s="91">
        <f t="shared" si="6"/>
        <v>2</v>
      </c>
      <c r="H17" s="361">
        <f t="shared" ca="1" si="8"/>
        <v>5</v>
      </c>
      <c r="I17" s="91">
        <f t="shared" ca="1" si="4"/>
        <v>7</v>
      </c>
      <c r="J17" s="188"/>
    </row>
    <row r="18" spans="1:10" s="8" customFormat="1" ht="16.8" x14ac:dyDescent="0.3">
      <c r="A18" s="73" t="s">
        <v>38</v>
      </c>
      <c r="B18" s="56">
        <v>0</v>
      </c>
      <c r="C18" s="74" t="s">
        <v>20</v>
      </c>
      <c r="D18" s="75" t="str">
        <f>IF(C18="Str",'Personal File'!$C$11,IF(C18="Dex",'Personal File'!$C$12,IF(C18="Con",'Personal File'!$C$13,IF(C18="Int",'Personal File'!$C$14,IF(C18="Wis",'Personal File'!$C$15,IF(C18="Cha",'Personal File'!$C$16))))))</f>
        <v>+0</v>
      </c>
      <c r="E18" s="76" t="str">
        <f t="shared" si="7"/>
        <v>Cha (+0)</v>
      </c>
      <c r="F18" s="70" t="s">
        <v>52</v>
      </c>
      <c r="G18" s="70">
        <f t="shared" si="6"/>
        <v>0</v>
      </c>
      <c r="H18" s="361">
        <f t="shared" ca="1" si="8"/>
        <v>12</v>
      </c>
      <c r="I18" s="70">
        <f t="shared" ca="1" si="4"/>
        <v>12</v>
      </c>
      <c r="J18" s="107"/>
    </row>
    <row r="19" spans="1:10" s="8" customFormat="1" ht="16.8" x14ac:dyDescent="0.3">
      <c r="A19" s="86" t="s">
        <v>9</v>
      </c>
      <c r="B19" s="77">
        <v>1</v>
      </c>
      <c r="C19" s="347" t="s">
        <v>20</v>
      </c>
      <c r="D19" s="348" t="str">
        <f>IF(C19="Str",'Personal File'!$C$11,IF(C19="Dex",'Personal File'!$C$12,IF(C19="Con",'Personal File'!$C$13,IF(C19="Int",'Personal File'!$C$14,IF(C19="Wis",'Personal File'!$C$15,IF(C19="Cha",'Personal File'!$C$16))))))</f>
        <v>+0</v>
      </c>
      <c r="E19" s="349" t="str">
        <f t="shared" si="7"/>
        <v>Cha (+0)</v>
      </c>
      <c r="F19" s="78" t="s">
        <v>52</v>
      </c>
      <c r="G19" s="78">
        <f t="shared" si="6"/>
        <v>1</v>
      </c>
      <c r="H19" s="361">
        <f t="shared" ca="1" si="8"/>
        <v>5</v>
      </c>
      <c r="I19" s="78">
        <f t="shared" ca="1" si="4"/>
        <v>6</v>
      </c>
      <c r="J19" s="187" t="s">
        <v>156</v>
      </c>
    </row>
    <row r="20" spans="1:10" s="8" customFormat="1" ht="16.8" x14ac:dyDescent="0.3">
      <c r="A20" s="291" t="s">
        <v>39</v>
      </c>
      <c r="B20" s="56">
        <v>0</v>
      </c>
      <c r="C20" s="292" t="s">
        <v>23</v>
      </c>
      <c r="D20" s="293" t="str">
        <f>IF(C20="Str",'Personal File'!$C$11,IF(C20="Dex",'Personal File'!$C$12,IF(C20="Con",'Personal File'!$C$13,IF(C20="Int",'Personal File'!$C$14,IF(C20="Wis",'Personal File'!$C$15,IF(C20="Cha",'Personal File'!$C$16))))))</f>
        <v>+2</v>
      </c>
      <c r="E20" s="293" t="str">
        <f t="shared" si="7"/>
        <v>Wis (+2)</v>
      </c>
      <c r="F20" s="195">
        <f>SUM(Martial!$D$15:$D$17)</f>
        <v>0</v>
      </c>
      <c r="G20" s="70">
        <f t="shared" si="6"/>
        <v>2</v>
      </c>
      <c r="H20" s="361">
        <f t="shared" ca="1" si="8"/>
        <v>4</v>
      </c>
      <c r="I20" s="70">
        <f t="shared" ca="1" si="4"/>
        <v>6</v>
      </c>
      <c r="J20" s="107"/>
    </row>
    <row r="21" spans="1:10" s="8" customFormat="1" ht="16.8" x14ac:dyDescent="0.3">
      <c r="A21" s="261" t="s">
        <v>40</v>
      </c>
      <c r="B21" s="77">
        <v>7</v>
      </c>
      <c r="C21" s="262" t="s">
        <v>24</v>
      </c>
      <c r="D21" s="263" t="str">
        <f>IF(C21="Str",'Personal File'!$C$11,IF(C21="Dex",'Personal File'!$C$12,IF(C21="Con",'Personal File'!$C$13,IF(C21="Int",'Personal File'!$C$14,IF(C21="Wis",'Personal File'!$C$15,IF(C21="Cha",'Personal File'!$C$16))))))</f>
        <v>+2</v>
      </c>
      <c r="E21" s="263" t="str">
        <f t="shared" si="7"/>
        <v>Dex (+2)</v>
      </c>
      <c r="F21" s="260">
        <f>SUM(Martial!$D$15:$D$17)</f>
        <v>0</v>
      </c>
      <c r="G21" s="78">
        <f t="shared" si="6"/>
        <v>9</v>
      </c>
      <c r="H21" s="361">
        <f t="shared" ca="1" si="8"/>
        <v>12</v>
      </c>
      <c r="I21" s="78">
        <f t="shared" ca="1" si="4"/>
        <v>21</v>
      </c>
      <c r="J21" s="187"/>
    </row>
    <row r="22" spans="1:10" s="8" customFormat="1" ht="16.8" x14ac:dyDescent="0.3">
      <c r="A22" s="92" t="s">
        <v>41</v>
      </c>
      <c r="B22" s="88">
        <v>0</v>
      </c>
      <c r="C22" s="93" t="s">
        <v>20</v>
      </c>
      <c r="D22" s="94" t="str">
        <f>IF(C22="Str",'Personal File'!$C$11,IF(C22="Dex",'Personal File'!$C$12,IF(C22="Con",'Personal File'!$C$13,IF(C22="Int",'Personal File'!$C$14,IF(C22="Wis",'Personal File'!$C$15,IF(C22="Cha",'Personal File'!$C$16))))))</f>
        <v>+0</v>
      </c>
      <c r="E22" s="313" t="str">
        <f t="shared" si="7"/>
        <v>Cha (+0)</v>
      </c>
      <c r="F22" s="91" t="s">
        <v>52</v>
      </c>
      <c r="G22" s="91">
        <f t="shared" si="6"/>
        <v>0</v>
      </c>
      <c r="H22" s="361">
        <f t="shared" ca="1" si="8"/>
        <v>20</v>
      </c>
      <c r="I22" s="91">
        <f t="shared" ca="1" si="4"/>
        <v>20</v>
      </c>
      <c r="J22" s="188"/>
    </row>
    <row r="23" spans="1:10" s="8" customFormat="1" ht="16.8" x14ac:dyDescent="0.3">
      <c r="A23" s="152" t="s">
        <v>42</v>
      </c>
      <c r="B23" s="77">
        <v>7</v>
      </c>
      <c r="C23" s="153" t="s">
        <v>25</v>
      </c>
      <c r="D23" s="154" t="str">
        <f>IF(C23="Str",'Personal File'!$C$11,IF(C23="Dex",'Personal File'!$C$12,IF(C23="Con",'Personal File'!$C$13,IF(C23="Int",'Personal File'!$C$14,IF(C23="Wis",'Personal File'!$C$15,IF(C23="Cha",'Personal File'!$C$16))))))</f>
        <v>+2</v>
      </c>
      <c r="E23" s="154" t="str">
        <f t="shared" si="7"/>
        <v>Str (+2)</v>
      </c>
      <c r="F23" s="260">
        <f>SUM(Martial!$D$15:$D$17)</f>
        <v>0</v>
      </c>
      <c r="G23" s="78">
        <f t="shared" si="6"/>
        <v>9</v>
      </c>
      <c r="H23" s="361">
        <f t="shared" ca="1" si="8"/>
        <v>13</v>
      </c>
      <c r="I23" s="78">
        <f t="shared" ca="1" si="4"/>
        <v>22</v>
      </c>
      <c r="J23" s="187"/>
    </row>
    <row r="24" spans="1:10" s="8" customFormat="1" ht="16.8" x14ac:dyDescent="0.3">
      <c r="A24" s="355" t="s">
        <v>157</v>
      </c>
      <c r="B24" s="258">
        <v>0</v>
      </c>
      <c r="C24" s="356" t="s">
        <v>22</v>
      </c>
      <c r="D24" s="357" t="str">
        <f>IF(C24="Str",'Personal File'!$C$11,IF(C24="Dex",'Personal File'!$C$12,IF(C24="Con",'Personal File'!$C$13,IF(C24="Int",'Personal File'!$C$14,IF(C24="Wis",'Personal File'!$C$15,IF(C24="Cha",'Personal File'!$C$16))))))</f>
        <v>+2</v>
      </c>
      <c r="E24" s="357" t="str">
        <f>CONCATENATE(C24," (",D24,")")</f>
        <v>Int (+2)</v>
      </c>
      <c r="F24" s="259" t="s">
        <v>52</v>
      </c>
      <c r="G24" s="259">
        <f t="shared" ref="G24" si="9">B24+D24+F24</f>
        <v>2</v>
      </c>
      <c r="H24" s="361">
        <f t="shared" ca="1" si="8"/>
        <v>11</v>
      </c>
      <c r="I24" s="259">
        <f t="shared" ref="I24" ca="1" si="10">SUM(G24:H24)</f>
        <v>13</v>
      </c>
      <c r="J24" s="358"/>
    </row>
    <row r="25" spans="1:10" s="8" customFormat="1" ht="16.8" x14ac:dyDescent="0.3">
      <c r="A25" s="199" t="s">
        <v>43</v>
      </c>
      <c r="B25" s="77">
        <v>7</v>
      </c>
      <c r="C25" s="200" t="s">
        <v>23</v>
      </c>
      <c r="D25" s="201" t="str">
        <f>IF(C25="Str",'Personal File'!$C$11,IF(C25="Dex",'Personal File'!$C$12,IF(C25="Con",'Personal File'!$C$13,IF(C25="Int",'Personal File'!$C$14,IF(C25="Wis",'Personal File'!$C$15,IF(C25="Cha",'Personal File'!$C$16))))))</f>
        <v>+2</v>
      </c>
      <c r="E25" s="264" t="str">
        <f t="shared" si="7"/>
        <v>Wis (+2)</v>
      </c>
      <c r="F25" s="78" t="s">
        <v>52</v>
      </c>
      <c r="G25" s="78">
        <f t="shared" si="6"/>
        <v>9</v>
      </c>
      <c r="H25" s="361">
        <f t="shared" ca="1" si="8"/>
        <v>4</v>
      </c>
      <c r="I25" s="78">
        <f t="shared" ca="1" si="4"/>
        <v>13</v>
      </c>
      <c r="J25" s="79"/>
    </row>
    <row r="26" spans="1:10" s="8" customFormat="1" ht="16.8" x14ac:dyDescent="0.3">
      <c r="A26" s="261" t="s">
        <v>10</v>
      </c>
      <c r="B26" s="77">
        <v>7</v>
      </c>
      <c r="C26" s="262" t="s">
        <v>24</v>
      </c>
      <c r="D26" s="263" t="str">
        <f>IF(C26="Str",'Personal File'!$C$11,IF(C26="Dex",'Personal File'!$C$12,IF(C26="Con",'Personal File'!$C$13,IF(C26="Int",'Personal File'!$C$14,IF(C26="Wis",'Personal File'!$C$15,IF(C26="Cha",'Personal File'!$C$16))))))</f>
        <v>+2</v>
      </c>
      <c r="E26" s="263" t="str">
        <f t="shared" si="7"/>
        <v>Dex (+2)</v>
      </c>
      <c r="F26" s="260">
        <f>SUM(Martial!$D$15:$D$17)</f>
        <v>0</v>
      </c>
      <c r="G26" s="78">
        <f t="shared" si="6"/>
        <v>9</v>
      </c>
      <c r="H26" s="361">
        <f t="shared" ca="1" si="8"/>
        <v>17</v>
      </c>
      <c r="I26" s="78">
        <f t="shared" ca="1" si="4"/>
        <v>26</v>
      </c>
      <c r="J26" s="79"/>
    </row>
    <row r="27" spans="1:10" s="8" customFormat="1" ht="16.8" x14ac:dyDescent="0.3">
      <c r="A27" s="98" t="s">
        <v>44</v>
      </c>
      <c r="B27" s="81">
        <v>0</v>
      </c>
      <c r="C27" s="99" t="s">
        <v>24</v>
      </c>
      <c r="D27" s="100" t="str">
        <f>IF(C27="Str",'Personal File'!$C$11,IF(C27="Dex",'Personal File'!$C$12,IF(C27="Con",'Personal File'!$C$13,IF(C27="Int",'Personal File'!$C$14,IF(C27="Wis",'Personal File'!$C$15,IF(C27="Cha",'Personal File'!$C$16))))))</f>
        <v>+2</v>
      </c>
      <c r="E27" s="100" t="str">
        <f t="shared" si="7"/>
        <v>Dex (+2)</v>
      </c>
      <c r="F27" s="84" t="s">
        <v>52</v>
      </c>
      <c r="G27" s="84">
        <f t="shared" si="6"/>
        <v>2</v>
      </c>
      <c r="H27" s="361">
        <f t="shared" ca="1" si="8"/>
        <v>11</v>
      </c>
      <c r="I27" s="84">
        <f t="shared" ca="1" si="4"/>
        <v>13</v>
      </c>
      <c r="J27" s="85"/>
    </row>
    <row r="28" spans="1:10" ht="16.8" x14ac:dyDescent="0.3">
      <c r="A28" s="73" t="s">
        <v>69</v>
      </c>
      <c r="B28" s="56">
        <v>0</v>
      </c>
      <c r="C28" s="74" t="s">
        <v>20</v>
      </c>
      <c r="D28" s="75" t="str">
        <f>IF(C28="Str",'Personal File'!$C$11,IF(C28="Dex",'Personal File'!$C$12,IF(C28="Con",'Personal File'!$C$13,IF(C28="Int",'Personal File'!$C$14,IF(C28="Wis",'Personal File'!$C$15,IF(C28="Cha",'Personal File'!$C$16))))))</f>
        <v>+0</v>
      </c>
      <c r="E28" s="76" t="str">
        <f t="shared" si="7"/>
        <v>Cha (+0)</v>
      </c>
      <c r="F28" s="70" t="s">
        <v>52</v>
      </c>
      <c r="G28" s="70">
        <f t="shared" si="6"/>
        <v>0</v>
      </c>
      <c r="H28" s="361">
        <f t="shared" ca="1" si="8"/>
        <v>8</v>
      </c>
      <c r="I28" s="70">
        <f t="shared" ca="1" si="4"/>
        <v>8</v>
      </c>
      <c r="J28" s="62"/>
    </row>
    <row r="29" spans="1:10" ht="16.8" x14ac:dyDescent="0.3">
      <c r="A29" s="86" t="s">
        <v>158</v>
      </c>
      <c r="B29" s="77">
        <v>4</v>
      </c>
      <c r="C29" s="200" t="s">
        <v>23</v>
      </c>
      <c r="D29" s="201" t="str">
        <f>IF(C29="Str",'Personal File'!$C$11,IF(C29="Dex",'Personal File'!$C$12,IF(C29="Con",'Personal File'!$C$13,IF(C29="Int",'Personal File'!$C$14,IF(C29="Wis",'Personal File'!$C$15,IF(C29="Cha",'Personal File'!$C$16))))))</f>
        <v>+2</v>
      </c>
      <c r="E29" s="201" t="str">
        <f t="shared" si="7"/>
        <v>Wis (+2)</v>
      </c>
      <c r="F29" s="78" t="s">
        <v>52</v>
      </c>
      <c r="G29" s="78">
        <f t="shared" si="6"/>
        <v>6</v>
      </c>
      <c r="H29" s="361">
        <f t="shared" ca="1" si="8"/>
        <v>7</v>
      </c>
      <c r="I29" s="78">
        <f t="shared" ca="1" si="4"/>
        <v>13</v>
      </c>
      <c r="J29" s="79"/>
    </row>
    <row r="30" spans="1:10" ht="16.8" x14ac:dyDescent="0.3">
      <c r="A30" s="261" t="s">
        <v>11</v>
      </c>
      <c r="B30" s="77">
        <v>1</v>
      </c>
      <c r="C30" s="262" t="s">
        <v>24</v>
      </c>
      <c r="D30" s="263" t="str">
        <f>IF(C30="Str",'Personal File'!$C$11,IF(C30="Dex",'Personal File'!$C$12,IF(C30="Con",'Personal File'!$C$13,IF(C30="Int",'Personal File'!$C$14,IF(C30="Wis",'Personal File'!$C$15,IF(C30="Cha",'Personal File'!$C$16))))))</f>
        <v>+2</v>
      </c>
      <c r="E30" s="359" t="str">
        <f t="shared" si="7"/>
        <v>Dex (+2)</v>
      </c>
      <c r="F30" s="78" t="s">
        <v>52</v>
      </c>
      <c r="G30" s="78">
        <f t="shared" si="6"/>
        <v>3</v>
      </c>
      <c r="H30" s="361">
        <f t="shared" ca="1" si="8"/>
        <v>13</v>
      </c>
      <c r="I30" s="78">
        <f t="shared" ca="1" si="4"/>
        <v>16</v>
      </c>
      <c r="J30" s="187" t="s">
        <v>156</v>
      </c>
    </row>
    <row r="31" spans="1:10" ht="16.8" x14ac:dyDescent="0.3">
      <c r="A31" s="66" t="s">
        <v>12</v>
      </c>
      <c r="B31" s="56">
        <v>0</v>
      </c>
      <c r="C31" s="67" t="s">
        <v>22</v>
      </c>
      <c r="D31" s="68" t="str">
        <f>IF(C31="Str",'Personal File'!$C$11,IF(C31="Dex",'Personal File'!$C$12,IF(C31="Con",'Personal File'!$C$13,IF(C31="Int",'Personal File'!$C$14,IF(C31="Wis",'Personal File'!$C$15,IF(C31="Cha",'Personal File'!$C$16))))))</f>
        <v>+2</v>
      </c>
      <c r="E31" s="68" t="str">
        <f t="shared" si="7"/>
        <v>Int (+2)</v>
      </c>
      <c r="F31" s="70" t="s">
        <v>52</v>
      </c>
      <c r="G31" s="70">
        <f t="shared" si="6"/>
        <v>2</v>
      </c>
      <c r="H31" s="361">
        <f t="shared" ca="1" si="8"/>
        <v>13</v>
      </c>
      <c r="I31" s="70">
        <f t="shared" ca="1" si="4"/>
        <v>15</v>
      </c>
      <c r="J31" s="107"/>
    </row>
    <row r="32" spans="1:10" ht="16.8" x14ac:dyDescent="0.3">
      <c r="A32" s="199" t="s">
        <v>45</v>
      </c>
      <c r="B32" s="77">
        <v>4</v>
      </c>
      <c r="C32" s="200" t="s">
        <v>23</v>
      </c>
      <c r="D32" s="201" t="str">
        <f>IF(C32="Str",'Personal File'!$C$11,IF(C32="Dex",'Personal File'!$C$12,IF(C32="Con",'Personal File'!$C$13,IF(C32="Int",'Personal File'!$C$14,IF(C32="Wis",'Personal File'!$C$15,IF(C32="Cha",'Personal File'!$C$16))))))</f>
        <v>+2</v>
      </c>
      <c r="E32" s="201" t="str">
        <f t="shared" si="7"/>
        <v>Wis (+2)</v>
      </c>
      <c r="F32" s="78" t="s">
        <v>52</v>
      </c>
      <c r="G32" s="78">
        <f t="shared" si="6"/>
        <v>6</v>
      </c>
      <c r="H32" s="361">
        <f t="shared" ca="1" si="8"/>
        <v>8</v>
      </c>
      <c r="I32" s="78">
        <f t="shared" ca="1" si="4"/>
        <v>14</v>
      </c>
      <c r="J32" s="79"/>
    </row>
    <row r="33" spans="1:10" ht="16.8" x14ac:dyDescent="0.3">
      <c r="A33" s="98" t="s">
        <v>70</v>
      </c>
      <c r="B33" s="81">
        <v>0</v>
      </c>
      <c r="C33" s="99" t="s">
        <v>24</v>
      </c>
      <c r="D33" s="100" t="str">
        <f>IF(C33="Str",'Personal File'!$C$11,IF(C33="Dex",'Personal File'!$C$12,IF(C33="Con",'Personal File'!$C$13,IF(C33="Int",'Personal File'!$C$14,IF(C33="Wis",'Personal File'!$C$15,IF(C33="Cha",'Personal File'!$C$16))))))</f>
        <v>+2</v>
      </c>
      <c r="E33" s="100" t="str">
        <f t="shared" si="7"/>
        <v>Dex (+2)</v>
      </c>
      <c r="F33" s="105">
        <f>SUM(Martial!$D$15:$D$17)</f>
        <v>0</v>
      </c>
      <c r="G33" s="84">
        <f t="shared" si="6"/>
        <v>2</v>
      </c>
      <c r="H33" s="361">
        <f t="shared" ca="1" si="8"/>
        <v>4</v>
      </c>
      <c r="I33" s="84">
        <f t="shared" ca="1" si="4"/>
        <v>6</v>
      </c>
      <c r="J33" s="85"/>
    </row>
    <row r="34" spans="1:10" ht="16.8" x14ac:dyDescent="0.3">
      <c r="A34" s="101" t="s">
        <v>136</v>
      </c>
      <c r="B34" s="102">
        <v>0</v>
      </c>
      <c r="C34" s="103" t="s">
        <v>22</v>
      </c>
      <c r="D34" s="104" t="str">
        <f>IF(C34="Str",'Personal File'!$C$11,IF(C34="Dex",'Personal File'!$C$12,IF(C34="Con",'Personal File'!$C$13,IF(C34="Int",'Personal File'!$C$14,IF(C34="Wis",'Personal File'!$C$15,IF(C34="Cha",'Personal File'!$C$16))))))</f>
        <v>+2</v>
      </c>
      <c r="E34" s="104" t="str">
        <f t="shared" ref="E34" si="11">CONCATENATE(C34," (",D34,")")</f>
        <v>Int (+2)</v>
      </c>
      <c r="F34" s="105" t="s">
        <v>52</v>
      </c>
      <c r="G34" s="105">
        <f t="shared" ref="G34" si="12">B34+D34+F34</f>
        <v>2</v>
      </c>
      <c r="H34" s="361">
        <f t="shared" ca="1" si="8"/>
        <v>4</v>
      </c>
      <c r="I34" s="105">
        <f t="shared" ref="I34" ca="1" si="13">SUM(G34:H34)</f>
        <v>6</v>
      </c>
      <c r="J34" s="106"/>
    </row>
    <row r="35" spans="1:10" ht="16.8" x14ac:dyDescent="0.3">
      <c r="A35" s="101" t="s">
        <v>46</v>
      </c>
      <c r="B35" s="102">
        <v>0</v>
      </c>
      <c r="C35" s="103" t="s">
        <v>22</v>
      </c>
      <c r="D35" s="104" t="str">
        <f>IF(C35="Str",'Personal File'!$C$11,IF(C35="Dex",'Personal File'!$C$12,IF(C35="Con",'Personal File'!$C$13,IF(C35="Int",'Personal File'!$C$14,IF(C35="Wis",'Personal File'!$C$15,IF(C35="Cha",'Personal File'!$C$16))))))</f>
        <v>+2</v>
      </c>
      <c r="E35" s="104" t="str">
        <f t="shared" si="7"/>
        <v>Int (+2)</v>
      </c>
      <c r="F35" s="105" t="s">
        <v>52</v>
      </c>
      <c r="G35" s="105">
        <f t="shared" si="6"/>
        <v>2</v>
      </c>
      <c r="H35" s="361">
        <f t="shared" ca="1" si="8"/>
        <v>4</v>
      </c>
      <c r="I35" s="105">
        <f t="shared" ca="1" si="4"/>
        <v>6</v>
      </c>
      <c r="J35" s="106"/>
    </row>
    <row r="36" spans="1:10" ht="16.8" x14ac:dyDescent="0.3">
      <c r="A36" s="199" t="s">
        <v>47</v>
      </c>
      <c r="B36" s="77">
        <v>7</v>
      </c>
      <c r="C36" s="200" t="s">
        <v>23</v>
      </c>
      <c r="D36" s="201" t="str">
        <f>IF(C36="Str",'Personal File'!$C$11,IF(C36="Dex",'Personal File'!$C$12,IF(C36="Con",'Personal File'!$C$13,IF(C36="Int",'Personal File'!$C$14,IF(C36="Wis",'Personal File'!$C$15,IF(C36="Cha",'Personal File'!$C$16))))))</f>
        <v>+2</v>
      </c>
      <c r="E36" s="201" t="str">
        <f t="shared" si="7"/>
        <v>Wis (+2)</v>
      </c>
      <c r="F36" s="78" t="s">
        <v>52</v>
      </c>
      <c r="G36" s="78">
        <f t="shared" si="6"/>
        <v>9</v>
      </c>
      <c r="H36" s="361">
        <f t="shared" ca="1" si="8"/>
        <v>13</v>
      </c>
      <c r="I36" s="78">
        <f t="shared" ca="1" si="4"/>
        <v>22</v>
      </c>
      <c r="J36" s="79"/>
    </row>
    <row r="37" spans="1:10" ht="16.8" x14ac:dyDescent="0.3">
      <c r="A37" s="199" t="s">
        <v>71</v>
      </c>
      <c r="B37" s="77">
        <v>7</v>
      </c>
      <c r="C37" s="200" t="s">
        <v>23</v>
      </c>
      <c r="D37" s="201" t="str">
        <f>IF(C37="Str",'Personal File'!$C$11,IF(C37="Dex",'Personal File'!$C$12,IF(C37="Con",'Personal File'!$C$13,IF(C37="Int",'Personal File'!$C$14,IF(C37="Wis",'Personal File'!$C$15,IF(C37="Cha",'Personal File'!$C$16))))))</f>
        <v>+2</v>
      </c>
      <c r="E37" s="201" t="str">
        <f t="shared" si="7"/>
        <v>Wis (+2)</v>
      </c>
      <c r="F37" s="78" t="s">
        <v>52</v>
      </c>
      <c r="G37" s="78">
        <f t="shared" si="6"/>
        <v>9</v>
      </c>
      <c r="H37" s="361">
        <f t="shared" ca="1" si="8"/>
        <v>10</v>
      </c>
      <c r="I37" s="78">
        <f t="shared" ca="1" si="4"/>
        <v>19</v>
      </c>
      <c r="J37" s="187"/>
    </row>
    <row r="38" spans="1:10" ht="16.8" x14ac:dyDescent="0.3">
      <c r="A38" s="152" t="s">
        <v>13</v>
      </c>
      <c r="B38" s="77">
        <v>2</v>
      </c>
      <c r="C38" s="153" t="s">
        <v>25</v>
      </c>
      <c r="D38" s="154" t="str">
        <f>IF(C38="Str",'Personal File'!$C$11,IF(C38="Dex",'Personal File'!$C$12,IF(C38="Con",'Personal File'!$C$13,IF(C38="Int",'Personal File'!$C$14,IF(C38="Wis",'Personal File'!$C$15,IF(C38="Cha",'Personal File'!$C$16))))))</f>
        <v>+2</v>
      </c>
      <c r="E38" s="154" t="str">
        <f t="shared" si="7"/>
        <v>Str (+2)</v>
      </c>
      <c r="F38" s="78" t="s">
        <v>52</v>
      </c>
      <c r="G38" s="78">
        <f t="shared" si="6"/>
        <v>4</v>
      </c>
      <c r="H38" s="361">
        <f t="shared" ca="1" si="8"/>
        <v>9</v>
      </c>
      <c r="I38" s="78">
        <f t="shared" ca="1" si="4"/>
        <v>13</v>
      </c>
      <c r="J38" s="187" t="s">
        <v>156</v>
      </c>
    </row>
    <row r="39" spans="1:10" ht="16.8" x14ac:dyDescent="0.3">
      <c r="A39" s="108" t="s">
        <v>48</v>
      </c>
      <c r="B39" s="102">
        <v>0</v>
      </c>
      <c r="C39" s="109" t="s">
        <v>24</v>
      </c>
      <c r="D39" s="110" t="str">
        <f>IF(C39="Str",'Personal File'!$C$11,IF(C39="Dex",'Personal File'!$C$12,IF(C39="Con",'Personal File'!$C$13,IF(C39="Int",'Personal File'!$C$14,IF(C39="Wis",'Personal File'!$C$15,IF(C39="Cha",'Personal File'!$C$16))))))</f>
        <v>+2</v>
      </c>
      <c r="E39" s="110" t="str">
        <f t="shared" si="7"/>
        <v>Dex (+2)</v>
      </c>
      <c r="F39" s="105">
        <f>SUM(Martial!$D$15:$D$17)</f>
        <v>0</v>
      </c>
      <c r="G39" s="105">
        <f t="shared" si="6"/>
        <v>2</v>
      </c>
      <c r="H39" s="361">
        <f t="shared" ca="1" si="8"/>
        <v>1</v>
      </c>
      <c r="I39" s="105">
        <f t="shared" ca="1" si="4"/>
        <v>3</v>
      </c>
      <c r="J39" s="106"/>
    </row>
    <row r="40" spans="1:10" ht="16.8" x14ac:dyDescent="0.3">
      <c r="A40" s="111" t="s">
        <v>49</v>
      </c>
      <c r="B40" s="81">
        <v>0</v>
      </c>
      <c r="C40" s="112" t="s">
        <v>20</v>
      </c>
      <c r="D40" s="113" t="str">
        <f>IF(C40="Str",'Personal File'!$C$11,IF(C40="Dex",'Personal File'!$C$12,IF(C40="Con",'Personal File'!$C$13,IF(C40="Int",'Personal File'!$C$14,IF(C40="Wis",'Personal File'!$C$15,IF(C40="Cha",'Personal File'!$C$16))))))</f>
        <v>+0</v>
      </c>
      <c r="E40" s="113" t="str">
        <f t="shared" si="7"/>
        <v>Cha (+0)</v>
      </c>
      <c r="F40" s="84" t="s">
        <v>52</v>
      </c>
      <c r="G40" s="84">
        <f t="shared" si="6"/>
        <v>0</v>
      </c>
      <c r="H40" s="361">
        <f t="shared" ca="1" si="8"/>
        <v>20</v>
      </c>
      <c r="I40" s="84">
        <f t="shared" ca="1" si="4"/>
        <v>20</v>
      </c>
      <c r="J40" s="85"/>
    </row>
    <row r="41" spans="1:10" ht="17.399999999999999" thickBot="1" x14ac:dyDescent="0.35">
      <c r="A41" s="350" t="s">
        <v>50</v>
      </c>
      <c r="B41" s="280">
        <v>0</v>
      </c>
      <c r="C41" s="351" t="s">
        <v>24</v>
      </c>
      <c r="D41" s="352" t="str">
        <f>IF(C41="Str",'Personal File'!$C$11,IF(C41="Dex",'Personal File'!$C$12,IF(C41="Con",'Personal File'!$C$13,IF(C41="Int",'Personal File'!$C$14,IF(C41="Wis",'Personal File'!$C$15,IF(C41="Cha",'Personal File'!$C$16))))))</f>
        <v>+2</v>
      </c>
      <c r="E41" s="352" t="str">
        <f t="shared" si="7"/>
        <v>Dex (+2)</v>
      </c>
      <c r="F41" s="353" t="s">
        <v>52</v>
      </c>
      <c r="G41" s="353">
        <f t="shared" si="6"/>
        <v>2</v>
      </c>
      <c r="H41" s="363">
        <f t="shared" ref="H41" ca="1" si="14">RANDBETWEEN(1,20)</f>
        <v>10</v>
      </c>
      <c r="I41" s="353">
        <f t="shared" ca="1" si="4"/>
        <v>12</v>
      </c>
      <c r="J41" s="354"/>
    </row>
    <row r="42" spans="1:10" ht="16.2" thickTop="1" x14ac:dyDescent="0.3">
      <c r="A42" s="143"/>
      <c r="B42" s="144">
        <f>SUM(B6:B41)+B9+B19+B30+B38</f>
        <v>70</v>
      </c>
      <c r="C42" s="145"/>
      <c r="D42" s="145"/>
      <c r="E42" s="144">
        <f>SUM(E43:E47)</f>
        <v>70</v>
      </c>
      <c r="F42" s="147" t="s">
        <v>53</v>
      </c>
      <c r="G42" s="145"/>
      <c r="H42" s="145"/>
      <c r="I42" s="145"/>
      <c r="J42" s="143"/>
    </row>
    <row r="43" spans="1:10" x14ac:dyDescent="0.3">
      <c r="A43" s="143"/>
      <c r="B43" s="144"/>
      <c r="C43" s="145"/>
      <c r="D43" s="145"/>
      <c r="E43" s="149">
        <f>4*(8+'Personal File'!$C$14)</f>
        <v>40</v>
      </c>
      <c r="F43" s="147" t="s">
        <v>88</v>
      </c>
      <c r="G43" s="145"/>
      <c r="H43" s="145"/>
      <c r="I43" s="145"/>
      <c r="J43" s="143"/>
    </row>
    <row r="44" spans="1:10" x14ac:dyDescent="0.3">
      <c r="A44" s="143"/>
      <c r="B44" s="144"/>
      <c r="C44" s="145"/>
      <c r="D44" s="145"/>
      <c r="E44" s="149">
        <f>8+'Personal File'!$C$14</f>
        <v>10</v>
      </c>
      <c r="F44" s="147" t="s">
        <v>121</v>
      </c>
      <c r="G44" s="145"/>
      <c r="H44" s="145"/>
      <c r="I44" s="145"/>
      <c r="J44" s="143"/>
    </row>
    <row r="45" spans="1:10" x14ac:dyDescent="0.3">
      <c r="A45" s="143"/>
      <c r="B45" s="144"/>
      <c r="C45" s="145"/>
      <c r="D45" s="145"/>
      <c r="E45" s="149">
        <f>8+'Personal File'!$C$14</f>
        <v>10</v>
      </c>
      <c r="F45" s="147" t="s">
        <v>122</v>
      </c>
      <c r="G45" s="145"/>
      <c r="H45" s="145"/>
      <c r="I45" s="145"/>
      <c r="J45" s="143"/>
    </row>
    <row r="46" spans="1:10" x14ac:dyDescent="0.3">
      <c r="A46" s="143"/>
      <c r="B46" s="144"/>
      <c r="C46" s="145"/>
      <c r="D46" s="145"/>
      <c r="E46" s="286">
        <v>0</v>
      </c>
      <c r="F46" s="147" t="s">
        <v>133</v>
      </c>
      <c r="G46" s="145"/>
      <c r="H46" s="145"/>
      <c r="I46" s="145"/>
      <c r="J46" s="143"/>
    </row>
    <row r="47" spans="1:10" x14ac:dyDescent="0.3">
      <c r="A47" s="143"/>
      <c r="B47" s="144"/>
      <c r="C47" s="145"/>
      <c r="D47" s="145"/>
      <c r="E47" s="149">
        <f>8+'Personal File'!$C$14</f>
        <v>10</v>
      </c>
      <c r="F47" s="147" t="s">
        <v>186</v>
      </c>
      <c r="G47" s="145"/>
      <c r="H47" s="145"/>
      <c r="I47" s="145"/>
      <c r="J47" s="143"/>
    </row>
    <row r="48" spans="1:10" x14ac:dyDescent="0.3">
      <c r="A48" s="143"/>
      <c r="B48" s="144"/>
      <c r="C48" s="145"/>
      <c r="D48" s="145"/>
      <c r="E48" s="149"/>
      <c r="F48" s="148"/>
      <c r="G48" s="145"/>
      <c r="H48" s="145"/>
      <c r="I48" s="145"/>
      <c r="J48" s="143"/>
    </row>
    <row r="49" spans="1:10" x14ac:dyDescent="0.3">
      <c r="A49" s="143"/>
      <c r="B49" s="144"/>
      <c r="C49" s="145"/>
      <c r="D49" s="145"/>
      <c r="E49" s="149"/>
      <c r="F49" s="148"/>
      <c r="G49" s="145"/>
      <c r="H49" s="145"/>
      <c r="I49" s="145"/>
      <c r="J49" s="143"/>
    </row>
    <row r="50" spans="1:10" x14ac:dyDescent="0.3">
      <c r="A50" s="143"/>
      <c r="B50" s="144"/>
      <c r="C50" s="145"/>
      <c r="D50" s="145"/>
      <c r="E50" s="149"/>
      <c r="F50" s="148"/>
      <c r="G50" s="145"/>
      <c r="H50" s="145"/>
      <c r="I50" s="145"/>
      <c r="J50" s="143"/>
    </row>
    <row r="51" spans="1:10" x14ac:dyDescent="0.3">
      <c r="A51" s="143"/>
      <c r="B51" s="144"/>
      <c r="C51" s="145"/>
      <c r="D51" s="145"/>
      <c r="E51" s="149"/>
      <c r="F51" s="148"/>
      <c r="G51" s="145"/>
      <c r="H51" s="145"/>
      <c r="I51" s="145"/>
      <c r="J51" s="143"/>
    </row>
    <row r="52" spans="1:10" x14ac:dyDescent="0.3">
      <c r="A52" s="143"/>
      <c r="B52" s="144"/>
      <c r="C52" s="145"/>
      <c r="D52" s="145"/>
      <c r="E52" s="149"/>
      <c r="F52" s="148"/>
      <c r="G52" s="145"/>
      <c r="H52" s="145"/>
      <c r="I52" s="145"/>
      <c r="J52" s="143"/>
    </row>
    <row r="53" spans="1:10" x14ac:dyDescent="0.3">
      <c r="A53" s="143"/>
      <c r="B53" s="143"/>
      <c r="C53" s="145"/>
      <c r="D53" s="145"/>
      <c r="E53" s="146"/>
      <c r="F53" s="148"/>
      <c r="G53" s="145"/>
      <c r="H53" s="145"/>
      <c r="I53" s="145"/>
      <c r="J53" s="143"/>
    </row>
    <row r="54" spans="1:10" x14ac:dyDescent="0.3">
      <c r="A54" s="150"/>
      <c r="B54" s="150"/>
      <c r="C54" s="151"/>
      <c r="D54" s="151"/>
      <c r="E54" s="151"/>
      <c r="F54" s="151"/>
      <c r="G54" s="151"/>
      <c r="H54" s="151"/>
      <c r="I54" s="151"/>
      <c r="J54" s="150"/>
    </row>
    <row r="55" spans="1:10" x14ac:dyDescent="0.3">
      <c r="A55" s="150"/>
      <c r="B55" s="150"/>
      <c r="C55" s="151"/>
      <c r="D55" s="151"/>
      <c r="E55" s="151"/>
      <c r="F55" s="151"/>
      <c r="G55" s="151"/>
      <c r="H55" s="151"/>
      <c r="I55" s="151"/>
      <c r="J55" s="150"/>
    </row>
  </sheetData>
  <phoneticPr fontId="0" type="noConversion"/>
  <printOptions gridLinesSet="0"/>
  <pageMargins left="0.62" right="0.33" top="0.5" bottom="0.63" header="0.5" footer="0.5"/>
  <pageSetup orientation="portrait" horizontalDpi="120" verticalDpi="144"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7"/>
  <sheetViews>
    <sheetView showGridLines="0" workbookViewId="0"/>
  </sheetViews>
  <sheetFormatPr defaultColWidth="13" defaultRowHeight="15.6" x14ac:dyDescent="0.3"/>
  <cols>
    <col min="1" max="1" width="26.796875" style="51" bestFit="1" customWidth="1"/>
    <col min="2" max="2" width="2.09765625" style="49" customWidth="1"/>
    <col min="3" max="3" width="15.296875" style="49" bestFit="1" customWidth="1"/>
    <col min="4" max="4" width="6.19921875" style="49" bestFit="1" customWidth="1"/>
    <col min="5" max="5" width="4.09765625" style="49" bestFit="1" customWidth="1"/>
    <col min="6" max="6" width="6.296875" style="49" bestFit="1" customWidth="1"/>
    <col min="7" max="16384" width="13" style="49"/>
  </cols>
  <sheetData>
    <row r="1" spans="1:6" ht="24" thickTop="1" thickBot="1" x14ac:dyDescent="0.3">
      <c r="A1" s="208" t="s">
        <v>91</v>
      </c>
      <c r="B1" s="281"/>
      <c r="C1" s="282" t="s">
        <v>143</v>
      </c>
      <c r="D1" s="273"/>
      <c r="E1" s="273"/>
      <c r="F1" s="283"/>
    </row>
    <row r="2" spans="1:6" ht="17.399999999999999" thickTop="1" x14ac:dyDescent="0.3">
      <c r="A2" s="309" t="s">
        <v>183</v>
      </c>
      <c r="C2" s="274" t="s">
        <v>60</v>
      </c>
      <c r="D2" s="275" t="s">
        <v>0</v>
      </c>
      <c r="E2" s="296" t="s">
        <v>127</v>
      </c>
    </row>
    <row r="3" spans="1:6" ht="16.8" x14ac:dyDescent="0.3">
      <c r="A3" s="310" t="s">
        <v>161</v>
      </c>
      <c r="C3" s="276" t="s">
        <v>129</v>
      </c>
      <c r="D3" s="277">
        <v>0</v>
      </c>
      <c r="E3" s="297">
        <f>D3+'Personal File'!$C$15</f>
        <v>2</v>
      </c>
    </row>
    <row r="4" spans="1:6" ht="17.399999999999999" thickBot="1" x14ac:dyDescent="0.35">
      <c r="A4" s="378" t="str">
        <f>CONCATENATE("Tongues, CL ",8+'Personal File'!E3)</f>
        <v>Tongues, CL 13</v>
      </c>
      <c r="C4" s="278" t="s">
        <v>130</v>
      </c>
      <c r="D4" s="56">
        <v>0</v>
      </c>
      <c r="E4" s="298">
        <f>D4+'Personal File'!$C$15</f>
        <v>2</v>
      </c>
    </row>
    <row r="5" spans="1:6" ht="18" thickTop="1" thickBot="1" x14ac:dyDescent="0.35">
      <c r="C5" s="278" t="s">
        <v>131</v>
      </c>
      <c r="D5" s="56">
        <v>0</v>
      </c>
      <c r="E5" s="298">
        <f>D5+'Personal File'!$C$15</f>
        <v>2</v>
      </c>
    </row>
    <row r="6" spans="1:6" ht="22.2" thickTop="1" thickBot="1" x14ac:dyDescent="0.35">
      <c r="A6" s="209" t="s">
        <v>84</v>
      </c>
      <c r="C6" s="279" t="s">
        <v>128</v>
      </c>
      <c r="D6" s="280">
        <v>0</v>
      </c>
      <c r="E6" s="299">
        <f>D6+'Personal File'!$C$15</f>
        <v>2</v>
      </c>
    </row>
    <row r="7" spans="1:6" ht="16.8" x14ac:dyDescent="0.3">
      <c r="A7" s="309" t="s">
        <v>74</v>
      </c>
    </row>
    <row r="8" spans="1:6" ht="17.399999999999999" thickBot="1" x14ac:dyDescent="0.35">
      <c r="A8" s="202" t="s">
        <v>160</v>
      </c>
      <c r="D8" s="52" t="s">
        <v>134</v>
      </c>
      <c r="E8" s="290">
        <f>'Personal File'!$E$5</f>
        <v>4</v>
      </c>
    </row>
    <row r="9" spans="1:6" ht="16.8" thickTop="1" thickBot="1" x14ac:dyDescent="0.35">
      <c r="F9" s="114"/>
    </row>
    <row r="10" spans="1:6" ht="22.2" thickTop="1" thickBot="1" x14ac:dyDescent="0.35">
      <c r="A10" s="208" t="s">
        <v>142</v>
      </c>
    </row>
    <row r="11" spans="1:6" ht="16.8" x14ac:dyDescent="0.3">
      <c r="A11" s="311" t="s">
        <v>162</v>
      </c>
    </row>
    <row r="12" spans="1:6" ht="16.8" x14ac:dyDescent="0.3">
      <c r="A12" s="327" t="s">
        <v>163</v>
      </c>
    </row>
    <row r="13" spans="1:6" ht="17.399999999999999" thickBot="1" x14ac:dyDescent="0.35">
      <c r="A13" s="312" t="s">
        <v>164</v>
      </c>
    </row>
    <row r="14" spans="1:6" ht="16.8" thickTop="1" thickBot="1" x14ac:dyDescent="0.35"/>
    <row r="15" spans="1:6" ht="22.2" thickTop="1" thickBot="1" x14ac:dyDescent="0.35">
      <c r="A15" s="207" t="s">
        <v>61</v>
      </c>
    </row>
    <row r="16" spans="1:6" ht="17.399999999999999" thickBot="1" x14ac:dyDescent="0.35">
      <c r="A16" s="53" t="s">
        <v>159</v>
      </c>
    </row>
    <row r="17" ht="16.2" thickTop="1" x14ac:dyDescent="0.3"/>
  </sheetData>
  <conditionalFormatting sqref="F1">
    <cfRule type="cellIs" dxfId="7" priority="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8"/>
  <sheetViews>
    <sheetView showGridLines="0" zoomScaleNormal="100" workbookViewId="0"/>
  </sheetViews>
  <sheetFormatPr defaultColWidth="13" defaultRowHeight="15.6" x14ac:dyDescent="0.3"/>
  <cols>
    <col min="1" max="1" width="22.796875" style="20" bestFit="1" customWidth="1"/>
    <col min="2" max="2" width="8.5" style="20" bestFit="1" customWidth="1"/>
    <col min="3" max="3" width="6.8984375" style="20" bestFit="1" customWidth="1"/>
    <col min="4" max="4" width="6.296875" style="20" bestFit="1" customWidth="1"/>
    <col min="5" max="5" width="8.09765625" style="20" bestFit="1" customWidth="1"/>
    <col min="6" max="6" width="8.3984375" style="20" bestFit="1" customWidth="1"/>
    <col min="7" max="7" width="4.796875" style="20" bestFit="1" customWidth="1"/>
    <col min="8" max="8" width="4.69921875" style="20" bestFit="1" customWidth="1"/>
    <col min="9" max="9" width="5.69921875" style="20" bestFit="1" customWidth="1"/>
    <col min="10" max="10" width="6.296875" style="20" bestFit="1" customWidth="1"/>
    <col min="11" max="11" width="20.796875" style="20" customWidth="1"/>
    <col min="12" max="12" width="2" style="12" customWidth="1"/>
    <col min="13" max="13" width="5.796875" style="12" bestFit="1" customWidth="1"/>
    <col min="14" max="16384" width="13" style="12"/>
  </cols>
  <sheetData>
    <row r="1" spans="1:13" ht="23.4" thickBot="1" x14ac:dyDescent="0.35">
      <c r="A1" s="11" t="s">
        <v>83</v>
      </c>
      <c r="B1" s="11"/>
      <c r="C1" s="11"/>
      <c r="D1" s="11"/>
      <c r="E1" s="11"/>
      <c r="F1" s="11"/>
      <c r="G1" s="11"/>
      <c r="H1" s="11"/>
      <c r="I1" s="11"/>
      <c r="J1" s="11"/>
      <c r="K1" s="11"/>
      <c r="M1" s="272"/>
    </row>
    <row r="2" spans="1:13" ht="16.8" thickTop="1" thickBot="1" x14ac:dyDescent="0.35">
      <c r="A2" s="13" t="s">
        <v>2</v>
      </c>
      <c r="B2" s="14" t="s">
        <v>87</v>
      </c>
      <c r="C2" s="14" t="s">
        <v>15</v>
      </c>
      <c r="D2" s="14" t="s">
        <v>16</v>
      </c>
      <c r="E2" s="15" t="s">
        <v>54</v>
      </c>
      <c r="F2" s="14" t="s">
        <v>14</v>
      </c>
      <c r="G2" s="14" t="s">
        <v>17</v>
      </c>
      <c r="H2" s="16" t="s">
        <v>72</v>
      </c>
      <c r="I2" s="17" t="s">
        <v>73</v>
      </c>
      <c r="J2" s="16" t="s">
        <v>66</v>
      </c>
      <c r="K2" s="18" t="s">
        <v>1</v>
      </c>
      <c r="M2" s="158" t="s">
        <v>77</v>
      </c>
    </row>
    <row r="3" spans="1:13" x14ac:dyDescent="0.3">
      <c r="A3" s="302" t="s">
        <v>89</v>
      </c>
      <c r="B3" s="163" t="s">
        <v>135</v>
      </c>
      <c r="C3" s="303">
        <f>'Personal File'!$C$11+0</f>
        <v>2</v>
      </c>
      <c r="D3" s="303">
        <v>0</v>
      </c>
      <c r="E3" s="304" t="s">
        <v>90</v>
      </c>
      <c r="F3" s="305" t="s">
        <v>79</v>
      </c>
      <c r="G3" s="375" t="s">
        <v>81</v>
      </c>
      <c r="H3" s="306" t="str">
        <f>CONCATENATE("+",'Personal File'!$B$9+'Personal File'!$C$11+D3)</f>
        <v>+6</v>
      </c>
      <c r="I3" s="238">
        <f t="shared" ref="I3:I8" ca="1" si="0">RANDBETWEEN(1,20)</f>
        <v>5</v>
      </c>
      <c r="J3" s="307">
        <f t="shared" ref="J3:J5" ca="1" si="1">I3+RIGHT(H3,2)</f>
        <v>11</v>
      </c>
      <c r="K3" s="308" t="s">
        <v>148</v>
      </c>
      <c r="M3" s="376" t="s">
        <v>81</v>
      </c>
    </row>
    <row r="4" spans="1:13" x14ac:dyDescent="0.3">
      <c r="A4" s="233" t="s">
        <v>123</v>
      </c>
      <c r="B4" s="10" t="s">
        <v>95</v>
      </c>
      <c r="C4" s="234">
        <f>'Personal File'!$C$11/2</f>
        <v>1</v>
      </c>
      <c r="D4" s="234">
        <v>0</v>
      </c>
      <c r="E4" s="235" t="s">
        <v>90</v>
      </c>
      <c r="F4" s="236" t="s">
        <v>125</v>
      </c>
      <c r="G4" s="373" t="s">
        <v>81</v>
      </c>
      <c r="H4" s="237" t="str">
        <f>CONCATENATE("+",'Personal File'!$B$9+'Personal File'!$C$11+D4-1)</f>
        <v>+5</v>
      </c>
      <c r="I4" s="238">
        <f t="shared" ca="1" si="0"/>
        <v>6</v>
      </c>
      <c r="J4" s="239">
        <f t="shared" ca="1" si="1"/>
        <v>11</v>
      </c>
      <c r="K4" s="240" t="s">
        <v>148</v>
      </c>
      <c r="M4" s="376" t="s">
        <v>81</v>
      </c>
    </row>
    <row r="5" spans="1:13" x14ac:dyDescent="0.3">
      <c r="A5" s="233" t="s">
        <v>124</v>
      </c>
      <c r="B5" s="10" t="s">
        <v>95</v>
      </c>
      <c r="C5" s="234">
        <f>'Personal File'!$C$11/2</f>
        <v>1</v>
      </c>
      <c r="D5" s="234">
        <v>0</v>
      </c>
      <c r="E5" s="235" t="s">
        <v>90</v>
      </c>
      <c r="F5" s="236" t="s">
        <v>125</v>
      </c>
      <c r="G5" s="373" t="s">
        <v>81</v>
      </c>
      <c r="H5" s="237" t="str">
        <f>CONCATENATE("+",'Personal File'!$B$9+'Personal File'!$C$11+D5-1)</f>
        <v>+5</v>
      </c>
      <c r="I5" s="238">
        <f t="shared" ca="1" si="0"/>
        <v>13</v>
      </c>
      <c r="J5" s="239">
        <f t="shared" ca="1" si="1"/>
        <v>18</v>
      </c>
      <c r="K5" s="240" t="s">
        <v>148</v>
      </c>
      <c r="M5" s="376" t="s">
        <v>81</v>
      </c>
    </row>
    <row r="6" spans="1:13" x14ac:dyDescent="0.3">
      <c r="A6" s="233" t="s">
        <v>187</v>
      </c>
      <c r="B6" s="10" t="s">
        <v>135</v>
      </c>
      <c r="C6" s="234">
        <f>'Personal File'!$C$11+1</f>
        <v>3</v>
      </c>
      <c r="D6" s="234">
        <v>1</v>
      </c>
      <c r="E6" s="235" t="s">
        <v>93</v>
      </c>
      <c r="F6" s="236" t="s">
        <v>94</v>
      </c>
      <c r="G6" s="295">
        <v>4</v>
      </c>
      <c r="H6" s="237" t="str">
        <f>CONCATENATE("+",'Personal File'!$B$9+'Personal File'!$C$11+D6)</f>
        <v>+7</v>
      </c>
      <c r="I6" s="238">
        <f t="shared" ca="1" si="0"/>
        <v>19</v>
      </c>
      <c r="J6" s="239">
        <f t="shared" ref="J6" ca="1" si="2">I6+RIGHT(H6,2)</f>
        <v>26</v>
      </c>
      <c r="K6" s="240"/>
      <c r="M6" s="241">
        <v>2315</v>
      </c>
    </row>
    <row r="7" spans="1:13" x14ac:dyDescent="0.3">
      <c r="A7" s="233" t="s">
        <v>182</v>
      </c>
      <c r="B7" s="10" t="s">
        <v>135</v>
      </c>
      <c r="C7" s="234">
        <f>'Personal File'!$C$11+1</f>
        <v>3</v>
      </c>
      <c r="D7" s="234">
        <v>1</v>
      </c>
      <c r="E7" s="235" t="s">
        <v>93</v>
      </c>
      <c r="F7" s="236" t="s">
        <v>94</v>
      </c>
      <c r="G7" s="373" t="s">
        <v>81</v>
      </c>
      <c r="H7" s="237" t="str">
        <f>CONCATENATE("+",'Personal File'!$B$9+'Personal File'!$C$11+D7)</f>
        <v>+7</v>
      </c>
      <c r="I7" s="238">
        <f t="shared" ca="1" si="0"/>
        <v>9</v>
      </c>
      <c r="J7" s="239">
        <f t="shared" ref="J7" ca="1" si="3">I7+RIGHT(H7,2)</f>
        <v>16</v>
      </c>
      <c r="K7" s="240"/>
      <c r="M7" s="376" t="s">
        <v>81</v>
      </c>
    </row>
    <row r="8" spans="1:13" ht="16.2" thickBot="1" x14ac:dyDescent="0.35">
      <c r="A8" s="328" t="s">
        <v>144</v>
      </c>
      <c r="B8" s="329" t="s">
        <v>175</v>
      </c>
      <c r="C8" s="330" t="s">
        <v>81</v>
      </c>
      <c r="D8" s="330">
        <v>0</v>
      </c>
      <c r="E8" s="329" t="s">
        <v>81</v>
      </c>
      <c r="F8" s="329" t="s">
        <v>81</v>
      </c>
      <c r="G8" s="374" t="s">
        <v>81</v>
      </c>
      <c r="H8" s="331" t="str">
        <f>CONCATENATE("+",'Personal File'!$B$9+'Personal File'!$C$11+D8)</f>
        <v>+6</v>
      </c>
      <c r="I8" s="332">
        <f t="shared" ca="1" si="0"/>
        <v>2</v>
      </c>
      <c r="J8" s="333">
        <f t="shared" ref="J8" ca="1" si="4">I8+RIGHT(H8,2)</f>
        <v>8</v>
      </c>
      <c r="K8" s="334"/>
      <c r="M8" s="377" t="s">
        <v>81</v>
      </c>
    </row>
    <row r="9" spans="1:13" ht="16.8" thickTop="1" thickBot="1" x14ac:dyDescent="0.35"/>
    <row r="10" spans="1:13" ht="16.8" thickTop="1" thickBot="1" x14ac:dyDescent="0.35">
      <c r="A10" s="13" t="s">
        <v>4</v>
      </c>
      <c r="B10" s="14" t="s">
        <v>87</v>
      </c>
      <c r="C10" s="14" t="s">
        <v>15</v>
      </c>
      <c r="D10" s="14" t="s">
        <v>16</v>
      </c>
      <c r="E10" s="15" t="s">
        <v>54</v>
      </c>
      <c r="F10" s="14" t="s">
        <v>5</v>
      </c>
      <c r="G10" s="14" t="s">
        <v>17</v>
      </c>
      <c r="H10" s="16" t="s">
        <v>72</v>
      </c>
      <c r="I10" s="17" t="s">
        <v>73</v>
      </c>
      <c r="J10" s="16" t="s">
        <v>66</v>
      </c>
      <c r="K10" s="18" t="s">
        <v>1</v>
      </c>
      <c r="M10" s="158" t="s">
        <v>77</v>
      </c>
    </row>
    <row r="11" spans="1:13" x14ac:dyDescent="0.3">
      <c r="A11" s="184" t="s">
        <v>195</v>
      </c>
      <c r="B11" s="185" t="s">
        <v>196</v>
      </c>
      <c r="C11" s="303">
        <f>'Personal File'!$C$11+0</f>
        <v>2</v>
      </c>
      <c r="D11" s="370">
        <v>1</v>
      </c>
      <c r="E11" s="185" t="s">
        <v>198</v>
      </c>
      <c r="F11" s="242" t="s">
        <v>197</v>
      </c>
      <c r="G11" s="385" t="s">
        <v>200</v>
      </c>
      <c r="H11" s="237" t="str">
        <f>CONCATENATE("+",'Personal File'!$B$9+'Personal File'!$C$12+D11)</f>
        <v>+7</v>
      </c>
      <c r="I11" s="238">
        <f t="shared" ref="I11:I12" ca="1" si="5">RANDBETWEEN(1,20)</f>
        <v>15</v>
      </c>
      <c r="J11" s="239">
        <f t="shared" ref="J11:J12" ca="1" si="6">I11+RIGHT(H11,2)</f>
        <v>22</v>
      </c>
      <c r="K11" s="335" t="s">
        <v>199</v>
      </c>
      <c r="M11" s="241">
        <v>315</v>
      </c>
    </row>
    <row r="12" spans="1:13" ht="16.2" thickBot="1" x14ac:dyDescent="0.35">
      <c r="A12" s="189" t="s">
        <v>137</v>
      </c>
      <c r="B12" s="19" t="s">
        <v>138</v>
      </c>
      <c r="C12" s="19">
        <v>0</v>
      </c>
      <c r="D12" s="19">
        <v>0</v>
      </c>
      <c r="E12" s="19" t="s">
        <v>81</v>
      </c>
      <c r="F12" s="174" t="s">
        <v>139</v>
      </c>
      <c r="G12" s="294" t="s">
        <v>81</v>
      </c>
      <c r="H12" s="190" t="str">
        <f>CONCATENATE("+",'Personal File'!$B$9+'Personal File'!$C$12+D12)</f>
        <v>+6</v>
      </c>
      <c r="I12" s="182">
        <f t="shared" ca="1" si="5"/>
        <v>19</v>
      </c>
      <c r="J12" s="183">
        <f t="shared" ca="1" si="6"/>
        <v>25</v>
      </c>
      <c r="K12" s="191"/>
      <c r="M12" s="176" t="s">
        <v>81</v>
      </c>
    </row>
    <row r="13" spans="1:13" ht="16.8" thickTop="1" thickBot="1" x14ac:dyDescent="0.35">
      <c r="D13" s="21"/>
      <c r="E13" s="21"/>
      <c r="G13" s="22"/>
      <c r="H13" s="22"/>
      <c r="I13" s="22"/>
      <c r="J13" s="22"/>
    </row>
    <row r="14" spans="1:13" ht="16.8" thickTop="1" thickBot="1" x14ac:dyDescent="0.35">
      <c r="A14" s="13" t="s">
        <v>58</v>
      </c>
      <c r="B14" s="14" t="s">
        <v>8</v>
      </c>
      <c r="C14" s="14" t="s">
        <v>24</v>
      </c>
      <c r="D14" s="14" t="s">
        <v>66</v>
      </c>
      <c r="E14" s="14" t="s">
        <v>67</v>
      </c>
      <c r="F14" s="14" t="s">
        <v>68</v>
      </c>
      <c r="G14" s="14" t="s">
        <v>17</v>
      </c>
      <c r="H14" s="23" t="s">
        <v>1</v>
      </c>
      <c r="I14" s="24"/>
      <c r="J14" s="24"/>
      <c r="K14" s="25"/>
      <c r="M14" s="158" t="s">
        <v>77</v>
      </c>
    </row>
    <row r="15" spans="1:13" x14ac:dyDescent="0.3">
      <c r="A15" s="243" t="s">
        <v>126</v>
      </c>
      <c r="B15" s="244">
        <v>6</v>
      </c>
      <c r="C15" s="245" t="s">
        <v>81</v>
      </c>
      <c r="D15" s="244" t="s">
        <v>81</v>
      </c>
      <c r="E15" s="246" t="s">
        <v>81</v>
      </c>
      <c r="F15" s="244" t="s">
        <v>81</v>
      </c>
      <c r="G15" s="247" t="s">
        <v>81</v>
      </c>
      <c r="H15" s="248"/>
      <c r="I15" s="26"/>
      <c r="J15" s="26"/>
      <c r="K15" s="249"/>
      <c r="M15" s="165" t="s">
        <v>81</v>
      </c>
    </row>
    <row r="16" spans="1:13" x14ac:dyDescent="0.3">
      <c r="A16" s="314"/>
      <c r="B16" s="315"/>
      <c r="C16" s="316"/>
      <c r="D16" s="315"/>
      <c r="E16" s="317"/>
      <c r="F16" s="315"/>
      <c r="G16" s="318"/>
      <c r="H16" s="319"/>
      <c r="I16" s="320"/>
      <c r="J16" s="320"/>
      <c r="K16" s="321"/>
      <c r="M16" s="301"/>
    </row>
    <row r="17" spans="1:13" ht="16.2" thickBot="1" x14ac:dyDescent="0.35">
      <c r="A17" s="250"/>
      <c r="B17" s="251"/>
      <c r="C17" s="252"/>
      <c r="D17" s="252"/>
      <c r="E17" s="287"/>
      <c r="F17" s="252"/>
      <c r="G17" s="288"/>
      <c r="H17" s="253"/>
      <c r="I17" s="36"/>
      <c r="J17" s="36"/>
      <c r="K17" s="254"/>
      <c r="M17" s="176"/>
    </row>
    <row r="18" spans="1:13" ht="16.8" thickTop="1" thickBot="1" x14ac:dyDescent="0.35"/>
    <row r="19" spans="1:13" ht="16.8" thickTop="1" thickBot="1" x14ac:dyDescent="0.35">
      <c r="A19" s="27"/>
      <c r="B19" s="22"/>
      <c r="D19" s="28" t="s">
        <v>59</v>
      </c>
      <c r="E19" s="29"/>
      <c r="F19" s="23" t="s">
        <v>3</v>
      </c>
      <c r="G19" s="14" t="s">
        <v>17</v>
      </c>
      <c r="H19" s="16" t="s">
        <v>72</v>
      </c>
      <c r="I19" s="23" t="s">
        <v>1</v>
      </c>
      <c r="J19" s="24"/>
      <c r="K19" s="25"/>
      <c r="M19" s="158" t="s">
        <v>77</v>
      </c>
    </row>
    <row r="20" spans="1:13" x14ac:dyDescent="0.3">
      <c r="A20" s="27"/>
      <c r="B20" s="22"/>
      <c r="D20" s="196"/>
      <c r="E20" s="30"/>
      <c r="F20" s="31"/>
      <c r="G20" s="247"/>
      <c r="H20" s="32"/>
      <c r="I20" s="336"/>
      <c r="J20" s="26"/>
      <c r="K20" s="337"/>
      <c r="M20" s="165"/>
    </row>
    <row r="21" spans="1:13" ht="16.2" thickBot="1" x14ac:dyDescent="0.35">
      <c r="D21" s="33"/>
      <c r="E21" s="34"/>
      <c r="F21" s="35"/>
      <c r="G21" s="288"/>
      <c r="H21" s="300"/>
      <c r="I21" s="338"/>
      <c r="J21" s="36"/>
      <c r="K21" s="254"/>
      <c r="M21" s="176"/>
    </row>
    <row r="22" spans="1:13" ht="16.8" thickTop="1" thickBot="1" x14ac:dyDescent="0.35"/>
    <row r="23" spans="1:13" ht="16.8" thickTop="1" thickBot="1" x14ac:dyDescent="0.35">
      <c r="D23" s="28" t="s">
        <v>75</v>
      </c>
      <c r="E23" s="24"/>
      <c r="F23" s="24"/>
      <c r="G23" s="24"/>
      <c r="H23" s="156" t="s">
        <v>3</v>
      </c>
      <c r="I23" s="156" t="s">
        <v>0</v>
      </c>
      <c r="J23" s="156" t="s">
        <v>76</v>
      </c>
      <c r="K23" s="25" t="s">
        <v>65</v>
      </c>
      <c r="L23" s="157"/>
      <c r="M23" s="158" t="s">
        <v>77</v>
      </c>
    </row>
    <row r="24" spans="1:13" x14ac:dyDescent="0.3">
      <c r="D24" s="159" t="s">
        <v>176</v>
      </c>
      <c r="E24" s="160"/>
      <c r="F24" s="160"/>
      <c r="G24" s="161"/>
      <c r="H24" s="162">
        <v>1</v>
      </c>
      <c r="I24" s="163">
        <v>1</v>
      </c>
      <c r="J24" s="163">
        <v>1</v>
      </c>
      <c r="K24" s="164"/>
      <c r="L24" s="157"/>
      <c r="M24" s="165">
        <f t="shared" ref="M24:M27" si="7">25*J24*I24*H24</f>
        <v>25</v>
      </c>
    </row>
    <row r="25" spans="1:13" x14ac:dyDescent="0.3">
      <c r="D25" s="372" t="s">
        <v>178</v>
      </c>
      <c r="E25" s="226"/>
      <c r="F25" s="226"/>
      <c r="G25" s="227"/>
      <c r="H25" s="228">
        <v>1</v>
      </c>
      <c r="I25" s="185">
        <v>1</v>
      </c>
      <c r="J25" s="185">
        <v>1</v>
      </c>
      <c r="K25" s="229"/>
      <c r="L25" s="157"/>
      <c r="M25" s="301">
        <f t="shared" si="7"/>
        <v>25</v>
      </c>
    </row>
    <row r="26" spans="1:13" x14ac:dyDescent="0.3">
      <c r="D26" s="166" t="s">
        <v>177</v>
      </c>
      <c r="E26" s="167"/>
      <c r="F26" s="167"/>
      <c r="G26" s="168"/>
      <c r="H26" s="169">
        <v>1</v>
      </c>
      <c r="I26" s="10">
        <v>2</v>
      </c>
      <c r="J26" s="10">
        <v>4</v>
      </c>
      <c r="K26" s="170"/>
      <c r="L26" s="157"/>
      <c r="M26" s="186">
        <f t="shared" si="7"/>
        <v>200</v>
      </c>
    </row>
    <row r="27" spans="1:13" ht="16.2" thickBot="1" x14ac:dyDescent="0.35">
      <c r="D27" s="171" t="s">
        <v>189</v>
      </c>
      <c r="E27" s="172"/>
      <c r="F27" s="172"/>
      <c r="G27" s="173"/>
      <c r="H27" s="384">
        <v>1</v>
      </c>
      <c r="I27" s="19">
        <v>2</v>
      </c>
      <c r="J27" s="19">
        <v>4</v>
      </c>
      <c r="K27" s="175"/>
      <c r="L27" s="157"/>
      <c r="M27" s="176">
        <f t="shared" si="7"/>
        <v>200</v>
      </c>
    </row>
    <row r="28" spans="1:13" ht="16.2" thickTop="1" x14ac:dyDescent="0.3"/>
  </sheetData>
  <phoneticPr fontId="0" type="noConversion"/>
  <conditionalFormatting sqref="I3:I8">
    <cfRule type="cellIs" dxfId="6" priority="1" operator="equal">
      <formula>1</formula>
    </cfRule>
    <cfRule type="cellIs" dxfId="5" priority="2" operator="greaterThanOrEqual">
      <formula>19</formula>
    </cfRule>
    <cfRule type="cellIs" dxfId="4" priority="3" operator="equal">
      <formula>20</formula>
    </cfRule>
  </conditionalFormatting>
  <conditionalFormatting sqref="I11:I12">
    <cfRule type="cellIs" dxfId="3" priority="5" operator="equal">
      <formula>1</formula>
    </cfRule>
    <cfRule type="cellIs" dxfId="2" priority="6" operator="greaterThanOrEqual">
      <formula>19</formula>
    </cfRule>
  </conditionalFormatting>
  <conditionalFormatting sqref="I12">
    <cfRule type="cellIs" dxfId="1" priority="7" operator="equal">
      <formula>20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3"/>
  <sheetViews>
    <sheetView showGridLines="0" workbookViewId="0"/>
  </sheetViews>
  <sheetFormatPr defaultColWidth="13" defaultRowHeight="15.6" x14ac:dyDescent="0.3"/>
  <cols>
    <col min="1" max="1" width="26.796875" style="20" bestFit="1" customWidth="1"/>
    <col min="2" max="2" width="4.69921875" style="20" bestFit="1" customWidth="1"/>
    <col min="3" max="3" width="4.3984375" style="22" bestFit="1" customWidth="1"/>
    <col min="4" max="5" width="17.09765625" style="12" customWidth="1"/>
    <col min="6" max="6" width="2.69921875" style="12" customWidth="1"/>
    <col min="7" max="7" width="8.296875" style="12" bestFit="1" customWidth="1"/>
    <col min="8" max="16384" width="13" style="12"/>
  </cols>
  <sheetData>
    <row r="1" spans="1:7" ht="23.4" thickBot="1" x14ac:dyDescent="0.35">
      <c r="A1" s="11" t="s">
        <v>62</v>
      </c>
      <c r="B1" s="11"/>
      <c r="C1" s="37"/>
      <c r="D1" s="11"/>
      <c r="E1" s="11"/>
    </row>
    <row r="2" spans="1:7" s="20" customFormat="1" ht="16.8" thickTop="1" thickBot="1" x14ac:dyDescent="0.35">
      <c r="A2" s="38" t="s">
        <v>63</v>
      </c>
      <c r="B2" s="38" t="s">
        <v>3</v>
      </c>
      <c r="C2" s="39" t="s">
        <v>17</v>
      </c>
      <c r="D2" s="40" t="s">
        <v>64</v>
      </c>
      <c r="E2" s="41" t="s">
        <v>65</v>
      </c>
      <c r="G2" s="177" t="s">
        <v>77</v>
      </c>
    </row>
    <row r="3" spans="1:7" x14ac:dyDescent="0.3">
      <c r="A3" s="42" t="s">
        <v>141</v>
      </c>
      <c r="B3" s="192">
        <v>1</v>
      </c>
      <c r="C3" s="155">
        <v>1</v>
      </c>
      <c r="D3" s="47"/>
      <c r="E3" s="48"/>
      <c r="G3" s="178">
        <v>1</v>
      </c>
    </row>
    <row r="4" spans="1:7" x14ac:dyDescent="0.3">
      <c r="A4" s="42" t="s">
        <v>165</v>
      </c>
      <c r="B4" s="193">
        <v>1</v>
      </c>
      <c r="C4" s="46">
        <v>2</v>
      </c>
      <c r="D4" s="44"/>
      <c r="E4" s="45"/>
      <c r="G4" s="178">
        <v>2</v>
      </c>
    </row>
    <row r="5" spans="1:7" x14ac:dyDescent="0.3">
      <c r="A5" s="206" t="s">
        <v>174</v>
      </c>
      <c r="B5" s="203">
        <v>1</v>
      </c>
      <c r="C5" s="322">
        <v>1</v>
      </c>
      <c r="D5" s="47"/>
      <c r="E5" s="48"/>
      <c r="G5" s="205">
        <v>1350</v>
      </c>
    </row>
    <row r="6" spans="1:7" ht="16.2" thickBot="1" x14ac:dyDescent="0.35">
      <c r="A6" s="180" t="s">
        <v>172</v>
      </c>
      <c r="B6" s="194">
        <v>1</v>
      </c>
      <c r="C6" s="284" t="s">
        <v>173</v>
      </c>
      <c r="D6" s="140"/>
      <c r="E6" s="141"/>
      <c r="G6" s="179" t="s">
        <v>146</v>
      </c>
    </row>
    <row r="7" spans="1:7" ht="22.8" thickTop="1" thickBot="1" x14ac:dyDescent="0.35">
      <c r="A7" s="379"/>
      <c r="B7" s="379"/>
      <c r="C7" s="379"/>
      <c r="D7" s="380" t="s">
        <v>184</v>
      </c>
      <c r="E7" s="381"/>
      <c r="F7" s="272"/>
      <c r="G7" s="272">
        <v>2000</v>
      </c>
    </row>
    <row r="8" spans="1:7" ht="16.8" thickTop="1" thickBot="1" x14ac:dyDescent="0.35">
      <c r="A8" s="38" t="s">
        <v>63</v>
      </c>
      <c r="B8" s="38" t="s">
        <v>3</v>
      </c>
      <c r="C8" s="39" t="s">
        <v>17</v>
      </c>
      <c r="D8" s="40" t="s">
        <v>64</v>
      </c>
      <c r="E8" s="41" t="s">
        <v>65</v>
      </c>
      <c r="G8" s="177" t="s">
        <v>77</v>
      </c>
    </row>
    <row r="9" spans="1:7" x14ac:dyDescent="0.3">
      <c r="A9" s="206" t="s">
        <v>140</v>
      </c>
      <c r="B9" s="203">
        <v>1745</v>
      </c>
      <c r="C9" s="155">
        <f>B9/100</f>
        <v>17.45</v>
      </c>
      <c r="D9" s="204"/>
      <c r="E9" s="48"/>
      <c r="G9" s="205">
        <f>B9</f>
        <v>1745</v>
      </c>
    </row>
    <row r="10" spans="1:7" x14ac:dyDescent="0.3">
      <c r="A10" s="206" t="s">
        <v>179</v>
      </c>
      <c r="B10" s="203">
        <v>1</v>
      </c>
      <c r="C10" s="155">
        <v>0</v>
      </c>
      <c r="D10" s="204"/>
      <c r="E10" s="48"/>
      <c r="G10" s="205">
        <v>1</v>
      </c>
    </row>
    <row r="11" spans="1:7" x14ac:dyDescent="0.3">
      <c r="A11" s="206" t="s">
        <v>170</v>
      </c>
      <c r="B11" s="203">
        <v>1</v>
      </c>
      <c r="C11" s="155">
        <v>20</v>
      </c>
      <c r="D11" s="204"/>
      <c r="E11" s="48"/>
      <c r="G11" s="205">
        <v>10</v>
      </c>
    </row>
    <row r="12" spans="1:7" x14ac:dyDescent="0.3">
      <c r="A12" s="206" t="s">
        <v>188</v>
      </c>
      <c r="B12" s="203">
        <v>1</v>
      </c>
      <c r="C12" s="155">
        <v>2</v>
      </c>
      <c r="D12" s="204"/>
      <c r="E12" s="48"/>
      <c r="G12" s="205">
        <v>350</v>
      </c>
    </row>
    <row r="13" spans="1:7" x14ac:dyDescent="0.3">
      <c r="A13" s="206" t="s">
        <v>180</v>
      </c>
      <c r="B13" s="203">
        <v>2</v>
      </c>
      <c r="C13" s="155">
        <v>3</v>
      </c>
      <c r="D13" s="204"/>
      <c r="E13" s="48"/>
      <c r="G13" s="205">
        <v>0.5</v>
      </c>
    </row>
    <row r="14" spans="1:7" x14ac:dyDescent="0.3">
      <c r="A14" s="206" t="s">
        <v>171</v>
      </c>
      <c r="B14" s="203">
        <v>1</v>
      </c>
      <c r="C14" s="155">
        <v>2</v>
      </c>
      <c r="D14" s="204"/>
      <c r="E14" s="48"/>
      <c r="G14" s="205">
        <v>0.5</v>
      </c>
    </row>
    <row r="15" spans="1:7" x14ac:dyDescent="0.3">
      <c r="A15" s="206" t="s">
        <v>169</v>
      </c>
      <c r="B15" s="203">
        <v>1</v>
      </c>
      <c r="C15" s="155">
        <v>5</v>
      </c>
      <c r="D15" s="204"/>
      <c r="E15" s="48"/>
      <c r="G15" s="205">
        <v>55</v>
      </c>
    </row>
    <row r="16" spans="1:7" x14ac:dyDescent="0.3">
      <c r="A16" s="206" t="s">
        <v>194</v>
      </c>
      <c r="B16" s="203">
        <v>1</v>
      </c>
      <c r="C16" s="155">
        <v>6</v>
      </c>
      <c r="D16" s="204"/>
      <c r="E16" s="48"/>
      <c r="G16" s="205">
        <f>500*B16</f>
        <v>500</v>
      </c>
    </row>
    <row r="17" spans="1:7" x14ac:dyDescent="0.3">
      <c r="A17" s="206" t="s">
        <v>167</v>
      </c>
      <c r="B17" s="203">
        <v>0</v>
      </c>
      <c r="C17" s="155">
        <f>B17/100</f>
        <v>0</v>
      </c>
      <c r="D17" s="204"/>
      <c r="E17" s="48"/>
      <c r="G17" s="205">
        <v>10</v>
      </c>
    </row>
    <row r="18" spans="1:7" x14ac:dyDescent="0.3">
      <c r="A18" s="42" t="s">
        <v>168</v>
      </c>
      <c r="B18" s="285">
        <v>1</v>
      </c>
      <c r="C18" s="43">
        <v>7</v>
      </c>
      <c r="D18" s="44"/>
      <c r="E18" s="45"/>
      <c r="G18" s="205">
        <v>8</v>
      </c>
    </row>
    <row r="19" spans="1:7" x14ac:dyDescent="0.3">
      <c r="A19" s="206" t="s">
        <v>181</v>
      </c>
      <c r="B19" s="203">
        <v>3</v>
      </c>
      <c r="C19" s="155">
        <f>B19</f>
        <v>3</v>
      </c>
      <c r="D19" s="47"/>
      <c r="E19" s="48"/>
      <c r="G19" s="205">
        <f>B19*0.5</f>
        <v>1.5</v>
      </c>
    </row>
    <row r="20" spans="1:7" ht="16.2" thickBot="1" x14ac:dyDescent="0.35">
      <c r="A20" s="180" t="s">
        <v>166</v>
      </c>
      <c r="B20" s="194">
        <v>1</v>
      </c>
      <c r="C20" s="139">
        <v>0</v>
      </c>
      <c r="D20" s="223"/>
      <c r="E20" s="141"/>
      <c r="G20" s="179">
        <v>200</v>
      </c>
    </row>
    <row r="21" spans="1:7" ht="16.8" thickTop="1" thickBot="1" x14ac:dyDescent="0.35">
      <c r="A21" s="382" t="s">
        <v>185</v>
      </c>
      <c r="B21" s="383">
        <f>(C21-5)/120</f>
        <v>0.54541666666666666</v>
      </c>
      <c r="C21" s="39">
        <f>SUM(C9:C20,5)</f>
        <v>70.45</v>
      </c>
      <c r="D21" s="157"/>
      <c r="E21" s="157"/>
      <c r="F21" s="157"/>
      <c r="G21" s="339"/>
    </row>
    <row r="22" spans="1:7" x14ac:dyDescent="0.3">
      <c r="E22" s="114" t="s">
        <v>80</v>
      </c>
      <c r="G22" s="289">
        <f>SUM(Martial!M6:M27,Equipment!G3:G20)</f>
        <v>9314.5</v>
      </c>
    </row>
    <row r="23" spans="1:7" x14ac:dyDescent="0.3">
      <c r="E23" s="114" t="s">
        <v>132</v>
      </c>
      <c r="F23" s="272"/>
      <c r="G23" s="289">
        <v>9000</v>
      </c>
    </row>
  </sheetData>
  <phoneticPr fontId="0" type="noConversion"/>
  <conditionalFormatting sqref="G23">
    <cfRule type="cellIs" dxfId="0" priority="1" operator="lessThan">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Personal File</vt:lpstr>
      <vt:lpstr>Skills</vt:lpstr>
      <vt:lpstr>Feats</vt:lpstr>
      <vt:lpstr>Martial</vt:lpstr>
      <vt:lpstr>Equipment</vt:lpstr>
      <vt:lpstr>Feats!OLE_LINK1</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D&amp;D Character Sheet</dc:title>
  <dc:creator>© Alexis A. Álvarez 2007</dc:creator>
  <cp:lastModifiedBy>Alexis Álvarez</cp:lastModifiedBy>
  <cp:lastPrinted>2007-10-12T15:52:45Z</cp:lastPrinted>
  <dcterms:created xsi:type="dcterms:W3CDTF">2000-10-24T15:39:59Z</dcterms:created>
  <dcterms:modified xsi:type="dcterms:W3CDTF">2023-08-10T23:56:06Z</dcterms:modified>
</cp:coreProperties>
</file>