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E8B0EB54-9DC8-4C7B-9EEE-A15685CFCD80}"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3" r:id="rId3"/>
    <sheet name="Martial" sheetId="6" r:id="rId4"/>
    <sheet name="Equipment" sheetId="19" r:id="rId5"/>
  </sheets>
  <externalReferences>
    <externalReference r:id="rId6"/>
  </externalReferences>
  <definedNames>
    <definedName name="NoShade">'[1]Spell Sheet'!$FH$1</definedName>
    <definedName name="OLE_LINK1" localSheetId="2">Feats!$A$2</definedName>
    <definedName name="_xlnm.Print_Area" localSheetId="4">Equipment!#REF!</definedName>
    <definedName name="_xlnm.Print_Area" localSheetId="2">Feats!#REF!</definedName>
    <definedName name="_xlnm.Print_Area" localSheetId="3">Martial!#REF!</definedName>
    <definedName name="_xlnm.Print_Area" localSheetId="0">'Personal File'!$A$1:$H$16</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6" l="1"/>
  <c r="C6" i="6"/>
  <c r="M27" i="6"/>
  <c r="M26" i="6"/>
  <c r="M25" i="6"/>
  <c r="M24" i="6"/>
  <c r="E42" i="15" l="1"/>
  <c r="E47" i="15"/>
  <c r="B9" i="4"/>
  <c r="H6" i="6" s="1"/>
  <c r="B5" i="15"/>
  <c r="B4" i="15"/>
  <c r="B3" i="15"/>
  <c r="E5" i="4"/>
  <c r="A4" i="23"/>
  <c r="I7" i="6"/>
  <c r="G19" i="19"/>
  <c r="C19" i="19"/>
  <c r="G16" i="19"/>
  <c r="H7" i="6" l="1"/>
  <c r="J7" i="6" s="1"/>
  <c r="B42" i="15"/>
  <c r="E13" i="4"/>
  <c r="B11" i="4" l="1"/>
  <c r="I6" i="6" l="1"/>
  <c r="J6" i="6" s="1"/>
  <c r="I12" i="6"/>
  <c r="I11" i="6"/>
  <c r="I8" i="6"/>
  <c r="I5" i="6"/>
  <c r="I4" i="6"/>
  <c r="I3" i="6"/>
  <c r="G9" i="19" l="1"/>
  <c r="C17" i="19" l="1"/>
  <c r="C9" i="19"/>
  <c r="C21" i="19" s="1"/>
  <c r="B21" i="19" s="1"/>
  <c r="H32" i="15" l="1"/>
  <c r="H31" i="15"/>
  <c r="H30" i="15"/>
  <c r="H29" i="15"/>
  <c r="H28" i="15"/>
  <c r="H27" i="15"/>
  <c r="H26" i="15"/>
  <c r="H25" i="15"/>
  <c r="H24" i="15"/>
  <c r="H23" i="15"/>
  <c r="H22" i="15"/>
  <c r="H21" i="15"/>
  <c r="H20" i="15"/>
  <c r="H19" i="15"/>
  <c r="H18" i="15"/>
  <c r="H17" i="15"/>
  <c r="H16" i="15"/>
  <c r="H15" i="15"/>
  <c r="H14" i="15"/>
  <c r="H13" i="15"/>
  <c r="H12" i="15"/>
  <c r="H11" i="15"/>
  <c r="H10" i="15"/>
  <c r="H9" i="15"/>
  <c r="H8" i="15"/>
  <c r="H7" i="15"/>
  <c r="E8" i="23" l="1"/>
  <c r="E12" i="4" l="1"/>
  <c r="G22" i="19" l="1"/>
  <c r="F20" i="15"/>
  <c r="H40" i="15"/>
  <c r="H39" i="15"/>
  <c r="H38" i="15"/>
  <c r="H37" i="15"/>
  <c r="H36" i="15"/>
  <c r="H35" i="15"/>
  <c r="H34" i="15"/>
  <c r="H33" i="15"/>
  <c r="F39" i="15" l="1"/>
  <c r="F33" i="15"/>
  <c r="F26" i="15"/>
  <c r="F23" i="15"/>
  <c r="F21" i="15"/>
  <c r="F16" i="15"/>
  <c r="F7" i="15"/>
  <c r="F9" i="15" l="1"/>
  <c r="H41" i="15" l="1"/>
  <c r="H5" i="15"/>
  <c r="H4" i="15"/>
  <c r="H3" i="15"/>
  <c r="H6" i="15"/>
  <c r="C16" i="4" l="1"/>
  <c r="C15" i="4"/>
  <c r="C14" i="4"/>
  <c r="C13" i="4"/>
  <c r="C12" i="4"/>
  <c r="B10" i="4" s="1"/>
  <c r="C11" i="4"/>
  <c r="E14" i="4" l="1"/>
  <c r="C3" i="6"/>
  <c r="H12" i="6"/>
  <c r="J12" i="6" s="1"/>
  <c r="C5" i="6"/>
  <c r="H5" i="6"/>
  <c r="J5" i="6" s="1"/>
  <c r="H3" i="6"/>
  <c r="J3" i="6" s="1"/>
  <c r="C4" i="6"/>
  <c r="H4" i="6"/>
  <c r="J4" i="6" s="1"/>
  <c r="E6" i="23"/>
  <c r="E3" i="23"/>
  <c r="E4" i="23"/>
  <c r="E5" i="23"/>
  <c r="E45" i="15"/>
  <c r="E44" i="15"/>
  <c r="E43" i="15"/>
  <c r="D34" i="15"/>
  <c r="E16" i="4"/>
  <c r="E15" i="4" s="1"/>
  <c r="H11" i="6"/>
  <c r="H8" i="6"/>
  <c r="J8" i="6" s="1"/>
  <c r="D24" i="15"/>
  <c r="D6" i="15"/>
  <c r="G6" i="15" s="1"/>
  <c r="D4" i="15"/>
  <c r="G4" i="15" s="1"/>
  <c r="D5" i="15"/>
  <c r="G5" i="15" s="1"/>
  <c r="D3" i="15"/>
  <c r="G3" i="15" s="1"/>
  <c r="D35" i="15"/>
  <c r="D37" i="15"/>
  <c r="D29" i="15"/>
  <c r="D39" i="15"/>
  <c r="D36" i="15"/>
  <c r="D38" i="15"/>
  <c r="D31" i="15"/>
  <c r="D19"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E34" i="15" l="1"/>
  <c r="G34" i="15"/>
  <c r="I34" i="15" s="1"/>
  <c r="J11" i="6"/>
  <c r="G24" i="15"/>
  <c r="I24" i="15" s="1"/>
  <c r="E24" i="15"/>
  <c r="E6" i="15"/>
  <c r="I6" i="15"/>
  <c r="E22" i="15"/>
  <c r="G22" i="15"/>
  <c r="E8" i="15"/>
  <c r="G8" i="15"/>
  <c r="E18" i="15"/>
  <c r="G18" i="15"/>
  <c r="E23" i="15"/>
  <c r="G23" i="15"/>
  <c r="E30" i="15"/>
  <c r="G30" i="15"/>
  <c r="E14" i="15"/>
  <c r="G14" i="15"/>
  <c r="E19" i="15"/>
  <c r="G19" i="15"/>
  <c r="E39" i="15"/>
  <c r="G39" i="15"/>
  <c r="E37" i="15"/>
  <c r="G37" i="15"/>
  <c r="E11" i="15"/>
  <c r="G11" i="15"/>
  <c r="E12" i="15"/>
  <c r="G12" i="15"/>
  <c r="E9" i="15"/>
  <c r="G9" i="15"/>
  <c r="E20" i="15"/>
  <c r="G20" i="15"/>
  <c r="E32" i="15"/>
  <c r="G32" i="15"/>
  <c r="E31" i="15"/>
  <c r="G31" i="15"/>
  <c r="E29" i="15"/>
  <c r="G29" i="15"/>
  <c r="E4" i="15"/>
  <c r="E7" i="15"/>
  <c r="G7" i="15"/>
  <c r="E28" i="15"/>
  <c r="G28" i="15"/>
  <c r="E13" i="15"/>
  <c r="G13" i="15"/>
  <c r="E15" i="15"/>
  <c r="G15" i="15"/>
  <c r="E25" i="15"/>
  <c r="G25" i="15"/>
  <c r="E33" i="15"/>
  <c r="G33" i="15"/>
  <c r="E10" i="15"/>
  <c r="G10" i="15"/>
  <c r="E16" i="15"/>
  <c r="G16" i="15"/>
  <c r="E21" i="15"/>
  <c r="G21" i="15"/>
  <c r="E26" i="15"/>
  <c r="G26" i="15"/>
  <c r="E41" i="15"/>
  <c r="G41" i="15"/>
  <c r="E27" i="15"/>
  <c r="G27" i="15"/>
  <c r="E38" i="15"/>
  <c r="G38" i="15"/>
  <c r="E35" i="15"/>
  <c r="G35" i="15"/>
  <c r="E17" i="15"/>
  <c r="G17" i="15"/>
  <c r="E40" i="15"/>
  <c r="G40" i="15"/>
  <c r="E36" i="15"/>
  <c r="G36" i="15"/>
  <c r="E3" i="15"/>
  <c r="E5" i="15"/>
  <c r="I3" i="15" l="1"/>
  <c r="I26" i="15"/>
  <c r="I16" i="15"/>
  <c r="I15" i="15"/>
  <c r="I28" i="15"/>
  <c r="I36" i="15"/>
  <c r="I17" i="15"/>
  <c r="I38" i="15"/>
  <c r="I41" i="15"/>
  <c r="I21" i="15"/>
  <c r="I10" i="15"/>
  <c r="I25" i="15"/>
  <c r="I13" i="15"/>
  <c r="I7" i="15"/>
  <c r="I29" i="15"/>
  <c r="I32" i="15"/>
  <c r="I9" i="15"/>
  <c r="I11" i="15"/>
  <c r="I37" i="15"/>
  <c r="I19" i="15"/>
  <c r="I30" i="15"/>
  <c r="I35" i="15"/>
  <c r="I27" i="15"/>
  <c r="I33" i="15"/>
  <c r="I4" i="15"/>
  <c r="I31" i="15"/>
  <c r="I20" i="15"/>
  <c r="I12" i="15"/>
  <c r="I39" i="15"/>
  <c r="I14" i="15"/>
  <c r="I23" i="15"/>
  <c r="I5" i="15"/>
  <c r="I40" i="15"/>
  <c r="I8" i="15"/>
  <c r="I18" i="15"/>
  <c r="I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
haste +1
Negative Levels -4
Crushing Despair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[(4 * 8 Hound Archon) * 75%] +
[(0 * X Xxxxxx) * 75%] +
(4 * 2 Con)</t>
        </r>
      </text>
    </comment>
    <comment ref="E14" authorId="0" shapeId="0" xr:uid="{FE6F6CBB-A87B-4CB4-895F-6E1DC72F244D}">
      <text>
        <r>
          <rPr>
            <i/>
            <sz val="12"/>
            <color indexed="81"/>
            <rFont val="Times New Roman"/>
            <family val="1"/>
          </rPr>
          <t>protection from evil +2
haste +1</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1" authorId="0" shapeId="0" xr:uid="{25EA40DC-139B-4E64-9FEF-B6FA32EA2A75}">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A12" authorId="0" shapeId="0" xr:uid="{C6B14F2B-5C42-4E77-AA86-2CEAEBADE35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A13" authorId="0" shapeId="0" xr:uid="{FAD05F38-6221-4992-8F34-597D27E3100D}">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K3" authorId="0" shapeId="0" xr:uid="{99380EA4-6247-45D4-97F2-75D36AE4D1AC}">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K4" authorId="0" shapeId="0" xr:uid="{40F94C87-2A0E-45BF-B05B-2519BD248B83}">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K5" authorId="0" shapeId="0" xr:uid="{35099455-46D1-457F-89B4-0828BD940D91}">
      <text>
        <r>
          <rPr>
            <sz val="12"/>
            <color indexed="81"/>
            <rFont val="Times New Roman"/>
            <family val="1"/>
          </rPr>
          <t xml:space="preserve">You can focus holy power into your natural attacks.
</t>
        </r>
        <r>
          <rPr>
            <b/>
            <sz val="12"/>
            <color indexed="81"/>
            <rFont val="Times New Roman"/>
            <family val="1"/>
          </rPr>
          <t xml:space="preserve">Prerequisites: </t>
        </r>
        <r>
          <rPr>
            <sz val="12"/>
            <color indexed="81"/>
            <rFont val="Times New Roman"/>
            <family val="1"/>
          </rPr>
          <t xml:space="preserve">One or more natural weapon attacks, base attack bonus +5.
</t>
        </r>
        <r>
          <rPr>
            <b/>
            <sz val="12"/>
            <color indexed="81"/>
            <rFont val="Times New Roman"/>
            <family val="1"/>
          </rPr>
          <t xml:space="preserve">Benefit: </t>
        </r>
        <r>
          <rPr>
            <sz val="12"/>
            <color indexed="81"/>
            <rFont val="Times New Roman"/>
            <family val="1"/>
          </rPr>
          <t>Each time you deal damage with a natural attack, you deal 1 extra point of damage to evil creatures, or 1d4 points to evil outsiders and evil undead. In addition, your natural attacks are considered good-aligned for purposes of overcoming damage reduction.
PHB 98</t>
        </r>
      </text>
    </comment>
    <comment ref="D14" authorId="0" shapeId="0" xr:uid="{00000000-0006-0000-0500-00000A000000}">
      <text>
        <r>
          <rPr>
            <sz val="12"/>
            <color indexed="81"/>
            <rFont val="Times New Roman"/>
            <family val="1"/>
          </rPr>
          <t>Balance, Climb, Escape Artist, Hide, Jump, Move Silently, Sleight of Hand, Tumble.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DD2752D0-6829-4F80-A097-9E7067E8C7FD}">
      <text>
        <r>
          <rPr>
            <b/>
            <sz val="12"/>
            <color indexed="81"/>
            <rFont val="Times New Roman"/>
            <family val="1"/>
          </rPr>
          <t xml:space="preserve">Price (Item Level): </t>
        </r>
        <r>
          <rPr>
            <sz val="12"/>
            <color indexed="81"/>
            <rFont val="Times New Roman"/>
            <family val="1"/>
          </rPr>
          <t xml:space="preserve">1,350 gp (5th)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12th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This necklace consists of a leather thong strung with dragon’s teeth.
All attacks you make with natural weapons or unarmed strikes while wearing this amulet overcome damage reduction as through they were magic weapons.
(The attacks don’t gain an enhancement bonus, just the ability to overcome some creatures’ damage reduction.)
MIC 148</t>
        </r>
      </text>
    </comment>
    <comment ref="A7" authorId="0" shapeId="0" xr:uid="{D0474837-F38F-443B-BE3F-7307B36147EF}">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12" authorId="0" shapeId="0" xr:uid="{5CBFC19A-4048-4142-B4A9-C4A3D7B7E63B}">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16" authorId="0" shapeId="0" xr:uid="{CE32A9A1-8A95-4369-A7FA-CEBDFDC294DE}">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20" authorId="0" shapeId="0" xr:uid="{098298C0-06CC-43F7-AA20-19BE9E56E25B}">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<sst xmlns="http://schemas.openxmlformats.org/spreadsheetml/2006/main" count="327" uniqueCount="195">
  <si>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</si>
  <si>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</si>
  <si>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</si>
  <si>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</si>
  <si>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</si>
  <si>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</si>
  <si>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</si>
  <si>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</si>
  <si>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</si>
  <si>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</si>
  <si>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</si>
  <si>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</si>
  <si>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</si>
  <si>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</si>
  <si>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</si>
  <si>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</si>
  <si>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</si>
  <si>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</si>
  <si>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</si>
  <si>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</si>
  <si>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</si>
  <si>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</si>
  <si>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</si>
  <si>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</si>
  <si>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</si>
  <si>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</si>
  <si>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</si>
  <si>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</si>
  <si>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</si>
  <si>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</si>
  <si>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</si>
  <si>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</si>
  <si>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</si>
  <si>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</si>
  <si>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</si>
  <si>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</si>
  <si>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</si>
  <si>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</si>
  <si>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</si>
  <si>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</si>
  <si>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</si>
  <si>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</si>
  <si>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</si>
  <si>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</si>
  <si>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</si>
  <si>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</si>
  <si>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</si>
  <si>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</si>
  <si>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</si>
  <si>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</si>
  <si>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</si>
  <si>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</si>
  <si>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</si>
  <si>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</si>
  <si>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</si>
  <si>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</si>
  <si>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</si>
  <si>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</si>
  <si>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</si>
  <si>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</si>
  <si>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</si>
  <si>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</si>
  <si>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</si>
  <si>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</si>
  <si>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</si>
  <si>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</si>
  <si>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Check</t>
  </si>
  <si>
    <t>Arcane</t>
  </si>
  <si>
    <t>Speed</t>
  </si>
  <si>
    <t>Perform:  (type)</t>
  </si>
  <si>
    <t>Sleight of Hand</t>
  </si>
  <si>
    <t>Survival</t>
  </si>
  <si>
    <t>Atk</t>
  </si>
  <si>
    <t>Roll</t>
  </si>
  <si>
    <t>Simple and Martial Weapons</t>
  </si>
  <si>
    <t>Scrolls and Potions</t>
  </si>
  <si>
    <t>CLev</t>
  </si>
  <si>
    <t>Value</t>
  </si>
  <si>
    <t>Male</t>
  </si>
  <si>
    <t>Piercing</t>
  </si>
  <si>
    <t>Total Equity:</t>
  </si>
  <si>
    <t>-</t>
  </si>
  <si>
    <t>Skill/Save</t>
  </si>
  <si>
    <t>Weapons and Armor</t>
  </si>
  <si>
    <t>Weapon Proficiency</t>
  </si>
  <si>
    <t>Played by Edward Kilcullen</t>
  </si>
  <si>
    <t>Hound Archon</t>
  </si>
  <si>
    <t>Dmg</t>
  </si>
  <si>
    <t>Hound Archon 1</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</si>
  <si>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</si>
  <si>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</si>
  <si>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</si>
  <si>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</si>
  <si>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19-20/x2</t>
  </si>
  <si>
    <t>Slashing</t>
  </si>
  <si>
    <t>1d4</t>
  </si>
  <si>
    <t>Race</t>
  </si>
  <si>
    <t>Subtype</t>
  </si>
  <si>
    <t>Class</t>
  </si>
  <si>
    <t>Region</t>
  </si>
  <si>
    <t>Height</t>
  </si>
  <si>
    <t>Sex</t>
  </si>
  <si>
    <t>Weight</t>
  </si>
  <si>
    <t>Age</t>
  </si>
  <si>
    <t>Alignment</t>
  </si>
  <si>
    <t>Deity</t>
  </si>
  <si>
    <t>Attack Bonus</t>
  </si>
  <si>
    <t>Initiative</t>
  </si>
  <si>
    <t>Strength</t>
  </si>
  <si>
    <t>Lb. Capacity</t>
  </si>
  <si>
    <t>Dexterity</t>
  </si>
  <si>
    <t>Lb. Carried</t>
  </si>
  <si>
    <t>Constitution</t>
  </si>
  <si>
    <t>Hit Points</t>
  </si>
  <si>
    <t>Intelligence</t>
  </si>
  <si>
    <t>Touch AC</t>
  </si>
  <si>
    <t>Wisdom</t>
  </si>
  <si>
    <t>FF AC</t>
  </si>
  <si>
    <t>Charisma</t>
  </si>
  <si>
    <t>AC</t>
  </si>
  <si>
    <t>Good</t>
  </si>
  <si>
    <t>Hound Archon 2</t>
  </si>
  <si>
    <t>Hound Archon 3</t>
  </si>
  <si>
    <t>Slam 1</t>
  </si>
  <si>
    <t>Slam 2</t>
  </si>
  <si>
    <t>Bludgeon</t>
  </si>
  <si>
    <t>Natural Armor</t>
  </si>
  <si>
    <t>DC</t>
  </si>
  <si>
    <t>Message</t>
  </si>
  <si>
    <t>Aid</t>
  </si>
  <si>
    <t>Continual Flame</t>
  </si>
  <si>
    <t>Detect Evil</t>
  </si>
  <si>
    <t>Soft Equity Ceiling:</t>
  </si>
  <si>
    <t>Hound Archon 4</t>
  </si>
  <si>
    <t>CL:</t>
  </si>
  <si>
    <t>1d8</t>
  </si>
  <si>
    <t>Speak Language:  [language]</t>
  </si>
  <si>
    <t>Thrown Item</t>
  </si>
  <si>
    <t>varies</t>
  </si>
  <si>
    <t>10’</t>
  </si>
  <si>
    <t>Gold Coins</t>
  </si>
  <si>
    <t>Belt with Pouches</t>
  </si>
  <si>
    <t>Feats</t>
  </si>
  <si>
    <t>At-Will Abilities</t>
  </si>
  <si>
    <t>Touch/Grapple</t>
  </si>
  <si>
    <t>HD</t>
  </si>
  <si>
    <t>one</t>
  </si>
  <si>
    <t>+4 vs. Poison</t>
  </si>
  <si>
    <t>Sanctify Natural Attack</t>
  </si>
  <si>
    <t>Kassuq</t>
  </si>
  <si>
    <t>6’ 1”</t>
  </si>
  <si>
    <t>195 lbs.</t>
  </si>
  <si>
    <t>Chaotic Good</t>
  </si>
  <si>
    <t>Torm</t>
  </si>
  <si>
    <t xml:space="preserve">Great Glacier </t>
  </si>
  <si>
    <t>Craft:  Blacksmith</t>
  </si>
  <si>
    <t>CROSS-CLASS</t>
  </si>
  <si>
    <t>Knowledge:  [type]</t>
  </si>
  <si>
    <t>Profession:  Cook</t>
  </si>
  <si>
    <t>Common, Celestial</t>
  </si>
  <si>
    <t>No Armor or Shields</t>
  </si>
  <si>
    <t>Scent 10’</t>
  </si>
  <si>
    <t>Regional:  Surefooted</t>
  </si>
  <si>
    <t>1st:  Quick Change</t>
  </si>
  <si>
    <t>3rd:  Improved Initiative</t>
  </si>
  <si>
    <t>Backpack</t>
  </si>
  <si>
    <t>Everfull Mug</t>
  </si>
  <si>
    <t>Rope, 50’ Silk</t>
  </si>
  <si>
    <t>Cold Weather Outfit</t>
  </si>
  <si>
    <t>MW Artisan’s Tools</t>
  </si>
  <si>
    <t>Tent</t>
  </si>
  <si>
    <t>Hammer</t>
  </si>
  <si>
    <t>Traveler’s Outfit</t>
  </si>
  <si>
    <t>five</t>
  </si>
  <si>
    <t>Wyrmfang Amulet</t>
  </si>
  <si>
    <t>1d3</t>
  </si>
  <si>
    <r>
      <t xml:space="preserve">Potion of </t>
    </r>
    <r>
      <rPr>
        <i/>
        <sz val="12"/>
        <rFont val="Times New Roman"/>
        <family val="1"/>
      </rPr>
      <t>Cure Light Wounds</t>
    </r>
  </si>
  <si>
    <r>
      <t xml:space="preserve">Potion of </t>
    </r>
    <r>
      <rPr>
        <i/>
        <sz val="12"/>
        <rFont val="Times New Roman"/>
        <family val="1"/>
      </rPr>
      <t>Darkvision</t>
    </r>
  </si>
  <si>
    <r>
      <t xml:space="preserve">Potion of </t>
    </r>
    <r>
      <rPr>
        <i/>
        <sz val="12"/>
        <rFont val="Times New Roman"/>
        <family val="1"/>
      </rPr>
      <t>Mage Armor</t>
    </r>
  </si>
  <si>
    <t>Flint &amp; Steel</t>
  </si>
  <si>
    <t>Winter Blankets</t>
  </si>
  <si>
    <t>Trail Rations</t>
  </si>
  <si>
    <r>
      <t xml:space="preserve">Longsword, </t>
    </r>
    <r>
      <rPr>
        <i/>
        <sz val="12"/>
        <rFont val="Times New Roman"/>
        <family val="1"/>
      </rPr>
      <t>haste</t>
    </r>
  </si>
  <si>
    <t>Electricity Resistance 10</t>
  </si>
  <si>
    <t>Heward’s Handy Haversack</t>
  </si>
  <si>
    <t>% Full:</t>
  </si>
  <si>
    <t>Hound Archon 5</t>
  </si>
  <si>
    <t>Longsword +1</t>
  </si>
  <si>
    <t>Everlasting Rations</t>
  </si>
  <si>
    <r>
      <t xml:space="preserve">Potion of </t>
    </r>
    <r>
      <rPr>
        <i/>
        <sz val="12"/>
        <rFont val="Times New Roman"/>
        <family val="1"/>
      </rPr>
      <t>Bull’s Strength</t>
    </r>
  </si>
  <si>
    <t>60’</t>
  </si>
  <si>
    <t>Biped Speed</t>
  </si>
  <si>
    <t>Canid Speed:</t>
  </si>
  <si>
    <t>40’</t>
  </si>
  <si>
    <t>Magic Bedroll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</si>
</sst>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5"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81"/>
      <name val="Times New Roman"/>
      <family val="1"/>
    </font>
    <font>
      <b/>
      <sz val="13"/>
      <color rgb="FF00CC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i/>
      <sz val="16"/>
      <color indexed="21"/>
      <name val="Times New Roman"/>
      <family val="1"/>
    </font>
    <font>
      <i/>
      <sz val="16"/>
      <color indexed="53"/>
      <name val="Times New Roman"/>
      <family val="1"/>
    </font>
    <font>
      <i/>
      <sz val="16"/>
      <color indexed="10"/>
      <name val="Times New Roman"/>
      <family val="1"/>
    </font>
    <font>
      <i/>
      <sz val="16"/>
      <color indexed="12"/>
      <name val="Times New Roman"/>
      <family val="1"/>
    </font>
    <font>
      <sz val="12"/>
      <color theme="1"/>
      <name val="Wingdings"/>
      <charset val="2"/>
    </font>
    <font>
      <i/>
      <sz val="22"/>
      <color theme="8" tint="0.39997558519241921"/>
      <name val="Times New Roman"/>
      <family val="1"/>
    </font>
    <font>
      <b/>
      <sz val="12"/>
      <color theme="8" tint="0.39997558519241921"/>
      <name val="Times New Roman"/>
      <family val="1"/>
    </font>
    <font>
      <i/>
      <sz val="12"/>
      <color theme="8" tint="0.79998168889431442"/>
      <name val="Times New Roman"/>
      <family val="1"/>
    </font>
    <font>
      <b/>
      <sz val="13"/>
      <color rgb="FF00B0F0"/>
      <name val="Times New Roman"/>
      <family val="1"/>
    </font>
    <font>
      <i/>
      <sz val="12"/>
      <name val="Times New Roman"/>
      <family val="1"/>
    </font>
    <font>
      <i/>
      <sz val="17"/>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33CC33"/>
        <bgColor indexed="64"/>
      </patternFill>
    </fill>
    <fill>
      <patternFill patternType="solid">
        <fgColor rgb="FF9900FF"/>
        <bgColor indexed="64"/>
      </patternFill>
    </fill>
    <fill>
      <patternFill patternType="solid">
        <fgColor theme="0" tint="-0.14999847407452621"/>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
      <left style="medium">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s>
  <cellStyleXfs count="11">
    <xf numFmtId="0" fontId="0" fillId="0" borderId="0"/>
    <xf numFmtId="0" fontId="31"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1" fillId="0" borderId="0"/>
    <xf numFmtId="0" fontId="4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385">
    <xf numFmtId="0" fontId="0" fillId="0" borderId="0" xfId="0"/>
    <xf numFmtId="0" fontId="5" fillId="0" borderId="0" xfId="0" applyFont="1"/>
    <xf numFmtId="0" fontId="4" fillId="0" borderId="0" xfId="0" applyFont="1" applyAlignment="1">
      <alignment horizontal="right"/>
    </xf>
    <xf numFmtId="0" fontId="5" fillId="0" borderId="0" xfId="0" applyFont="1" applyAlignment="1">
      <alignment horizontal="left"/>
    </xf>
    <xf numFmtId="0" fontId="18"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11" fillId="3" borderId="18" xfId="0" applyFont="1" applyFill="1" applyBorder="1" applyAlignment="1">
      <alignment horizontal="center" vertical="center" wrapText="1"/>
    </xf>
    <xf numFmtId="0" fontId="2" fillId="0" borderId="36"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vertical="center"/>
    </xf>
    <xf numFmtId="0" fontId="19" fillId="12" borderId="11" xfId="0" applyFont="1" applyFill="1" applyBorder="1" applyAlignment="1">
      <alignment horizontal="center" vertical="center"/>
    </xf>
    <xf numFmtId="0" fontId="19" fillId="12" borderId="12" xfId="0" applyFont="1" applyFill="1" applyBorder="1" applyAlignment="1">
      <alignment horizontal="center" vertical="center"/>
    </xf>
    <xf numFmtId="49" fontId="19" fillId="12" borderId="12" xfId="0" applyNumberFormat="1" applyFont="1" applyFill="1" applyBorder="1" applyAlignment="1">
      <alignment horizontal="center" vertical="center"/>
    </xf>
    <xf numFmtId="0" fontId="19" fillId="12" borderId="16" xfId="0" applyFont="1" applyFill="1" applyBorder="1" applyAlignment="1">
      <alignment horizontal="center" vertical="center"/>
    </xf>
    <xf numFmtId="0" fontId="39" fillId="10" borderId="16" xfId="0" applyFont="1" applyFill="1" applyBorder="1" applyAlignment="1">
      <alignment horizontal="center" vertical="center"/>
    </xf>
    <xf numFmtId="0" fontId="19" fillId="12" borderId="13" xfId="0" applyFont="1" applyFill="1" applyBorder="1" applyAlignment="1">
      <alignment horizontal="center" vertical="center"/>
    </xf>
    <xf numFmtId="0" fontId="2" fillId="0" borderId="4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19" fillId="12" borderId="16" xfId="0" applyFont="1" applyFill="1" applyBorder="1" applyAlignment="1">
      <alignment horizontal="centerContinuous" vertical="center"/>
    </xf>
    <xf numFmtId="0" fontId="19" fillId="12" borderId="52" xfId="0" applyFont="1" applyFill="1" applyBorder="1" applyAlignment="1">
      <alignment horizontal="centerContinuous" vertical="center"/>
    </xf>
    <xf numFmtId="0" fontId="19" fillId="12" borderId="53" xfId="0" applyFont="1" applyFill="1" applyBorder="1" applyAlignment="1">
      <alignment horizontal="centerContinuous" vertical="center"/>
    </xf>
    <xf numFmtId="164" fontId="5" fillId="0" borderId="55" xfId="0" applyNumberFormat="1" applyFont="1" applyBorder="1" applyAlignment="1">
      <alignment horizontal="centerContinuous" vertical="center"/>
    </xf>
    <xf numFmtId="0" fontId="17" fillId="0" borderId="0" xfId="0" applyFont="1" applyAlignment="1">
      <alignment horizontal="right" vertical="center"/>
    </xf>
    <xf numFmtId="0" fontId="19" fillId="12" borderId="14" xfId="0" applyFont="1" applyFill="1" applyBorder="1" applyAlignment="1">
      <alignment horizontal="centerContinuous" vertical="center"/>
    </xf>
    <xf numFmtId="0" fontId="19" fillId="12" borderId="15" xfId="0" applyFont="1" applyFill="1" applyBorder="1" applyAlignment="1">
      <alignment horizontal="centerContinuous" vertical="center"/>
    </xf>
    <xf numFmtId="0" fontId="5" fillId="0" borderId="55" xfId="0" applyFont="1" applyBorder="1" applyAlignment="1">
      <alignment horizontal="centerContinuous" vertical="center"/>
    </xf>
    <xf numFmtId="0" fontId="5" fillId="0" borderId="66" xfId="0" applyFont="1" applyBorder="1" applyAlignment="1">
      <alignment horizontal="centerContinuous" vertical="center"/>
    </xf>
    <xf numFmtId="49" fontId="2" fillId="0" borderId="66" xfId="0" applyNumberFormat="1" applyFont="1" applyBorder="1" applyAlignment="1">
      <alignment horizontal="center" vertical="center"/>
    </xf>
    <xf numFmtId="0" fontId="5" fillId="0" borderId="41" xfId="0" applyFont="1" applyBorder="1" applyAlignment="1">
      <alignment horizontal="centerContinuous" vertical="center"/>
    </xf>
    <xf numFmtId="0" fontId="5" fillId="0" borderId="69" xfId="0" applyFont="1" applyBorder="1" applyAlignment="1">
      <alignment horizontal="centerContinuous" vertical="center"/>
    </xf>
    <xf numFmtId="0" fontId="5" fillId="0" borderId="67" xfId="0" applyFont="1" applyBorder="1" applyAlignment="1">
      <alignment horizontal="centerContinuous" vertical="center"/>
    </xf>
    <xf numFmtId="164" fontId="5" fillId="0" borderId="70" xfId="0" applyNumberFormat="1" applyFont="1" applyBorder="1" applyAlignment="1">
      <alignment horizontal="centerContinuous" vertical="center"/>
    </xf>
    <xf numFmtId="164" fontId="3" fillId="0" borderId="0" xfId="0" applyNumberFormat="1" applyFont="1" applyAlignment="1">
      <alignment horizontal="centerContinuous" vertical="center"/>
    </xf>
    <xf numFmtId="0" fontId="19" fillId="3" borderId="33" xfId="0" applyFont="1" applyFill="1" applyBorder="1" applyAlignment="1">
      <alignment horizontal="center" vertical="center"/>
    </xf>
    <xf numFmtId="164" fontId="19" fillId="3" borderId="34" xfId="0" applyNumberFormat="1" applyFont="1" applyFill="1" applyBorder="1" applyAlignment="1">
      <alignment horizontal="center" vertical="center"/>
    </xf>
    <xf numFmtId="0" fontId="19" fillId="3" borderId="33" xfId="0" applyFont="1" applyFill="1" applyBorder="1" applyAlignment="1">
      <alignment horizontal="right" vertical="center"/>
    </xf>
    <xf numFmtId="0" fontId="19" fillId="3" borderId="35" xfId="0" applyFont="1" applyFill="1" applyBorder="1" applyAlignment="1">
      <alignment vertical="center"/>
    </xf>
    <xf numFmtId="0" fontId="2" fillId="0" borderId="60" xfId="0" applyFont="1" applyBorder="1" applyAlignment="1">
      <alignment horizontal="center" vertical="center" shrinkToFit="1"/>
    </xf>
    <xf numFmtId="164" fontId="5" fillId="0" borderId="36" xfId="0" applyNumberFormat="1" applyFont="1" applyBorder="1" applyAlignment="1">
      <alignment horizontal="center" vertical="center" shrinkToFit="1"/>
    </xf>
    <xf numFmtId="0" fontId="5" fillId="0" borderId="37" xfId="0" applyFont="1" applyBorder="1" applyAlignment="1">
      <alignment horizontal="left" vertical="center"/>
    </xf>
    <xf numFmtId="0" fontId="5" fillId="0" borderId="38" xfId="0" applyFont="1" applyBorder="1" applyAlignment="1">
      <alignment horizontal="left" vertical="center" shrinkToFit="1"/>
    </xf>
    <xf numFmtId="164" fontId="2" fillId="0" borderId="36"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right" vertical="center" wrapText="1"/>
    </xf>
    <xf numFmtId="0" fontId="7" fillId="0" borderId="51" xfId="0" applyFont="1" applyBorder="1" applyAlignment="1">
      <alignment horizontal="center" vertical="center" shrinkToFit="1"/>
    </xf>
    <xf numFmtId="0" fontId="23" fillId="0" borderId="19" xfId="0" applyFont="1" applyBorder="1" applyAlignment="1">
      <alignment horizontal="centerContinuous" vertical="center"/>
    </xf>
    <xf numFmtId="0" fontId="14" fillId="0" borderId="0" xfId="0" applyFont="1" applyAlignment="1">
      <alignment horizontal="centerContinuous" vertical="center"/>
    </xf>
    <xf numFmtId="0" fontId="7" fillId="0" borderId="21" xfId="0" applyFont="1" applyBorder="1" applyAlignment="1">
      <alignment horizontal="center" vertical="center"/>
    </xf>
    <xf numFmtId="0" fontId="25" fillId="0" borderId="22" xfId="0" applyFont="1" applyBorder="1" applyAlignment="1">
      <alignment horizontal="center" vertical="center"/>
    </xf>
    <xf numFmtId="49" fontId="7" fillId="0" borderId="21" xfId="0" applyNumberFormat="1" applyFont="1" applyBorder="1" applyAlignment="1">
      <alignment horizontal="center" vertical="center"/>
    </xf>
    <xf numFmtId="0" fontId="37" fillId="0" borderId="1" xfId="0" applyFont="1" applyBorder="1" applyAlignment="1">
      <alignment vertical="center"/>
    </xf>
    <xf numFmtId="0" fontId="22" fillId="0" borderId="22" xfId="0" applyFont="1" applyBorder="1" applyAlignment="1">
      <alignment horizontal="center" vertical="center"/>
    </xf>
    <xf numFmtId="0" fontId="12" fillId="0" borderId="22"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26" fillId="0" borderId="9" xfId="0" applyFont="1" applyBorder="1" applyAlignment="1">
      <alignment horizontal="center" vertical="center"/>
    </xf>
    <xf numFmtId="0" fontId="26" fillId="0" borderId="46" xfId="0" applyFont="1" applyBorder="1" applyAlignment="1">
      <alignment horizontal="center" vertical="center"/>
    </xf>
    <xf numFmtId="0" fontId="10" fillId="0" borderId="1" xfId="0" applyFont="1" applyBorder="1" applyAlignment="1">
      <alignment vertical="center"/>
    </xf>
    <xf numFmtId="49" fontId="15" fillId="0" borderId="21" xfId="0" applyNumberFormat="1" applyFont="1" applyBorder="1" applyAlignment="1">
      <alignment horizontal="center" vertical="center"/>
    </xf>
    <xf numFmtId="0" fontId="15" fillId="0" borderId="22" xfId="0" applyFont="1" applyBorder="1" applyAlignment="1">
      <alignment horizontal="center" vertical="center"/>
    </xf>
    <xf numFmtId="0" fontId="7" fillId="0" borderId="22" xfId="0" applyFont="1" applyBorder="1" applyAlignment="1">
      <alignment horizontal="center" vertical="center"/>
    </xf>
    <xf numFmtId="49" fontId="7" fillId="0" borderId="22" xfId="0" applyNumberFormat="1" applyFont="1" applyBorder="1" applyAlignment="1">
      <alignment horizontal="center" vertical="center"/>
    </xf>
    <xf numFmtId="0" fontId="12" fillId="0" borderId="1" xfId="0" applyFont="1" applyBorder="1" applyAlignment="1">
      <alignment vertical="center"/>
    </xf>
    <xf numFmtId="49" fontId="22" fillId="0" borderId="21" xfId="0" applyNumberFormat="1" applyFont="1" applyBorder="1" applyAlignment="1">
      <alignment horizontal="center" vertical="center"/>
    </xf>
    <xf numFmtId="0" fontId="13" fillId="0" borderId="1" xfId="0" applyFont="1" applyBorder="1" applyAlignment="1">
      <alignment vertical="center"/>
    </xf>
    <xf numFmtId="49" fontId="21" fillId="0" borderId="21" xfId="0" applyNumberFormat="1" applyFont="1" applyBorder="1" applyAlignment="1">
      <alignment horizontal="center" vertical="center"/>
    </xf>
    <xf numFmtId="0" fontId="21" fillId="0" borderId="22" xfId="0" applyFont="1" applyBorder="1" applyAlignment="1">
      <alignment horizontal="center" vertical="center"/>
    </xf>
    <xf numFmtId="0" fontId="13" fillId="0" borderId="22" xfId="0" applyFont="1" applyBorder="1" applyAlignment="1">
      <alignment horizontal="center" vertical="center"/>
    </xf>
    <xf numFmtId="0" fontId="7" fillId="13" borderId="21" xfId="0"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3" borderId="23" xfId="0" applyFont="1" applyFill="1" applyBorder="1" applyAlignment="1">
      <alignment horizontal="center" vertical="center"/>
    </xf>
    <xf numFmtId="0" fontId="10" fillId="5" borderId="1" xfId="0" applyFont="1" applyFill="1" applyBorder="1" applyAlignment="1">
      <alignment vertical="center"/>
    </xf>
    <xf numFmtId="0" fontId="7" fillId="5" borderId="21" xfId="0" applyFont="1" applyFill="1" applyBorder="1" applyAlignment="1">
      <alignment horizontal="center" vertical="center"/>
    </xf>
    <xf numFmtId="49" fontId="15" fillId="5" borderId="21" xfId="0" applyNumberFormat="1" applyFont="1" applyFill="1" applyBorder="1" applyAlignment="1">
      <alignment horizontal="center" vertical="center"/>
    </xf>
    <xf numFmtId="0" fontId="15" fillId="5" borderId="22" xfId="0"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13" fillId="13" borderId="1" xfId="0" applyFont="1" applyFill="1" applyBorder="1" applyAlignment="1">
      <alignment vertical="center"/>
    </xf>
    <xf numFmtId="0" fontId="10" fillId="6" borderId="1" xfId="0" applyFont="1" applyFill="1" applyBorder="1" applyAlignment="1">
      <alignment vertical="center"/>
    </xf>
    <xf numFmtId="0" fontId="7" fillId="6" borderId="21" xfId="0" applyFont="1" applyFill="1" applyBorder="1" applyAlignment="1">
      <alignment horizontal="center" vertical="center"/>
    </xf>
    <xf numFmtId="49" fontId="15" fillId="6" borderId="21" xfId="0" applyNumberFormat="1" applyFont="1" applyFill="1" applyBorder="1" applyAlignment="1">
      <alignment horizontal="center" vertical="center"/>
    </xf>
    <xf numFmtId="0" fontId="15" fillId="6" borderId="22" xfId="0" applyFont="1" applyFill="1" applyBorder="1" applyAlignment="1">
      <alignment horizontal="center" vertical="center"/>
    </xf>
    <xf numFmtId="49" fontId="7" fillId="6" borderId="22"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1"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10" fillId="13" borderId="1" xfId="0" applyFont="1" applyFill="1" applyBorder="1" applyAlignment="1">
      <alignment vertical="center"/>
    </xf>
    <xf numFmtId="49" fontId="15" fillId="13" borderId="21" xfId="0" applyNumberFormat="1" applyFont="1" applyFill="1" applyBorder="1" applyAlignment="1">
      <alignment horizontal="center" vertical="center"/>
    </xf>
    <xf numFmtId="0" fontId="15" fillId="13" borderId="22" xfId="0" applyFont="1" applyFill="1" applyBorder="1" applyAlignment="1">
      <alignment horizontal="center" vertical="center"/>
    </xf>
    <xf numFmtId="0" fontId="12" fillId="5" borderId="1" xfId="0" applyFont="1" applyFill="1" applyBorder="1" applyAlignment="1">
      <alignment vertical="center"/>
    </xf>
    <xf numFmtId="49" fontId="22" fillId="5" borderId="21" xfId="0" applyNumberFormat="1" applyFont="1" applyFill="1" applyBorder="1" applyAlignment="1">
      <alignment horizontal="center" vertical="center"/>
    </xf>
    <xf numFmtId="0" fontId="22" fillId="5" borderId="22" xfId="0" applyFont="1" applyFill="1" applyBorder="1" applyAlignment="1">
      <alignment horizontal="center" vertical="center"/>
    </xf>
    <xf numFmtId="0" fontId="10" fillId="4" borderId="1" xfId="0" applyFont="1" applyFill="1" applyBorder="1" applyAlignment="1">
      <alignment vertical="center"/>
    </xf>
    <xf numFmtId="0" fontId="7" fillId="4" borderId="21" xfId="0" applyFont="1" applyFill="1" applyBorder="1" applyAlignment="1">
      <alignment horizontal="center" vertical="center"/>
    </xf>
    <xf numFmtId="49" fontId="15" fillId="4" borderId="21" xfId="0" applyNumberFormat="1" applyFont="1" applyFill="1" applyBorder="1" applyAlignment="1">
      <alignment horizontal="center" vertical="center"/>
    </xf>
    <xf numFmtId="0" fontId="15" fillId="4" borderId="22" xfId="0" applyFont="1" applyFill="1" applyBorder="1" applyAlignment="1">
      <alignment horizontal="center" vertical="center"/>
    </xf>
    <xf numFmtId="49" fontId="7" fillId="4" borderId="22" xfId="0" applyNumberFormat="1" applyFont="1" applyFill="1" applyBorder="1" applyAlignment="1">
      <alignment horizontal="center" vertical="center"/>
    </xf>
    <xf numFmtId="0" fontId="7" fillId="4" borderId="23" xfId="0" applyFont="1" applyFill="1" applyBorder="1" applyAlignment="1">
      <alignment horizontal="center" vertical="center"/>
    </xf>
    <xf numFmtId="0" fontId="7" fillId="0" borderId="23" xfId="0" quotePrefix="1" applyFont="1" applyBorder="1" applyAlignment="1">
      <alignment horizontal="center" vertical="center"/>
    </xf>
    <xf numFmtId="0" fontId="12" fillId="4" borderId="1" xfId="0" applyFont="1" applyFill="1" applyBorder="1" applyAlignment="1">
      <alignment vertical="center"/>
    </xf>
    <xf numFmtId="49" fontId="22" fillId="4" borderId="21" xfId="0" applyNumberFormat="1" applyFont="1" applyFill="1" applyBorder="1" applyAlignment="1">
      <alignment horizontal="center" vertical="center"/>
    </xf>
    <xf numFmtId="0" fontId="22" fillId="4" borderId="22" xfId="0" applyFont="1" applyFill="1" applyBorder="1" applyAlignment="1">
      <alignment horizontal="center" vertical="center"/>
    </xf>
    <xf numFmtId="0" fontId="13" fillId="5" borderId="1" xfId="0" applyFont="1" applyFill="1" applyBorder="1" applyAlignment="1">
      <alignment vertical="center"/>
    </xf>
    <xf numFmtId="49" fontId="21" fillId="5" borderId="21" xfId="0" applyNumberFormat="1" applyFont="1" applyFill="1" applyBorder="1" applyAlignment="1">
      <alignment horizontal="center" vertical="center"/>
    </xf>
    <xf numFmtId="0" fontId="21" fillId="5" borderId="22" xfId="0" applyFont="1" applyFill="1" applyBorder="1" applyAlignment="1">
      <alignment horizontal="center" vertical="center"/>
    </xf>
    <xf numFmtId="0" fontId="4" fillId="0" borderId="0" xfId="0" applyFont="1" applyAlignment="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9" xfId="0" applyFont="1" applyFill="1" applyBorder="1" applyAlignment="1">
      <alignment horizontal="right" vertical="center"/>
    </xf>
    <xf numFmtId="0" fontId="7" fillId="0" borderId="0" xfId="0" applyFont="1" applyAlignment="1">
      <alignment horizontal="left" vertical="center"/>
    </xf>
    <xf numFmtId="0" fontId="8" fillId="2" borderId="8" xfId="0" applyFont="1" applyFill="1" applyBorder="1" applyAlignment="1">
      <alignment horizontal="right" vertical="center"/>
    </xf>
    <xf numFmtId="0" fontId="24" fillId="0" borderId="9" xfId="0" applyFont="1" applyBorder="1" applyAlignment="1">
      <alignment horizontal="center" vertical="center"/>
    </xf>
    <xf numFmtId="0" fontId="9" fillId="4" borderId="62" xfId="0" applyFont="1" applyFill="1" applyBorder="1" applyAlignment="1">
      <alignment horizontal="right" vertical="center"/>
    </xf>
    <xf numFmtId="0" fontId="12" fillId="2" borderId="4" xfId="0" applyFont="1" applyFill="1" applyBorder="1" applyAlignment="1">
      <alignment horizontal="right" vertical="center"/>
    </xf>
    <xf numFmtId="49" fontId="24" fillId="0" borderId="9" xfId="0" applyNumberFormat="1" applyFont="1" applyBorder="1" applyAlignment="1">
      <alignment horizontal="center" vertical="center"/>
    </xf>
    <xf numFmtId="0" fontId="9" fillId="4" borderId="57" xfId="0" applyFont="1" applyFill="1" applyBorder="1" applyAlignment="1">
      <alignment horizontal="right" vertical="center"/>
    </xf>
    <xf numFmtId="164" fontId="6" fillId="8" borderId="26" xfId="0" applyNumberFormat="1" applyFont="1" applyFill="1" applyBorder="1" applyAlignment="1">
      <alignment horizontal="center" vertical="center"/>
    </xf>
    <xf numFmtId="49" fontId="24" fillId="0" borderId="3" xfId="0" applyNumberFormat="1" applyFont="1" applyBorder="1" applyAlignment="1">
      <alignment horizontal="center" vertical="center"/>
    </xf>
    <xf numFmtId="0" fontId="8" fillId="4" borderId="57" xfId="0" applyFont="1" applyFill="1" applyBorder="1" applyAlignment="1">
      <alignment horizontal="right" vertical="center"/>
    </xf>
    <xf numFmtId="0" fontId="34" fillId="2" borderId="4" xfId="0" applyFont="1" applyFill="1" applyBorder="1" applyAlignment="1">
      <alignment horizontal="right" vertical="center"/>
    </xf>
    <xf numFmtId="0" fontId="20"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8"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2"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0" fontId="6" fillId="4" borderId="73" xfId="0" applyFont="1" applyFill="1" applyBorder="1" applyAlignment="1">
      <alignment horizontal="right" vertical="center"/>
    </xf>
    <xf numFmtId="1" fontId="4" fillId="0" borderId="0" xfId="0" applyNumberFormat="1"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1" fontId="5" fillId="0" borderId="0" xfId="0" applyNumberFormat="1" applyFont="1" applyAlignment="1">
      <alignment horizontal="center" vertical="center"/>
    </xf>
    <xf numFmtId="1" fontId="4" fillId="0" borderId="0" xfId="0" applyNumberFormat="1" applyFont="1" applyAlignment="1">
      <alignment horizontal="left"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4" fillId="0" borderId="0" xfId="0" applyNumberFormat="1" applyFont="1" applyAlignment="1">
      <alignment horizontal="right"/>
    </xf>
    <xf numFmtId="1" fontId="5" fillId="0" borderId="0" xfId="0" applyNumberFormat="1" applyFont="1" applyAlignment="1">
      <alignment horizontal="left"/>
    </xf>
    <xf numFmtId="0" fontId="8" fillId="13" borderId="1" xfId="0" applyFont="1" applyFill="1" applyBorder="1" applyAlignment="1">
      <alignment vertical="center"/>
    </xf>
    <xf numFmtId="49" fontId="16" fillId="13" borderId="21" xfId="0" applyNumberFormat="1" applyFont="1" applyFill="1" applyBorder="1" applyAlignment="1">
      <alignment horizontal="center" vertical="center"/>
    </xf>
    <xf numFmtId="0" fontId="16" fillId="13" borderId="22" xfId="0" applyFont="1" applyFill="1" applyBorder="1" applyAlignment="1">
      <alignment horizontal="center" vertical="center"/>
    </xf>
    <xf numFmtId="164" fontId="5" fillId="0" borderId="72" xfId="0" applyNumberFormat="1" applyFont="1" applyBorder="1" applyAlignment="1">
      <alignment horizontal="center" vertical="center" shrinkToFit="1"/>
    </xf>
    <xf numFmtId="0" fontId="19" fillId="12" borderId="74" xfId="0" applyFont="1" applyFill="1" applyBorder="1" applyAlignment="1">
      <alignment horizontal="center" vertical="center"/>
    </xf>
    <xf numFmtId="0" fontId="2" fillId="0" borderId="0" xfId="0" applyFont="1" applyAlignment="1">
      <alignment vertical="center"/>
    </xf>
    <xf numFmtId="1" fontId="19" fillId="12" borderId="27" xfId="0" applyNumberFormat="1" applyFont="1" applyFill="1" applyBorder="1" applyAlignment="1">
      <alignment horizontal="center" vertical="center"/>
    </xf>
    <xf numFmtId="0" fontId="2" fillId="0" borderId="54" xfId="0" applyFont="1" applyBorder="1" applyAlignment="1">
      <alignment horizontal="centerContinuous" vertical="center" shrinkToFit="1"/>
    </xf>
    <xf numFmtId="0" fontId="19" fillId="0" borderId="55" xfId="0" applyFont="1" applyBorder="1" applyAlignment="1">
      <alignment horizontal="centerContinuous" vertical="center"/>
    </xf>
    <xf numFmtId="0" fontId="19" fillId="0" borderId="75" xfId="0" applyFont="1" applyBorder="1" applyAlignment="1">
      <alignment horizontal="centerContinuous" vertical="center"/>
    </xf>
    <xf numFmtId="0" fontId="2" fillId="0" borderId="76" xfId="0" applyFont="1" applyBorder="1" applyAlignment="1">
      <alignment horizontal="center" vertical="center"/>
    </xf>
    <xf numFmtId="0" fontId="2" fillId="0" borderId="45" xfId="0" applyFont="1" applyBorder="1" applyAlignment="1">
      <alignment horizontal="center" vertical="center"/>
    </xf>
    <xf numFmtId="0" fontId="2" fillId="0" borderId="56" xfId="0" applyFont="1" applyBorder="1" applyAlignment="1">
      <alignment horizontal="centerContinuous" vertical="center"/>
    </xf>
    <xf numFmtId="1" fontId="2" fillId="0" borderId="77" xfId="0" applyNumberFormat="1" applyFont="1" applyBorder="1" applyAlignment="1">
      <alignment horizontal="center" vertical="center"/>
    </xf>
    <xf numFmtId="0" fontId="2" fillId="0" borderId="78" xfId="0" applyFont="1" applyBorder="1" applyAlignment="1">
      <alignment horizontal="centerContinuous" vertical="center" shrinkToFit="1"/>
    </xf>
    <xf numFmtId="0" fontId="19" fillId="0" borderId="79" xfId="0" applyFont="1" applyBorder="1" applyAlignment="1">
      <alignment horizontal="centerContinuous" vertical="center"/>
    </xf>
    <xf numFmtId="0" fontId="19" fillId="0" borderId="80" xfId="0" applyFont="1" applyBorder="1" applyAlignment="1">
      <alignment horizontal="centerContinuous" vertical="center"/>
    </xf>
    <xf numFmtId="0" fontId="2" fillId="0" borderId="37" xfId="0" applyFont="1" applyBorder="1" applyAlignment="1">
      <alignment horizontal="center" vertical="center"/>
    </xf>
    <xf numFmtId="0" fontId="2" fillId="0" borderId="81" xfId="0" applyFont="1" applyBorder="1" applyAlignment="1">
      <alignment horizontal="centerContinuous" vertical="center"/>
    </xf>
    <xf numFmtId="0" fontId="2" fillId="0" borderId="41" xfId="0" applyFont="1" applyBorder="1" applyAlignment="1">
      <alignment horizontal="centerContinuous" vertical="center" shrinkToFit="1"/>
    </xf>
    <xf numFmtId="0" fontId="2" fillId="0" borderId="70" xfId="0" applyFont="1" applyBorder="1" applyAlignment="1">
      <alignment horizontal="centerContinuous" vertical="center"/>
    </xf>
    <xf numFmtId="0" fontId="2" fillId="0" borderId="83" xfId="0" applyFont="1" applyBorder="1" applyAlignment="1">
      <alignment horizontal="centerContinuous" vertical="center"/>
    </xf>
    <xf numFmtId="49" fontId="2" fillId="0" borderId="42" xfId="0" applyNumberFormat="1" applyFont="1" applyBorder="1" applyAlignment="1">
      <alignment horizontal="center" vertical="center"/>
    </xf>
    <xf numFmtId="0" fontId="2" fillId="0" borderId="71" xfId="0" applyFont="1" applyBorder="1" applyAlignment="1">
      <alignment horizontal="centerContinuous" vertical="center"/>
    </xf>
    <xf numFmtId="1" fontId="2" fillId="0" borderId="51" xfId="0" applyNumberFormat="1" applyFont="1" applyBorder="1" applyAlignment="1">
      <alignment horizontal="center" vertical="center"/>
    </xf>
    <xf numFmtId="164" fontId="19" fillId="3" borderId="27" xfId="0" applyNumberFormat="1" applyFont="1" applyFill="1" applyBorder="1" applyAlignment="1">
      <alignment horizontal="center" vertical="center"/>
    </xf>
    <xf numFmtId="1" fontId="2" fillId="0" borderId="32"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7" fillId="0" borderId="29" xfId="0" applyFont="1" applyBorder="1" applyAlignment="1">
      <alignment horizontal="center" vertical="center"/>
    </xf>
    <xf numFmtId="1" fontId="40" fillId="10" borderId="42"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1" fontId="2" fillId="0" borderId="90" xfId="0" applyNumberFormat="1" applyFont="1" applyBorder="1" applyAlignment="1">
      <alignment horizontal="center" vertical="center"/>
    </xf>
    <xf numFmtId="0" fontId="7" fillId="13" borderId="23" xfId="0" quotePrefix="1" applyFont="1" applyFill="1" applyBorder="1" applyAlignment="1">
      <alignment horizontal="center" vertical="center"/>
    </xf>
    <xf numFmtId="0" fontId="7" fillId="6" borderId="23" xfId="0" quotePrefix="1" applyFont="1" applyFill="1" applyBorder="1" applyAlignment="1">
      <alignment horizontal="center" vertical="center"/>
    </xf>
    <xf numFmtId="0" fontId="2" fillId="0" borderId="61" xfId="0" applyFont="1" applyBorder="1" applyAlignment="1">
      <alignment horizontal="center" vertical="center"/>
    </xf>
    <xf numFmtId="164" fontId="5" fillId="0" borderId="42" xfId="0" applyNumberFormat="1" applyFont="1" applyBorder="1" applyAlignment="1">
      <alignment horizontal="center" vertical="center"/>
    </xf>
    <xf numFmtId="0" fontId="2" fillId="0" borderId="44" xfId="0" applyFont="1" applyBorder="1" applyAlignment="1">
      <alignment horizontal="center" vertical="center"/>
    </xf>
    <xf numFmtId="0" fontId="2" fillId="0" borderId="80" xfId="0" applyFont="1" applyBorder="1" applyAlignment="1">
      <alignment horizontal="center" vertical="center" shrinkToFit="1"/>
    </xf>
    <xf numFmtId="0" fontId="5" fillId="0" borderId="80" xfId="0" applyFont="1" applyBorder="1" applyAlignment="1">
      <alignment horizontal="center" vertical="center" shrinkToFit="1"/>
    </xf>
    <xf numFmtId="0" fontId="2" fillId="0" borderId="83" xfId="0" applyFont="1" applyBorder="1" applyAlignment="1">
      <alignment horizontal="center" vertical="center" shrinkToFit="1"/>
    </xf>
    <xf numFmtId="1" fontId="7" fillId="0" borderId="22" xfId="0" applyNumberFormat="1" applyFont="1" applyBorder="1" applyAlignment="1">
      <alignment horizontal="center" vertical="center"/>
    </xf>
    <xf numFmtId="0" fontId="2" fillId="0" borderId="54" xfId="0" applyFont="1" applyBorder="1" applyAlignment="1">
      <alignment horizontal="centerContinuous" vertical="center"/>
    </xf>
    <xf numFmtId="0" fontId="6" fillId="4" borderId="93" xfId="0" applyFont="1" applyFill="1" applyBorder="1" applyAlignment="1">
      <alignment horizontal="right" vertical="center"/>
    </xf>
    <xf numFmtId="1" fontId="2" fillId="0" borderId="94" xfId="0" applyNumberFormat="1" applyFont="1" applyBorder="1" applyAlignment="1">
      <alignment horizontal="centerContinuous" vertical="center"/>
    </xf>
    <xf numFmtId="0" fontId="20" fillId="13" borderId="1" xfId="0" applyFont="1" applyFill="1" applyBorder="1" applyAlignment="1">
      <alignment vertical="center"/>
    </xf>
    <xf numFmtId="49" fontId="26" fillId="13" borderId="21" xfId="0" applyNumberFormat="1" applyFont="1" applyFill="1" applyBorder="1" applyAlignment="1">
      <alignment horizontal="center" vertical="center"/>
    </xf>
    <xf numFmtId="0" fontId="26" fillId="13" borderId="22" xfId="0" applyFont="1" applyFill="1" applyBorder="1" applyAlignment="1">
      <alignment horizontal="center" vertical="center"/>
    </xf>
    <xf numFmtId="0" fontId="7" fillId="0" borderId="96" xfId="0" applyFont="1" applyBorder="1" applyAlignment="1">
      <alignment horizontal="centerContinuous" vertical="center"/>
    </xf>
    <xf numFmtId="0" fontId="5" fillId="0" borderId="97" xfId="0" applyFont="1" applyBorder="1" applyAlignment="1">
      <alignment horizontal="center" vertical="center" shrinkToFit="1"/>
    </xf>
    <xf numFmtId="0" fontId="5" fillId="0" borderId="72" xfId="0" applyFont="1" applyBorder="1" applyAlignment="1">
      <alignment horizontal="left" vertical="center"/>
    </xf>
    <xf numFmtId="1" fontId="2" fillId="0" borderId="82" xfId="0" applyNumberFormat="1" applyFont="1" applyBorder="1" applyAlignment="1">
      <alignment horizontal="center" vertical="center" shrinkToFit="1"/>
    </xf>
    <xf numFmtId="0" fontId="2" fillId="0" borderId="88" xfId="0" applyFont="1" applyBorder="1" applyAlignment="1">
      <alignment horizontal="center" vertical="center" shrinkToFit="1"/>
    </xf>
    <xf numFmtId="0" fontId="44" fillId="0" borderId="27" xfId="0" applyFont="1" applyBorder="1" applyAlignment="1">
      <alignment horizontal="centerContinuous" vertical="center"/>
    </xf>
    <xf numFmtId="0" fontId="45" fillId="0" borderId="27" xfId="0" applyFont="1" applyBorder="1" applyAlignment="1">
      <alignment horizontal="centerContinuous" vertical="center"/>
    </xf>
    <xf numFmtId="0" fontId="46" fillId="0" borderId="27" xfId="0" applyFont="1" applyBorder="1" applyAlignment="1">
      <alignment horizontal="centerContinuous" vertical="center" wrapText="1"/>
    </xf>
    <xf numFmtId="0" fontId="13" fillId="14" borderId="1" xfId="0" applyFont="1" applyFill="1" applyBorder="1" applyAlignment="1">
      <alignment vertical="center"/>
    </xf>
    <xf numFmtId="0" fontId="7" fillId="14" borderId="21" xfId="0" applyFont="1" applyFill="1" applyBorder="1" applyAlignment="1">
      <alignment horizontal="center" vertical="center"/>
    </xf>
    <xf numFmtId="49" fontId="21" fillId="14" borderId="21" xfId="0" applyNumberFormat="1" applyFont="1" applyFill="1" applyBorder="1" applyAlignment="1">
      <alignment horizontal="center" vertical="center"/>
    </xf>
    <xf numFmtId="0" fontId="21" fillId="14" borderId="22" xfId="0" applyFont="1" applyFill="1" applyBorder="1" applyAlignment="1">
      <alignment horizontal="center" vertical="center"/>
    </xf>
    <xf numFmtId="0" fontId="13" fillId="14" borderId="22" xfId="0" applyFont="1" applyFill="1" applyBorder="1" applyAlignment="1">
      <alignment horizontal="center" vertical="center"/>
    </xf>
    <xf numFmtId="49" fontId="7" fillId="14" borderId="22" xfId="0" applyNumberFormat="1" applyFont="1" applyFill="1" applyBorder="1" applyAlignment="1">
      <alignment horizontal="center" vertical="center"/>
    </xf>
    <xf numFmtId="0" fontId="9" fillId="13" borderId="1" xfId="0" applyFont="1" applyFill="1" applyBorder="1" applyAlignment="1">
      <alignment vertical="center"/>
    </xf>
    <xf numFmtId="49" fontId="25" fillId="13" borderId="21" xfId="0" applyNumberFormat="1" applyFont="1" applyFill="1" applyBorder="1" applyAlignment="1">
      <alignment horizontal="center" vertical="center"/>
    </xf>
    <xf numFmtId="0" fontId="25" fillId="13" borderId="22" xfId="0" applyFont="1" applyFill="1" applyBorder="1" applyAlignment="1">
      <alignment horizontal="center" vertical="center"/>
    </xf>
    <xf numFmtId="0" fontId="6" fillId="4" borderId="95" xfId="0" applyFont="1" applyFill="1" applyBorder="1" applyAlignment="1">
      <alignment horizontal="right" vertical="center"/>
    </xf>
    <xf numFmtId="3" fontId="7" fillId="0" borderId="25" xfId="0" applyNumberFormat="1" applyFont="1" applyBorder="1" applyAlignment="1">
      <alignment horizontal="center" vertical="center"/>
    </xf>
    <xf numFmtId="49" fontId="24" fillId="0" borderId="20" xfId="0" applyNumberFormat="1" applyFont="1" applyBorder="1" applyAlignment="1">
      <alignment horizontal="center" vertical="center"/>
    </xf>
    <xf numFmtId="0" fontId="7" fillId="0" borderId="64" xfId="0" applyFont="1" applyBorder="1" applyAlignment="1">
      <alignment horizontal="center" vertical="center"/>
    </xf>
    <xf numFmtId="0" fontId="2" fillId="0" borderId="42" xfId="0" quotePrefix="1" applyFont="1" applyBorder="1" applyAlignment="1">
      <alignment horizontal="left" vertical="center"/>
    </xf>
    <xf numFmtId="1" fontId="7" fillId="0" borderId="24" xfId="0" applyNumberFormat="1" applyFont="1" applyBorder="1" applyAlignment="1">
      <alignment horizontal="center" vertical="center"/>
    </xf>
    <xf numFmtId="1" fontId="7" fillId="0" borderId="25" xfId="0" applyNumberFormat="1" applyFont="1" applyBorder="1" applyAlignment="1">
      <alignment horizontal="center" vertical="center"/>
    </xf>
    <xf numFmtId="0" fontId="19" fillId="0" borderId="92" xfId="0" applyFont="1" applyBorder="1" applyAlignment="1">
      <alignment horizontal="centerContinuous" vertical="center"/>
    </xf>
    <xf numFmtId="0" fontId="19" fillId="0" borderId="99" xfId="0" applyFont="1" applyBorder="1" applyAlignment="1">
      <alignment horizontal="centerContinuous" vertical="center"/>
    </xf>
    <xf numFmtId="0" fontId="2" fillId="0" borderId="100" xfId="0" applyFont="1" applyBorder="1" applyAlignment="1">
      <alignment horizontal="center" vertical="center"/>
    </xf>
    <xf numFmtId="0" fontId="2" fillId="0" borderId="98" xfId="0" applyFont="1" applyBorder="1" applyAlignment="1">
      <alignment horizontal="centerContinuous" vertical="center"/>
    </xf>
    <xf numFmtId="1" fontId="7" fillId="0" borderId="20" xfId="0" applyNumberFormat="1" applyFont="1" applyBorder="1" applyAlignment="1">
      <alignment horizontal="centerContinuous" vertical="center"/>
    </xf>
    <xf numFmtId="0" fontId="7" fillId="0" borderId="3" xfId="0" quotePrefix="1" applyFont="1" applyBorder="1" applyAlignment="1">
      <alignment horizontal="center" vertical="center"/>
    </xf>
    <xf numFmtId="0" fontId="7" fillId="0" borderId="20" xfId="0" quotePrefix="1" applyFont="1" applyBorder="1" applyAlignment="1">
      <alignment horizontal="center" vertical="center"/>
    </xf>
    <xf numFmtId="0" fontId="2" fillId="0" borderId="60" xfId="0" applyFont="1" applyBorder="1" applyAlignment="1">
      <alignment horizontal="center" vertical="center"/>
    </xf>
    <xf numFmtId="0" fontId="2" fillId="0" borderId="36" xfId="0" quotePrefix="1" applyFont="1" applyBorder="1" applyAlignment="1">
      <alignment horizontal="center" vertical="center" wrapText="1"/>
    </xf>
    <xf numFmtId="49" fontId="2" fillId="0" borderId="36" xfId="2" applyNumberFormat="1" applyFont="1" applyFill="1" applyBorder="1" applyAlignment="1">
      <alignment horizontal="center" vertical="center"/>
    </xf>
    <xf numFmtId="0" fontId="2" fillId="0" borderId="36" xfId="0" applyFont="1" applyBorder="1" applyAlignment="1">
      <alignment horizontal="center" vertical="center" shrinkToFit="1"/>
    </xf>
    <xf numFmtId="164" fontId="5" fillId="0" borderId="36" xfId="0" applyNumberFormat="1" applyFont="1" applyBorder="1" applyAlignment="1">
      <alignment horizontal="center" vertical="center"/>
    </xf>
    <xf numFmtId="1" fontId="40" fillId="10" borderId="36" xfId="0" applyNumberFormat="1" applyFont="1" applyFill="1" applyBorder="1" applyAlignment="1">
      <alignment horizontal="center" vertical="center"/>
    </xf>
    <xf numFmtId="1" fontId="2" fillId="0" borderId="36" xfId="0" applyNumberFormat="1" applyFont="1" applyBorder="1" applyAlignment="1">
      <alignment horizontal="center" vertical="center"/>
    </xf>
    <xf numFmtId="0" fontId="2" fillId="0" borderId="38" xfId="0" applyFont="1" applyBorder="1" applyAlignment="1">
      <alignment horizontal="center" vertical="center"/>
    </xf>
    <xf numFmtId="1" fontId="2" fillId="0" borderId="89" xfId="0" applyNumberFormat="1" applyFont="1" applyBorder="1" applyAlignment="1">
      <alignment horizontal="center" vertical="center"/>
    </xf>
    <xf numFmtId="164" fontId="2" fillId="0" borderId="86" xfId="0" applyNumberFormat="1" applyFont="1" applyBorder="1" applyAlignment="1">
      <alignment horizontal="center" vertical="center"/>
    </xf>
    <xf numFmtId="0" fontId="2" fillId="0" borderId="101" xfId="0" applyFont="1" applyBorder="1" applyAlignment="1">
      <alignment horizontal="center" vertical="center"/>
    </xf>
    <xf numFmtId="0" fontId="2" fillId="0" borderId="65" xfId="0" applyFont="1" applyBorder="1" applyAlignment="1">
      <alignment horizontal="center" vertical="center"/>
    </xf>
    <xf numFmtId="0" fontId="2" fillId="0" borderId="65" xfId="0" quotePrefix="1" applyFont="1" applyBorder="1" applyAlignment="1">
      <alignment horizontal="center" vertical="center"/>
    </xf>
    <xf numFmtId="9" fontId="2" fillId="0" borderId="65" xfId="0" applyNumberFormat="1" applyFont="1" applyBorder="1" applyAlignment="1">
      <alignment horizontal="center" vertical="center"/>
    </xf>
    <xf numFmtId="164" fontId="2" fillId="0" borderId="65" xfId="0" applyNumberFormat="1" applyFont="1" applyBorder="1" applyAlignment="1">
      <alignment horizontal="center" vertical="center"/>
    </xf>
    <xf numFmtId="164" fontId="2" fillId="0" borderId="66" xfId="0" applyNumberFormat="1" applyFont="1" applyBorder="1" applyAlignment="1">
      <alignment horizontal="centerContinuous" vertical="center"/>
    </xf>
    <xf numFmtId="0" fontId="5" fillId="0" borderId="56" xfId="0" quotePrefix="1" applyFont="1" applyBorder="1" applyAlignment="1">
      <alignment horizontal="centerContinuous" vertical="center"/>
    </xf>
    <xf numFmtId="0" fontId="2" fillId="0" borderId="102" xfId="0" applyFont="1" applyBorder="1" applyAlignment="1">
      <alignment horizontal="center" vertical="center"/>
    </xf>
    <xf numFmtId="0" fontId="5" fillId="0" borderId="68" xfId="0" applyFont="1" applyBorder="1" applyAlignment="1">
      <alignment horizontal="center" vertical="center"/>
    </xf>
    <xf numFmtId="0" fontId="2" fillId="0" borderId="68" xfId="0" applyFont="1" applyBorder="1" applyAlignment="1">
      <alignment horizontal="center" vertical="center"/>
    </xf>
    <xf numFmtId="164" fontId="2" fillId="0" borderId="67" xfId="0" applyNumberFormat="1" applyFont="1" applyBorder="1" applyAlignment="1">
      <alignment horizontal="centerContinuous" vertical="center"/>
    </xf>
    <xf numFmtId="0" fontId="5" fillId="0" borderId="71" xfId="0" applyFont="1" applyBorder="1" applyAlignment="1">
      <alignment horizontal="centerContinuous" vertical="center"/>
    </xf>
    <xf numFmtId="0" fontId="35" fillId="0" borderId="1" xfId="0" applyFont="1" applyBorder="1" applyAlignment="1">
      <alignment vertical="center"/>
    </xf>
    <xf numFmtId="0" fontId="36" fillId="0" borderId="28" xfId="0" applyFont="1" applyBorder="1" applyAlignment="1">
      <alignment vertical="center"/>
    </xf>
    <xf numFmtId="49" fontId="15" fillId="0" borderId="30" xfId="0" applyNumberFormat="1" applyFont="1" applyBorder="1" applyAlignment="1">
      <alignment horizontal="center" shrinkToFit="1"/>
    </xf>
    <xf numFmtId="0" fontId="7" fillId="11" borderId="21" xfId="0" applyFont="1" applyFill="1" applyBorder="1" applyAlignment="1">
      <alignment horizontal="center" vertical="center"/>
    </xf>
    <xf numFmtId="49" fontId="7" fillId="11" borderId="22" xfId="0" applyNumberFormat="1" applyFont="1" applyFill="1" applyBorder="1" applyAlignment="1">
      <alignment horizontal="center" vertical="center"/>
    </xf>
    <xf numFmtId="1" fontId="7" fillId="13" borderId="22" xfId="0" applyNumberFormat="1" applyFont="1" applyFill="1" applyBorder="1" applyAlignment="1">
      <alignment horizontal="center" vertical="center"/>
    </xf>
    <xf numFmtId="0" fontId="12" fillId="13" borderId="1" xfId="0" applyFont="1" applyFill="1" applyBorder="1" applyAlignment="1">
      <alignment vertical="center"/>
    </xf>
    <xf numFmtId="49" fontId="22" fillId="13" borderId="21" xfId="0" applyNumberFormat="1" applyFont="1" applyFill="1" applyBorder="1" applyAlignment="1">
      <alignment horizontal="center" vertical="center"/>
    </xf>
    <xf numFmtId="0" fontId="22" fillId="13" borderId="22" xfId="0" applyFont="1" applyFill="1" applyBorder="1" applyAlignment="1">
      <alignment horizontal="center" vertical="center"/>
    </xf>
    <xf numFmtId="0" fontId="20" fillId="13" borderId="22" xfId="0"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63" xfId="0" applyFont="1" applyFill="1" applyBorder="1" applyAlignment="1">
      <alignment horizontal="center" vertical="center"/>
    </xf>
    <xf numFmtId="0" fontId="4" fillId="0" borderId="0" xfId="0" applyFont="1" applyAlignment="1">
      <alignment vertical="center"/>
    </xf>
    <xf numFmtId="49" fontId="7" fillId="0" borderId="46" xfId="0" applyNumberFormat="1" applyFont="1" applyBorder="1" applyAlignment="1">
      <alignment horizontal="center" vertical="center"/>
    </xf>
    <xf numFmtId="49" fontId="7" fillId="13" borderId="21" xfId="0" applyNumberFormat="1" applyFont="1" applyFill="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Continuous" vertical="center" wrapText="1"/>
    </xf>
    <xf numFmtId="0" fontId="11" fillId="9" borderId="103" xfId="0" applyFont="1" applyFill="1" applyBorder="1" applyAlignment="1">
      <alignment horizontal="centerContinuous" vertical="center" wrapText="1"/>
    </xf>
    <xf numFmtId="0" fontId="11" fillId="9" borderId="104" xfId="0" applyFont="1" applyFill="1" applyBorder="1" applyAlignment="1">
      <alignment horizontal="center" vertical="center" wrapText="1"/>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47" xfId="0" applyFont="1" applyBorder="1" applyAlignment="1">
      <alignment horizontal="center" vertical="center"/>
    </xf>
    <xf numFmtId="0" fontId="5" fillId="0" borderId="1" xfId="0" applyFont="1" applyBorder="1" applyAlignment="1">
      <alignment vertical="center" wrapText="1"/>
    </xf>
    <xf numFmtId="0" fontId="47" fillId="0" borderId="0" xfId="0" applyFont="1" applyAlignment="1">
      <alignment horizontal="centerContinuous" vertical="center" wrapText="1"/>
    </xf>
    <xf numFmtId="0" fontId="48" fillId="0" borderId="0" xfId="0" applyFont="1" applyAlignment="1">
      <alignment horizontal="centerContinuous"/>
    </xf>
    <xf numFmtId="164" fontId="2" fillId="0" borderId="42" xfId="0" applyNumberFormat="1" applyFont="1" applyBorder="1" applyAlignment="1">
      <alignment horizontal="center" vertical="center" shrinkToFit="1"/>
    </xf>
    <xf numFmtId="0" fontId="5" fillId="0" borderId="36" xfId="0" applyFont="1" applyBorder="1" applyAlignment="1">
      <alignment horizontal="center" vertical="center" shrinkToFit="1"/>
    </xf>
    <xf numFmtId="1" fontId="2" fillId="11" borderId="0" xfId="0" applyNumberFormat="1" applyFont="1" applyFill="1" applyAlignment="1">
      <alignment horizontal="center" vertical="center"/>
    </xf>
    <xf numFmtId="9" fontId="2" fillId="0" borderId="68" xfId="0" applyNumberFormat="1" applyFont="1" applyBorder="1" applyAlignment="1">
      <alignment horizontal="center" vertical="center"/>
    </xf>
    <xf numFmtId="164" fontId="2" fillId="0" borderId="68" xfId="0" applyNumberFormat="1" applyFont="1" applyBorder="1" applyAlignment="1">
      <alignment horizontal="center" vertical="center"/>
    </xf>
    <xf numFmtId="165" fontId="2" fillId="0" borderId="0" xfId="0" applyNumberFormat="1" applyFont="1" applyAlignment="1">
      <alignment horizontal="center" vertical="center"/>
    </xf>
    <xf numFmtId="0" fontId="5" fillId="0" borderId="0" xfId="0" applyFont="1" applyAlignment="1">
      <alignment horizontal="center" vertical="center" wrapText="1"/>
    </xf>
    <xf numFmtId="0" fontId="20" fillId="0" borderId="1" xfId="0" applyFont="1" applyBorder="1" applyAlignment="1">
      <alignment vertical="center"/>
    </xf>
    <xf numFmtId="49" fontId="26" fillId="0" borderId="21" xfId="0" applyNumberFormat="1" applyFont="1" applyBorder="1" applyAlignment="1">
      <alignment horizontal="center" vertical="center"/>
    </xf>
    <xf numFmtId="0" fontId="26" fillId="0" borderId="22" xfId="0" applyFont="1" applyBorder="1" applyAlignment="1">
      <alignment horizontal="center" vertical="center"/>
    </xf>
    <xf numFmtId="164" fontId="2" fillId="0" borderId="42" xfId="0" applyNumberFormat="1" applyFont="1" applyBorder="1" applyAlignment="1">
      <alignment horizontal="center" vertical="center"/>
    </xf>
    <xf numFmtId="164" fontId="2" fillId="0" borderId="36" xfId="0" applyNumberFormat="1" applyFont="1" applyBorder="1" applyAlignment="1">
      <alignment horizontal="center" vertical="center"/>
    </xf>
    <xf numFmtId="0" fontId="11" fillId="9" borderId="108" xfId="0" applyFont="1" applyFill="1" applyBorder="1" applyAlignment="1">
      <alignment horizontal="center" vertical="center" wrapText="1"/>
    </xf>
    <xf numFmtId="49" fontId="7" fillId="0" borderId="109"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2" fillId="0" borderId="67" xfId="0" applyNumberFormat="1" applyFont="1" applyBorder="1" applyAlignment="1">
      <alignment horizontal="center" vertical="center"/>
    </xf>
    <xf numFmtId="1" fontId="2" fillId="0" borderId="32" xfId="0" applyNumberFormat="1" applyFont="1" applyBorder="1" applyAlignment="1">
      <alignment horizontal="center" vertical="center"/>
    </xf>
    <xf numFmtId="0" fontId="2" fillId="0" borderId="59"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Fill="1" applyBorder="1" applyAlignment="1">
      <alignment horizontal="center" vertical="center"/>
    </xf>
    <xf numFmtId="0" fontId="2" fillId="0" borderId="45" xfId="0" applyFont="1" applyBorder="1" applyAlignment="1">
      <alignment horizontal="center" vertical="center" shrinkToFit="1"/>
    </xf>
    <xf numFmtId="164" fontId="5" fillId="0" borderId="45" xfId="0" applyNumberFormat="1" applyFont="1" applyBorder="1" applyAlignment="1">
      <alignment horizontal="center" vertical="center"/>
    </xf>
    <xf numFmtId="1" fontId="2" fillId="0" borderId="45" xfId="0" applyNumberFormat="1" applyFont="1" applyBorder="1" applyAlignment="1">
      <alignment horizontal="center" vertical="center"/>
    </xf>
    <xf numFmtId="0" fontId="2" fillId="0" borderId="107" xfId="0" applyFont="1" applyBorder="1" applyAlignment="1">
      <alignment horizontal="center" vertical="center"/>
    </xf>
    <xf numFmtId="0" fontId="7" fillId="0" borderId="32" xfId="0" applyFont="1" applyBorder="1" applyAlignment="1">
      <alignment horizontal="centerContinuous" vertical="center"/>
    </xf>
    <xf numFmtId="0" fontId="7" fillId="0" borderId="32" xfId="0" applyFont="1" applyBorder="1" applyAlignment="1">
      <alignment horizontal="centerContinuous"/>
    </xf>
    <xf numFmtId="0" fontId="7" fillId="0" borderId="32" xfId="0" applyFont="1" applyBorder="1" applyAlignment="1">
      <alignment horizontal="center" vertical="center" shrinkToFit="1"/>
    </xf>
    <xf numFmtId="0" fontId="7" fillId="0" borderId="51" xfId="0" quotePrefix="1" applyFont="1" applyBorder="1" applyAlignment="1">
      <alignment horizontal="centerContinuous" vertical="center" shrinkToFit="1"/>
    </xf>
    <xf numFmtId="0" fontId="13" fillId="6" borderId="22" xfId="0" applyFont="1" applyFill="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1" xfId="0" quotePrefix="1" applyFont="1" applyBorder="1" applyAlignment="1">
      <alignment horizontal="center" vertical="center"/>
    </xf>
    <xf numFmtId="9" fontId="2" fillId="0" borderId="111" xfId="0" applyNumberFormat="1" applyFont="1" applyBorder="1" applyAlignment="1">
      <alignment horizontal="center" vertical="center"/>
    </xf>
    <xf numFmtId="164" fontId="2" fillId="0" borderId="111" xfId="0" applyNumberFormat="1" applyFont="1" applyBorder="1" applyAlignment="1">
      <alignment horizontal="center" vertical="center"/>
    </xf>
    <xf numFmtId="164" fontId="2" fillId="0" borderId="112" xfId="0" applyNumberFormat="1" applyFont="1" applyBorder="1" applyAlignment="1">
      <alignment horizontal="centerContinuous" vertical="center"/>
    </xf>
    <xf numFmtId="164" fontId="5" fillId="0" borderId="79" xfId="0" applyNumberFormat="1" applyFont="1" applyBorder="1" applyAlignment="1">
      <alignment horizontal="centerContinuous" vertical="center"/>
    </xf>
    <xf numFmtId="0" fontId="5" fillId="0" borderId="81" xfId="0" quotePrefix="1" applyFont="1" applyBorder="1" applyAlignment="1">
      <alignment horizontal="centerContinuous" vertical="center"/>
    </xf>
    <xf numFmtId="164" fontId="2" fillId="0" borderId="72" xfId="0" applyNumberFormat="1" applyFont="1" applyBorder="1" applyAlignment="1">
      <alignment horizontal="center" vertical="center" shrinkToFit="1"/>
    </xf>
    <xf numFmtId="0" fontId="7" fillId="0" borderId="2" xfId="0" quotePrefix="1" applyFont="1" applyBorder="1" applyAlignment="1">
      <alignment horizontal="center" vertical="center"/>
    </xf>
    <xf numFmtId="0" fontId="7" fillId="5" borderId="23" xfId="0" quotePrefix="1" applyFont="1" applyFill="1" applyBorder="1" applyAlignment="1">
      <alignment horizontal="center" vertical="center"/>
    </xf>
    <xf numFmtId="1" fontId="7" fillId="0" borderId="21" xfId="0" applyNumberFormat="1" applyFont="1" applyBorder="1" applyAlignment="1">
      <alignment horizontal="center" vertical="center"/>
    </xf>
    <xf numFmtId="1" fontId="7" fillId="0" borderId="46" xfId="0" applyNumberFormat="1" applyFont="1" applyBorder="1" applyAlignment="1">
      <alignment horizontal="center" vertical="center"/>
    </xf>
    <xf numFmtId="0" fontId="7" fillId="0" borderId="82" xfId="0" applyFont="1" applyBorder="1" applyAlignment="1">
      <alignment horizontal="center" vertical="center" shrinkToFi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4" xfId="2" applyNumberFormat="1" applyFont="1" applyFill="1" applyBorder="1" applyAlignment="1">
      <alignment horizontal="center" vertical="center"/>
    </xf>
    <xf numFmtId="164" fontId="5" fillId="0" borderId="114" xfId="0" applyNumberFormat="1" applyFont="1" applyBorder="1" applyAlignment="1">
      <alignment horizontal="center" vertical="center"/>
    </xf>
    <xf numFmtId="1" fontId="40" fillId="10" borderId="114" xfId="0" applyNumberFormat="1" applyFont="1" applyFill="1" applyBorder="1" applyAlignment="1">
      <alignment horizontal="center" vertical="center"/>
    </xf>
    <xf numFmtId="1" fontId="2" fillId="0" borderId="114" xfId="0" applyNumberFormat="1" applyFont="1" applyBorder="1" applyAlignment="1">
      <alignment horizontal="center" vertical="center"/>
    </xf>
    <xf numFmtId="0" fontId="2" fillId="0" borderId="115" xfId="0" applyFont="1" applyBorder="1" applyAlignment="1">
      <alignment horizontal="center" vertical="center"/>
    </xf>
    <xf numFmtId="0" fontId="2" fillId="0" borderId="87" xfId="0" applyFont="1" applyBorder="1" applyAlignment="1">
      <alignment horizontal="center" vertical="center"/>
    </xf>
    <xf numFmtId="49" fontId="2" fillId="0" borderId="66" xfId="0" applyNumberFormat="1" applyFont="1" applyBorder="1" applyAlignment="1">
      <alignment horizontal="centerContinuous" vertical="center"/>
    </xf>
    <xf numFmtId="0" fontId="5" fillId="0" borderId="56" xfId="0" applyFont="1" applyBorder="1" applyAlignment="1">
      <alignment horizontal="centerContinuous" vertical="center"/>
    </xf>
    <xf numFmtId="49" fontId="2" fillId="0" borderId="67" xfId="0" applyNumberFormat="1" applyFont="1" applyBorder="1" applyAlignment="1">
      <alignment horizontal="centerContinuous" vertical="center"/>
    </xf>
    <xf numFmtId="165" fontId="2" fillId="0" borderId="0" xfId="0" applyNumberFormat="1" applyFont="1" applyAlignment="1">
      <alignment vertical="center"/>
    </xf>
    <xf numFmtId="1" fontId="6" fillId="15" borderId="24" xfId="0" applyNumberFormat="1" applyFont="1" applyFill="1" applyBorder="1" applyAlignment="1">
      <alignment horizontal="center" vertical="center"/>
    </xf>
    <xf numFmtId="0" fontId="7" fillId="0" borderId="9" xfId="0" applyFont="1" applyBorder="1" applyAlignment="1">
      <alignment horizontal="center" vertical="center"/>
    </xf>
    <xf numFmtId="0" fontId="7" fillId="14" borderId="23" xfId="0" quotePrefix="1" applyFont="1" applyFill="1" applyBorder="1" applyAlignment="1">
      <alignment horizontal="center" vertical="center"/>
    </xf>
    <xf numFmtId="0" fontId="6" fillId="11" borderId="1" xfId="0" applyFont="1" applyFill="1" applyBorder="1" applyAlignment="1">
      <alignment horizontal="right" vertical="center"/>
    </xf>
    <xf numFmtId="0" fontId="7" fillId="11" borderId="0" xfId="0" applyFont="1" applyFill="1" applyAlignment="1">
      <alignment horizontal="centerContinuous" vertical="center"/>
    </xf>
    <xf numFmtId="0" fontId="6" fillId="11" borderId="0" xfId="0" applyFont="1" applyFill="1" applyAlignment="1">
      <alignment horizontal="right" vertical="center"/>
    </xf>
    <xf numFmtId="0" fontId="7" fillId="11" borderId="0" xfId="0" applyFont="1" applyFill="1" applyAlignment="1">
      <alignment horizontal="center" vertical="center"/>
    </xf>
    <xf numFmtId="49" fontId="21" fillId="13" borderId="21" xfId="0" applyNumberFormat="1" applyFont="1" applyFill="1" applyBorder="1" applyAlignment="1">
      <alignment horizontal="center" vertical="center"/>
    </xf>
    <xf numFmtId="0" fontId="21" fillId="13" borderId="22" xfId="0" applyFont="1" applyFill="1" applyBorder="1" applyAlignment="1">
      <alignment horizontal="center" vertical="center"/>
    </xf>
    <xf numFmtId="0" fontId="13" fillId="13" borderId="22" xfId="0" applyFont="1" applyFill="1" applyBorder="1" applyAlignment="1">
      <alignment horizontal="center" vertical="center"/>
    </xf>
    <xf numFmtId="0" fontId="12" fillId="0" borderId="5" xfId="0" applyFont="1" applyBorder="1" applyAlignment="1">
      <alignment vertical="center"/>
    </xf>
    <xf numFmtId="49" fontId="22" fillId="0" borderId="47" xfId="0" applyNumberFormat="1" applyFont="1" applyBorder="1" applyAlignment="1">
      <alignment horizontal="center" vertical="center"/>
    </xf>
    <xf numFmtId="0" fontId="22" fillId="0" borderId="48" xfId="0" applyFont="1" applyBorder="1" applyAlignment="1">
      <alignment horizontal="center" vertical="center"/>
    </xf>
    <xf numFmtId="49" fontId="7" fillId="0" borderId="48" xfId="0" applyNumberFormat="1" applyFont="1" applyBorder="1" applyAlignment="1">
      <alignment horizontal="center" vertical="center"/>
    </xf>
    <xf numFmtId="0" fontId="7" fillId="0" borderId="31" xfId="0" applyFont="1" applyBorder="1" applyAlignment="1">
      <alignment horizontal="center" vertical="center"/>
    </xf>
    <xf numFmtId="0" fontId="10" fillId="11" borderId="1" xfId="0" applyFont="1" applyFill="1" applyBorder="1" applyAlignment="1">
      <alignment vertical="center"/>
    </xf>
    <xf numFmtId="49" fontId="15" fillId="11" borderId="21" xfId="0" applyNumberFormat="1" applyFont="1" applyFill="1" applyBorder="1" applyAlignment="1">
      <alignment horizontal="center" vertical="center"/>
    </xf>
    <xf numFmtId="0" fontId="15" fillId="11" borderId="22" xfId="0" applyFont="1" applyFill="1" applyBorder="1" applyAlignment="1">
      <alignment horizontal="center" vertical="center"/>
    </xf>
    <xf numFmtId="0" fontId="7" fillId="11" borderId="23" xfId="0" applyFont="1" applyFill="1" applyBorder="1" applyAlignment="1">
      <alignment horizontal="center" vertical="center"/>
    </xf>
    <xf numFmtId="0" fontId="12" fillId="13" borderId="22" xfId="0" applyFont="1" applyFill="1" applyBorder="1" applyAlignment="1">
      <alignment horizontal="center" vertical="center"/>
    </xf>
    <xf numFmtId="0" fontId="38" fillId="16" borderId="33" xfId="0" applyFont="1" applyFill="1" applyBorder="1" applyAlignment="1">
      <alignment horizontal="center" vertical="center"/>
    </xf>
    <xf numFmtId="0" fontId="38" fillId="16" borderId="22" xfId="0" applyFont="1" applyFill="1" applyBorder="1" applyAlignment="1">
      <alignment horizontal="center" vertical="center"/>
    </xf>
    <xf numFmtId="0" fontId="38" fillId="16" borderId="46" xfId="0" applyFont="1" applyFill="1" applyBorder="1" applyAlignment="1">
      <alignment horizontal="center" vertical="center"/>
    </xf>
    <xf numFmtId="0" fontId="38" fillId="16" borderId="48" xfId="0" applyFont="1" applyFill="1" applyBorder="1" applyAlignment="1">
      <alignment horizontal="center" vertical="center"/>
    </xf>
    <xf numFmtId="0" fontId="7" fillId="0" borderId="50" xfId="0" applyFont="1" applyBorder="1" applyAlignment="1">
      <alignment horizontal="centerContinuous" vertical="center"/>
    </xf>
    <xf numFmtId="0" fontId="2" fillId="0" borderId="84" xfId="0" applyFont="1" applyBorder="1" applyAlignment="1">
      <alignment horizontal="centerContinuous" vertical="center"/>
    </xf>
    <xf numFmtId="0" fontId="49" fillId="2" borderId="116" xfId="0" applyFont="1" applyFill="1" applyBorder="1" applyAlignment="1">
      <alignment horizontal="right" vertical="center"/>
    </xf>
    <xf numFmtId="0" fontId="49" fillId="2" borderId="117" xfId="0" applyFont="1" applyFill="1" applyBorder="1" applyAlignment="1">
      <alignment horizontal="left" vertical="center"/>
    </xf>
    <xf numFmtId="0" fontId="50" fillId="2" borderId="117" xfId="0" applyFont="1" applyFill="1" applyBorder="1" applyAlignment="1">
      <alignment horizontal="centerContinuous" vertical="center"/>
    </xf>
    <xf numFmtId="0" fontId="51" fillId="2" borderId="118" xfId="1" applyFont="1" applyFill="1" applyBorder="1" applyAlignment="1" applyProtection="1">
      <alignment horizontal="right" vertical="center"/>
    </xf>
    <xf numFmtId="0" fontId="2" fillId="0" borderId="36" xfId="2" applyNumberFormat="1" applyFont="1" applyFill="1" applyBorder="1" applyAlignment="1">
      <alignment horizontal="center" vertical="center"/>
    </xf>
    <xf numFmtId="0" fontId="52" fillId="2" borderId="4" xfId="0" applyFont="1" applyFill="1" applyBorder="1" applyAlignment="1">
      <alignment horizontal="right" vertical="center"/>
    </xf>
    <xf numFmtId="0" fontId="2" fillId="0" borderId="91" xfId="0" applyFont="1" applyBorder="1" applyAlignment="1">
      <alignment horizontal="centerContinuous" vertical="center" shrinkToFit="1"/>
    </xf>
    <xf numFmtId="164" fontId="2" fillId="17" borderId="36" xfId="0" applyNumberFormat="1" applyFont="1" applyFill="1" applyBorder="1" applyAlignment="1">
      <alignment horizontal="center" vertical="center"/>
    </xf>
    <xf numFmtId="164" fontId="2" fillId="17" borderId="114" xfId="0" applyNumberFormat="1" applyFont="1" applyFill="1" applyBorder="1" applyAlignment="1">
      <alignment horizontal="center" vertical="center"/>
    </xf>
    <xf numFmtId="164" fontId="2" fillId="17" borderId="45" xfId="0" applyNumberFormat="1" applyFont="1" applyFill="1" applyBorder="1" applyAlignment="1">
      <alignment horizontal="center" vertical="center"/>
    </xf>
    <xf numFmtId="1" fontId="2" fillId="17" borderId="89" xfId="0" applyNumberFormat="1" applyFont="1" applyFill="1" applyBorder="1" applyAlignment="1">
      <alignment horizontal="center" vertical="center"/>
    </xf>
    <xf numFmtId="1" fontId="2" fillId="17" borderId="96" xfId="0" applyNumberFormat="1" applyFont="1" applyFill="1" applyBorder="1" applyAlignment="1">
      <alignment horizontal="center" vertical="center"/>
    </xf>
    <xf numFmtId="0" fontId="7" fillId="0" borderId="51" xfId="0" applyFont="1" applyBorder="1" applyAlignment="1">
      <alignment horizontal="centerContinuous" vertical="center"/>
    </xf>
    <xf numFmtId="0" fontId="2" fillId="0" borderId="0" xfId="0" applyFont="1" applyAlignment="1">
      <alignment horizontal="center" vertical="center" shrinkToFit="1"/>
    </xf>
    <xf numFmtId="0" fontId="54" fillId="0" borderId="0" xfId="0" applyFont="1" applyAlignment="1">
      <alignment vertical="center"/>
    </xf>
    <xf numFmtId="0" fontId="2" fillId="0" borderId="0" xfId="0" applyFont="1" applyAlignment="1">
      <alignment horizontal="left" vertical="center" shrinkToFit="1"/>
    </xf>
    <xf numFmtId="0" fontId="19" fillId="3" borderId="16" xfId="0" applyFont="1" applyFill="1" applyBorder="1" applyAlignment="1">
      <alignment horizontal="center" vertical="center"/>
    </xf>
    <xf numFmtId="9" fontId="19" fillId="3" borderId="15" xfId="2" applyFont="1" applyFill="1" applyBorder="1" applyAlignment="1">
      <alignment horizontal="center" vertical="center"/>
    </xf>
    <xf numFmtId="0" fontId="2" fillId="0" borderId="43" xfId="0" applyFont="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2">
    <dxf>
      <font>
        <color rgb="FFFF0000"/>
      </font>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i/>
        <color theme="1"/>
      </font>
      <fill>
        <patternFill>
          <bgColor rgb="FF00FF00"/>
        </patternFill>
      </fill>
    </dxf>
    <dxf>
      <font>
        <b val="0"/>
        <i/>
        <color auto="1"/>
      </font>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00FF"/>
      <color rgb="FFCCFFCC"/>
      <color rgb="FFFF0000"/>
      <color rgb="FFCC99FF"/>
      <color rgb="FF00FF00"/>
      <color rgb="FFFFCCFF"/>
      <color rgb="FF9933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59</xdr:row>
      <xdr:rowOff>160020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805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solidFill>
                <a:schemeClr val="dk1"/>
              </a:solidFill>
              <a:effectLst/>
              <a:latin typeface="Times New Roman" panose="02020603050405020304" pitchFamily="18" charset="0"/>
              <a:ea typeface="+mn-ea"/>
              <a:cs typeface="Times New Roman" panose="02020603050405020304" pitchFamily="18" charset="0"/>
            </a:rPr>
            <a:t>Appearance:  </a:t>
          </a:r>
          <a:r>
            <a:rPr lang="en-US" sz="1200">
              <a:solidFill>
                <a:schemeClr val="dk1"/>
              </a:solidFill>
              <a:effectLst/>
              <a:latin typeface="Times New Roman" panose="02020603050405020304" pitchFamily="18" charset="0"/>
              <a:ea typeface="+mn-ea"/>
              <a:cs typeface="Times New Roman" panose="02020603050405020304" pitchFamily="18" charset="0"/>
            </a:rPr>
            <a:t>Kassuq is tall with a muscular build.  His body is covered with long black fur, with gray fur on his chest, face and underside of his tail.  His ears are pointed and stand atop his head, able to swivel independently.  His left eye is gray and his right eye is blue, not an uncommon feature of Hound Archons from his region of the celestial planes.  His snout is long and contains several sharp, pointed teeth.  At the end is his black nose which is always a little damp, like any canine.  His fingers and toes end in short, non-retractable claws that can be used as weapons like his teeth.</a:t>
          </a:r>
        </a:p>
        <a:p>
          <a:pPr algn="just"/>
          <a:endParaRPr lang="en-US" sz="1200">
            <a:solidFill>
              <a:schemeClr val="dk1"/>
            </a:solidFill>
            <a:effectLst/>
            <a:latin typeface="Times New Roman" panose="02020603050405020304" pitchFamily="18" charset="0"/>
            <a:ea typeface="+mn-ea"/>
            <a:cs typeface="Times New Roman" panose="02020603050405020304" pitchFamily="18" charset="0"/>
          </a:endParaRP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History:  </a:t>
          </a:r>
          <a:r>
            <a:rPr lang="en-US" sz="1200">
              <a:solidFill>
                <a:schemeClr val="dk1"/>
              </a:solidFill>
              <a:effectLst/>
              <a:latin typeface="Times New Roman" panose="02020603050405020304" pitchFamily="18" charset="0"/>
              <a:ea typeface="+mn-ea"/>
              <a:cs typeface="Times New Roman" panose="02020603050405020304" pitchFamily="18" charset="0"/>
            </a:rPr>
            <a:t>Kassuq and his tribe grew up on the tundra around the Great Glacier.  They hunted for their food as well as the evil minions that lived in the region.  They had made a name for themselves as slayers of orcs and giants over the years.  They had also come to be trusted as guides and scouts for those seeking passage through the frozen lands.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When Kassuq was young, only a few years old, his tribe was attacked by a combined group of orcs and three frost giants.  Though they fought valiantly, slaying several orcs, they had to retreat in the end.  Most of the tribe had died that day, only 15 surviving including Kassuq and his sister Piguttuk (Flower).  His parents and his other three litter mates were all dead.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The tribe escaped to the Ten Towns area, and because of their well known reputation, were quickly welcomed.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Shortly after their arrival in the area, a trade caravan of dwarfs from Vassa arrived.  When the dwarfs heard the story, they were eager to go out after the orcs and giants to avenge the tribe of archons.  Kassuq was hiding and listening when he overheard their plans.  He also heard that his uncle Akiak was going with the dwarfs, so Kassuq insisted on going as well.  No matter what they said to convince him, he refused to stay behind.  Reluctantly, they agreed to allow him to come under his uncle’s supervision.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Akiak and Kassuq lead the dwarfs to the area and, over several days, tracked down the attackers.  The giants were no longer with the orcs, which made things easier.  THe dwarfs and 2 archons made quick work of the orcs, catching them by surprise just as they were turning in for the night.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It took another two days to track down the giants.  When they found them, the three were in a drunken stupor, the bones of the archon’s they had eaten strewn about their camp.  Enraged, Akiak bolted into their midst.  The Dwarfs were as surprised as the giants, but the Dwarfs recovered and responded quicker.  Akiak was badly hurt, but the Dwarfs were able to overcome the giants and slew all three of them.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Kassuq was grateful to the dwarfs for avenging his family and his tribe.  He began to spend more time with them, especially one named Baldoor.  Kassuq was sad when he heard the dwarfs would be leaving and returning to their home in Vassa.  However, when he found out Baldoor was staying behind, his mood improved greatly.  The two have spent many hours together trekking through the tundra and great glacier or guiding caravans to and from Waterdeep.  Baldoor had even encouraged Kassuq to learn a trade, even if just as a hobby.  Kassuq took to weaponsmithing, with a particular interest in swords.  </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Meanwhile, with the orcs and giants that attacked them dead, the tribe built themselves a home in Ten Towns.  They settled in an area on the northern edge of the town Lonelywood, on the shores of Maer Dualoon.    </a:t>
          </a:r>
        </a:p>
        <a:p>
          <a:pPr algn="just"/>
          <a:endParaRPr lang="en-US" sz="1200">
            <a:solidFill>
              <a:schemeClr val="dk1"/>
            </a:solidFill>
            <a:effectLst/>
            <a:latin typeface="Times New Roman" panose="02020603050405020304" pitchFamily="18" charset="0"/>
            <a:ea typeface="+mn-ea"/>
            <a:cs typeface="Times New Roman" panose="02020603050405020304" pitchFamily="18" charset="0"/>
          </a:endParaRP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Personality:  </a:t>
          </a:r>
          <a:r>
            <a:rPr lang="en-US" sz="1200">
              <a:solidFill>
                <a:schemeClr val="dk1"/>
              </a:solidFill>
              <a:effectLst/>
              <a:latin typeface="Times New Roman" panose="02020603050405020304" pitchFamily="18" charset="0"/>
              <a:ea typeface="+mn-ea"/>
              <a:cs typeface="Times New Roman" panose="02020603050405020304" pitchFamily="18" charset="0"/>
            </a:rPr>
            <a:t>Kassug is curious and adventurous, he loves to travel and explore.  In fact, that is how he got his name which translates to ‘Drifting Ice’.  Even as a cub, his constant desire to wander and explore was evident.  He has a calm, trusting demeanor and is slow to anger.  However, when he is angry, he is relentless.  He enjoys sitting next to a warm fire and telling stories or listening to others.  He is very loyal to those he trusts and is always quick to lend a hand.</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10; Damage Reduction 5/+1</a:t>
          </a:r>
        </a:p>
      </xdr:txBody>
    </xdr:sp>
    <xdr:clientData/>
  </xdr:twoCellAnchor>
  <xdr:twoCellAnchor editAs="oneCell">
    <xdr:from>
      <xdr:col>5</xdr:col>
      <xdr:colOff>15240</xdr:colOff>
      <xdr:row>2</xdr:row>
      <xdr:rowOff>99060</xdr:rowOff>
    </xdr:from>
    <xdr:to>
      <xdr:col>6</xdr:col>
      <xdr:colOff>1005375</xdr:colOff>
      <xdr:row>14</xdr:row>
      <xdr:rowOff>137160</xdr:rowOff>
    </xdr:to>
    <xdr:pic>
      <xdr:nvPicPr>
        <xdr:cNvPr id="5" name="Picture 4">
          <a:extLst>
            <a:ext uri="{FF2B5EF4-FFF2-40B4-BE49-F238E27FC236}">
              <a16:creationId xmlns:a16="http://schemas.microsoft.com/office/drawing/2014/main" id="{CA05445A-6C47-478E-801B-CA1127B040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8660" y="693420"/>
          <a:ext cx="201883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114300</xdr:colOff>
      <xdr:row>0</xdr:row>
      <xdr:rowOff>91440</xdr:rowOff>
    </xdr:from>
    <xdr:to>
      <xdr:col>14</xdr:col>
      <xdr:colOff>91440</xdr:colOff>
      <xdr:row>20</xdr:row>
      <xdr:rowOff>45720</xdr:rowOff>
    </xdr:to>
    <xdr:sp macro="" textlink="">
      <xdr:nvSpPr>
        <xdr:cNvPr id="3" name="TextBox 2">
          <a:extLst>
            <a:ext uri="{FF2B5EF4-FFF2-40B4-BE49-F238E27FC236}">
              <a16:creationId xmlns:a16="http://schemas.microsoft.com/office/drawing/2014/main" id="{4C79CDA6-1697-4B3E-956F-C449F5C1F484}"/>
            </a:ext>
          </a:extLst>
        </xdr:cNvPr>
        <xdr:cNvSpPr txBox="1"/>
      </xdr:nvSpPr>
      <xdr:spPr>
        <a:xfrm>
          <a:off x="4267200" y="91440"/>
          <a:ext cx="8382000" cy="456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Charmer: </a:t>
          </a:r>
        </a:p>
        <a:p>
          <a:r>
            <a:rPr lang="en-US" sz="1100">
              <a:solidFill>
                <a:schemeClr val="dk1"/>
              </a:solidFill>
              <a:effectLst/>
              <a:latin typeface="+mn-lt"/>
              <a:ea typeface="+mn-ea"/>
              <a:cs typeface="+mn-cs"/>
            </a:rPr>
            <a:t>	o   Majestic Argali (Afghan Hound) </a:t>
          </a:r>
        </a:p>
        <a:p>
          <a:r>
            <a:rPr lang="en-US" sz="1100">
              <a:solidFill>
                <a:schemeClr val="dk1"/>
              </a:solidFill>
              <a:effectLst/>
              <a:latin typeface="+mn-lt"/>
              <a:ea typeface="+mn-ea"/>
              <a:cs typeface="+mn-cs"/>
            </a:rPr>
            <a:t>•         Misc. Breeds: </a:t>
          </a:r>
        </a:p>
        <a:p>
          <a:r>
            <a:rPr lang="en-US" sz="1100">
              <a:solidFill>
                <a:schemeClr val="dk1"/>
              </a:solidFill>
              <a:effectLst/>
              <a:latin typeface="+mn-lt"/>
              <a:ea typeface="+mn-ea"/>
              <a:cs typeface="+mn-cs"/>
            </a:rPr>
            <a:t>	o   Miniature Short-tailed Zorse (Miniature Schnauzer) – A small but powerful breed the stand 12 inches tall at the shoulders and weigh in at 10-15 pounds.  They are good diggers and are bred to go after rats, mice and other small rodents.  (Possible bonus to digging speed in dirt?)  </a:t>
          </a:r>
        </a:p>
        <a:p>
          <a:r>
            <a:rPr lang="en-US" sz="1100">
              <a:solidFill>
                <a:schemeClr val="dk1"/>
              </a:solidFill>
              <a:effectLst/>
              <a:latin typeface="+mn-lt"/>
              <a:ea typeface="+mn-ea"/>
              <a:cs typeface="+mn-cs"/>
            </a:rPr>
            <a:t>•         Scout Breeds: </a:t>
          </a:r>
        </a:p>
        <a:p>
          <a:r>
            <a:rPr lang="en-US" sz="1100">
              <a:solidFill>
                <a:schemeClr val="dk1"/>
              </a:solidFill>
              <a:effectLst/>
              <a:latin typeface="+mn-lt"/>
              <a:ea typeface="+mn-ea"/>
              <a:cs typeface="+mn-cs"/>
            </a:rPr>
            <a:t>	o   Maroon-Spotted Dog (German Short-haired Pointer) </a:t>
          </a:r>
        </a:p>
        <a:p>
          <a:r>
            <a:rPr lang="en-US" sz="1100">
              <a:solidFill>
                <a:schemeClr val="dk1"/>
              </a:solidFill>
              <a:effectLst/>
              <a:latin typeface="+mn-lt"/>
              <a:ea typeface="+mn-ea"/>
              <a:cs typeface="+mn-cs"/>
            </a:rPr>
            <a:t>•         Sneaker:  </a:t>
          </a:r>
        </a:p>
        <a:p>
          <a:r>
            <a:rPr lang="en-US" sz="1100">
              <a:solidFill>
                <a:schemeClr val="dk1"/>
              </a:solidFill>
              <a:effectLst/>
              <a:latin typeface="+mn-lt"/>
              <a:ea typeface="+mn-ea"/>
              <a:cs typeface="+mn-cs"/>
            </a:rPr>
            <a:t>	o   Smokey-furred Whippet (Chihuahua) – A very small breed perfect for sneaking in and out of places quietly.  (?? To AC (+? Size +? Agility - ? Natural Armor.  +4 to all Hide and Move Silently checks. Also receives a -5 to all To-Hit and Damage Checks) </a:t>
          </a:r>
        </a:p>
        <a:p>
          <a:r>
            <a:rPr lang="en-US" sz="1100">
              <a:solidFill>
                <a:schemeClr val="dk1"/>
              </a:solidFill>
              <a:effectLst/>
              <a:latin typeface="+mn-lt"/>
              <a:ea typeface="+mn-ea"/>
              <a:cs typeface="+mn-cs"/>
            </a:rPr>
            <a:t>•         Sprinter Breeds: </a:t>
          </a:r>
        </a:p>
        <a:p>
          <a:r>
            <a:rPr lang="en-US" sz="1100">
              <a:solidFill>
                <a:schemeClr val="dk1"/>
              </a:solidFill>
              <a:effectLst/>
              <a:latin typeface="+mn-lt"/>
              <a:ea typeface="+mn-ea"/>
              <a:cs typeface="+mn-cs"/>
            </a:rPr>
            <a:t>	o   Zakhara Hound (Pharaoh Hound/Whippet) – Excellent speed over short distances.  (Running speed is x3 instead of x2’.  After 200 yards receives a -2 Penalty to Endurance Checks.  Also, must rest for at least 4 hours and pass a Constitution check or a full 8 hours before sprinting again.) </a:t>
          </a:r>
        </a:p>
        <a:p>
          <a:r>
            <a:rPr lang="en-US" sz="1100">
              <a:solidFill>
                <a:schemeClr val="dk1"/>
              </a:solidFill>
              <a:effectLst/>
              <a:latin typeface="+mn-lt"/>
              <a:ea typeface="+mn-ea"/>
              <a:cs typeface="+mn-cs"/>
            </a:rPr>
            <a:t>	o   Greyhound (Greyhound) – Excellent speed over short distances and excellent eye sight.  (Running speed is x3.5 instead of x2.  After 150 yards receives a -2 Penalty to Endurance Checks.  Also, must rest for at least 4 hours and pass a Constitution check or a full 8 hours before sprinting again.)</a:t>
          </a:r>
        </a:p>
        <a:p>
          <a:r>
            <a:rPr lang="en-US" sz="1100">
              <a:solidFill>
                <a:schemeClr val="dk1"/>
              </a:solidFill>
              <a:effectLst/>
              <a:latin typeface="+mn-lt"/>
              <a:ea typeface="+mn-ea"/>
              <a:cs typeface="+mn-cs"/>
            </a:rPr>
            <a:t>•         Warrior Breeds:  </a:t>
          </a:r>
        </a:p>
        <a:p>
          <a:r>
            <a:rPr lang="en-US" sz="1100">
              <a:solidFill>
                <a:schemeClr val="dk1"/>
              </a:solidFill>
              <a:effectLst/>
              <a:latin typeface="+mn-lt"/>
              <a:ea typeface="+mn-ea"/>
              <a:cs typeface="+mn-cs"/>
            </a:rPr>
            <a:t>	o   Great Dale Hound (Irish Wolf Hound) – Increase Endurance from its long legs (+2 extra turns before Endurance Check is needed while running &amp; receives a +1 Bonus to those checks.).  Also, due to size and strength it does greater damage (receives a +1 to Damage from Bite and Claw attacks)   </a:t>
          </a:r>
        </a:p>
        <a:p>
          <a:r>
            <a:rPr lang="en-US" sz="1100">
              <a:solidFill>
                <a:schemeClr val="dk1"/>
              </a:solidFill>
              <a:effectLst/>
              <a:latin typeface="+mn-lt"/>
              <a:ea typeface="+mn-ea"/>
              <a:cs typeface="+mn-cs"/>
            </a:rPr>
            <a:t>	o   Giant Short-tailed Zorse (Giant Schnauzer) </a:t>
          </a:r>
        </a:p>
        <a:p>
          <a:r>
            <a:rPr lang="en-US" sz="1100">
              <a:solidFill>
                <a:schemeClr val="dk1"/>
              </a:solidFill>
              <a:effectLst/>
              <a:latin typeface="+mn-lt"/>
              <a:ea typeface="+mn-ea"/>
              <a:cs typeface="+mn-cs"/>
            </a:rPr>
            <a:t>•         Working Breeds: </a:t>
          </a:r>
        </a:p>
        <a:p>
          <a:r>
            <a:rPr lang="en-US" sz="1100">
              <a:solidFill>
                <a:schemeClr val="dk1"/>
              </a:solidFill>
              <a:effectLst/>
              <a:latin typeface="+mn-lt"/>
              <a:ea typeface="+mn-ea"/>
              <a:cs typeface="+mn-cs"/>
            </a:rPr>
            <a:t>	o   Standard Short-tailed Zorse (Schnauzer) </a:t>
          </a:r>
        </a:p>
        <a:p>
          <a:r>
            <a:rPr lang="en-US" sz="1100">
              <a:solidFill>
                <a:schemeClr val="dk1"/>
              </a:solidFill>
              <a:effectLst/>
              <a:latin typeface="+mn-lt"/>
              <a:ea typeface="+mn-ea"/>
              <a:cs typeface="+mn-cs"/>
            </a:rPr>
            <a:t>	o   Icewind Dale Hound (Alaskan Malamute/Siberian Husky)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93345</xdr:colOff>
      <xdr:row>1</xdr:row>
      <xdr:rowOff>123825</xdr:rowOff>
    </xdr:from>
    <xdr:to>
      <xdr:col>3</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x14ac:dyDescent="0.3"/>
  <cols>
    <col min="1" max="1" width="16.296875" style="114" bestFit="1" customWidth="1"/>
    <col min="2" max="2" width="12" style="50" customWidth="1"/>
    <col min="3" max="3" width="4" style="50" customWidth="1"/>
    <col min="4" max="4" width="13.69921875" style="114" bestFit="1" customWidth="1"/>
    <col min="5" max="5" width="13.09765625" style="50" bestFit="1" customWidth="1"/>
    <col min="6" max="6" width="13.5" style="114" customWidth="1"/>
    <col min="7" max="7" width="13.5" style="50" customWidth="1"/>
    <col min="8" max="16384" width="13" style="12"/>
  </cols>
  <sheetData>
    <row r="1" spans="1:7" ht="29.4" thickTop="1" thickBot="1" x14ac:dyDescent="0.35">
      <c r="A1" s="366" t="s">
        <v>149</v>
      </c>
      <c r="B1" s="367"/>
      <c r="C1" s="367"/>
      <c r="D1" s="368"/>
      <c r="E1" s="368"/>
      <c r="F1" s="368"/>
      <c r="G1" s="369" t="s">
        <v>85</v>
      </c>
    </row>
    <row r="2" spans="1:7" ht="17.399999999999999" thickTop="1" x14ac:dyDescent="0.3">
      <c r="A2" s="115" t="s">
        <v>96</v>
      </c>
      <c r="B2" s="116" t="s">
        <v>86</v>
      </c>
      <c r="C2" s="116"/>
      <c r="D2" s="117" t="s">
        <v>97</v>
      </c>
      <c r="E2" s="118" t="s">
        <v>120</v>
      </c>
      <c r="F2" s="119"/>
      <c r="G2" s="120"/>
    </row>
    <row r="3" spans="1:7" ht="16.8" x14ac:dyDescent="0.3">
      <c r="A3" s="115" t="s">
        <v>98</v>
      </c>
      <c r="B3" s="116" t="s">
        <v>86</v>
      </c>
      <c r="C3" s="116"/>
      <c r="D3" s="117" t="s">
        <v>0</v>
      </c>
      <c r="E3" s="118">
        <v>5</v>
      </c>
      <c r="F3" s="117"/>
      <c r="G3" s="120"/>
    </row>
    <row r="4" spans="1:7" ht="16.8" x14ac:dyDescent="0.3">
      <c r="A4" s="343" t="s">
        <v>98</v>
      </c>
      <c r="B4" s="344"/>
      <c r="C4" s="344"/>
      <c r="D4" s="345" t="s">
        <v>0</v>
      </c>
      <c r="E4" s="346">
        <v>0</v>
      </c>
      <c r="F4" s="117"/>
      <c r="G4" s="120"/>
    </row>
    <row r="5" spans="1:7" ht="16.8" x14ac:dyDescent="0.3">
      <c r="A5" s="115" t="s">
        <v>99</v>
      </c>
      <c r="B5" s="116" t="s">
        <v>154</v>
      </c>
      <c r="C5" s="116"/>
      <c r="D5" s="117" t="s">
        <v>145</v>
      </c>
      <c r="E5" s="118">
        <f>4+E4</f>
        <v>4</v>
      </c>
      <c r="F5" s="117"/>
      <c r="G5" s="120"/>
    </row>
    <row r="6" spans="1:7" ht="16.8" x14ac:dyDescent="0.3">
      <c r="A6" s="115" t="s">
        <v>101</v>
      </c>
      <c r="B6" s="116" t="s">
        <v>78</v>
      </c>
      <c r="C6" s="116"/>
      <c r="D6" s="117" t="s">
        <v>100</v>
      </c>
      <c r="E6" s="118" t="s">
        <v>150</v>
      </c>
      <c r="F6" s="117"/>
      <c r="G6" s="120"/>
    </row>
    <row r="7" spans="1:7" ht="16.8" x14ac:dyDescent="0.3">
      <c r="A7" s="115" t="s">
        <v>103</v>
      </c>
      <c r="B7" s="116">
        <v>16</v>
      </c>
      <c r="C7" s="116"/>
      <c r="D7" s="117" t="s">
        <v>102</v>
      </c>
      <c r="E7" s="118" t="s">
        <v>151</v>
      </c>
      <c r="F7" s="117"/>
      <c r="G7" s="120"/>
    </row>
    <row r="8" spans="1:7" ht="17.399999999999999" thickBot="1" x14ac:dyDescent="0.35">
      <c r="A8" s="115" t="s">
        <v>104</v>
      </c>
      <c r="B8" s="116" t="s">
        <v>152</v>
      </c>
      <c r="C8" s="116"/>
      <c r="D8" s="117" t="s">
        <v>105</v>
      </c>
      <c r="E8" s="118" t="s">
        <v>153</v>
      </c>
      <c r="F8" s="117"/>
      <c r="G8" s="120"/>
    </row>
    <row r="9" spans="1:7" ht="17.399999999999999" thickTop="1" x14ac:dyDescent="0.3">
      <c r="A9" s="121" t="s">
        <v>106</v>
      </c>
      <c r="B9" s="364">
        <f>4</f>
        <v>4</v>
      </c>
      <c r="C9" s="365"/>
      <c r="D9" s="142" t="s">
        <v>191</v>
      </c>
      <c r="E9" s="222" t="s">
        <v>193</v>
      </c>
      <c r="F9" s="122"/>
      <c r="G9" s="120"/>
    </row>
    <row r="10" spans="1:7" ht="17.399999999999999" thickBot="1" x14ac:dyDescent="0.35">
      <c r="A10" s="197" t="s">
        <v>107</v>
      </c>
      <c r="B10" s="230">
        <f>C12+4</f>
        <v>6</v>
      </c>
      <c r="C10" s="198"/>
      <c r="D10" s="219" t="s">
        <v>192</v>
      </c>
      <c r="E10" s="220" t="s">
        <v>190</v>
      </c>
      <c r="F10" s="122"/>
      <c r="G10" s="120"/>
    </row>
    <row r="11" spans="1:7" ht="17.399999999999999" thickTop="1" x14ac:dyDescent="0.3">
      <c r="A11" s="123" t="s">
        <v>108</v>
      </c>
      <c r="B11" s="341">
        <f>14</f>
        <v>14</v>
      </c>
      <c r="C11" s="124" t="str">
        <f t="shared" ref="C11:C16" si="0">IF(B11&gt;9.9,CONCATENATE("+",ROUNDDOWN((B11-10)/2,0)),ROUNDUP((B11-10)/2,0))</f>
        <v>+2</v>
      </c>
      <c r="D11" s="125" t="s">
        <v>109</v>
      </c>
      <c r="E11" s="257" t="s">
        <v>92</v>
      </c>
      <c r="F11" s="122"/>
      <c r="G11" s="120"/>
    </row>
    <row r="12" spans="1:7" ht="16.8" x14ac:dyDescent="0.3">
      <c r="A12" s="126" t="s">
        <v>110</v>
      </c>
      <c r="B12" s="231">
        <v>15</v>
      </c>
      <c r="C12" s="127" t="str">
        <f t="shared" si="0"/>
        <v>+2</v>
      </c>
      <c r="D12" s="128" t="s">
        <v>111</v>
      </c>
      <c r="E12" s="129">
        <f>SUM(Martial!G6:G21,Equipment!C3:C20)+5</f>
        <v>78.45</v>
      </c>
      <c r="F12" s="122"/>
      <c r="G12" s="120"/>
    </row>
    <row r="13" spans="1:7" ht="16.8" x14ac:dyDescent="0.3">
      <c r="A13" s="371" t="s">
        <v>112</v>
      </c>
      <c r="B13" s="231">
        <v>16</v>
      </c>
      <c r="C13" s="130" t="str">
        <f t="shared" si="0"/>
        <v>+3</v>
      </c>
      <c r="D13" s="131" t="s">
        <v>113</v>
      </c>
      <c r="E13" s="340">
        <f>ROUNDUP((($E$5-$E$4)*8*0.75)+(($E$4*0)*0.75)+($E$5*$C$13),0)</f>
        <v>36</v>
      </c>
      <c r="F13" s="122"/>
      <c r="G13" s="120"/>
    </row>
    <row r="14" spans="1:7" ht="16.8" x14ac:dyDescent="0.3">
      <c r="A14" s="132" t="s">
        <v>114</v>
      </c>
      <c r="B14" s="231">
        <v>14</v>
      </c>
      <c r="C14" s="127" t="str">
        <f t="shared" si="0"/>
        <v>+2</v>
      </c>
      <c r="D14" s="134" t="s">
        <v>115</v>
      </c>
      <c r="E14" s="224">
        <f>10+C12</f>
        <v>12</v>
      </c>
      <c r="F14" s="115"/>
      <c r="G14" s="120"/>
    </row>
    <row r="15" spans="1:7" ht="16.8" x14ac:dyDescent="0.3">
      <c r="A15" s="133" t="s">
        <v>116</v>
      </c>
      <c r="B15" s="231">
        <v>13</v>
      </c>
      <c r="C15" s="127" t="str">
        <f t="shared" si="0"/>
        <v>+1</v>
      </c>
      <c r="D15" s="134" t="s">
        <v>117</v>
      </c>
      <c r="E15" s="224">
        <f>E16-C12</f>
        <v>16</v>
      </c>
      <c r="F15" s="122"/>
      <c r="G15" s="120"/>
    </row>
    <row r="16" spans="1:7" ht="17.399999999999999" thickBot="1" x14ac:dyDescent="0.35">
      <c r="A16" s="135" t="s">
        <v>118</v>
      </c>
      <c r="B16" s="232">
        <v>10</v>
      </c>
      <c r="C16" s="221" t="str">
        <f t="shared" si="0"/>
        <v>+0</v>
      </c>
      <c r="D16" s="136" t="s">
        <v>119</v>
      </c>
      <c r="E16" s="225">
        <f>E14+SUM(Martial!B15:B17)</f>
        <v>18</v>
      </c>
      <c r="F16" s="137"/>
      <c r="G16" s="138"/>
    </row>
    <row r="17" ht="16.2" thickTop="1" x14ac:dyDescent="0.3"/>
  </sheetData>
  <phoneticPr fontId="0" type="noConversion"/>
  <conditionalFormatting sqref="E12">
    <cfRule type="cellIs" dxfId="21" priority="4" stopIfTrue="1" operator="greaterThan">
      <formula>116</formula>
    </cfRule>
    <cfRule type="cellIs" dxfId="20"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activeCell="A3" sqref="A3"/>
      <selection pane="bottomLeft" activeCell="A3" sqref="A3"/>
    </sheetView>
  </sheetViews>
  <sheetFormatPr defaultColWidth="13" defaultRowHeight="15.6" x14ac:dyDescent="0.3"/>
  <cols>
    <col min="1" max="1" width="28.5976562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3" bestFit="1" customWidth="1"/>
    <col min="8" max="8" width="5.19921875" style="3" bestFit="1" customWidth="1"/>
    <col min="9" max="9" width="6.8984375" style="3" bestFit="1" customWidth="1"/>
    <col min="10" max="10" width="37.796875" style="2" customWidth="1"/>
    <col min="11" max="16384" width="13" style="1"/>
  </cols>
  <sheetData>
    <row r="1" spans="1:10" ht="23.4" thickBot="1" x14ac:dyDescent="0.35">
      <c r="A1" s="54" t="s">
        <v>6</v>
      </c>
      <c r="B1" s="55"/>
      <c r="C1" s="55"/>
      <c r="D1" s="55"/>
      <c r="E1" s="55"/>
      <c r="F1" s="55"/>
      <c r="G1" s="55"/>
      <c r="H1" s="55"/>
      <c r="I1" s="55"/>
      <c r="J1" s="55"/>
    </row>
    <row r="2" spans="1:10" s="269" customFormat="1" ht="34.200000000000003" thickBot="1" x14ac:dyDescent="0.35">
      <c r="A2" s="265" t="s">
        <v>82</v>
      </c>
      <c r="B2" s="266" t="s">
        <v>19</v>
      </c>
      <c r="C2" s="266" t="s">
        <v>26</v>
      </c>
      <c r="D2" s="266" t="s">
        <v>18</v>
      </c>
      <c r="E2" s="9" t="s">
        <v>51</v>
      </c>
      <c r="F2" s="9" t="s">
        <v>27</v>
      </c>
      <c r="G2" s="266" t="s">
        <v>53</v>
      </c>
      <c r="H2" s="360" t="s">
        <v>73</v>
      </c>
      <c r="I2" s="267" t="s">
        <v>66</v>
      </c>
      <c r="J2" s="268" t="s">
        <v>65</v>
      </c>
    </row>
    <row r="3" spans="1:10" s="4" customFormat="1" ht="16.8" x14ac:dyDescent="0.3">
      <c r="A3" s="255" t="s">
        <v>55</v>
      </c>
      <c r="B3" s="56">
        <f>4</f>
        <v>4</v>
      </c>
      <c r="C3" s="56" t="s">
        <v>21</v>
      </c>
      <c r="D3" s="57" t="str">
        <f>IF(C3="Str",'Personal File'!$C$11,IF(C3="Dex",'Personal File'!$C$12,IF(C3="Con",'Personal File'!$C$13,IF(C3="Int",'Personal File'!$C$14,IF(C3="Wis",'Personal File'!$C$15,IF(C3="Cha",'Personal File'!$C$16))))))</f>
        <v>+3</v>
      </c>
      <c r="E3" s="57" t="str">
        <f t="shared" ref="E3" si="0">CONCATENATE(C3," (",D3,")")</f>
        <v>Con (+3)</v>
      </c>
      <c r="F3" s="325">
        <v>1</v>
      </c>
      <c r="G3" s="325">
        <f>B3+D3+F3</f>
        <v>8</v>
      </c>
      <c r="H3" s="361">
        <f t="shared" ref="H3:H5" ca="1" si="1">RANDBETWEEN(1,20)</f>
        <v>18</v>
      </c>
      <c r="I3" s="58">
        <f t="shared" ref="I3" ca="1" si="2">SUM(G3:H3)</f>
        <v>26</v>
      </c>
      <c r="J3" s="323" t="s">
        <v>147</v>
      </c>
    </row>
    <row r="4" spans="1:10" s="4" customFormat="1" ht="16.8" x14ac:dyDescent="0.3">
      <c r="A4" s="59" t="s">
        <v>56</v>
      </c>
      <c r="B4" s="56">
        <f>4</f>
        <v>4</v>
      </c>
      <c r="C4" s="56" t="s">
        <v>24</v>
      </c>
      <c r="D4" s="60" t="str">
        <f>IF(C4="Str",'Personal File'!$C$11,IF(C4="Dex",'Personal File'!$C$12,IF(C4="Con",'Personal File'!$C$13,IF(C4="Int",'Personal File'!$C$14,IF(C4="Wis",'Personal File'!$C$15,IF(C4="Cha",'Personal File'!$C$16))))))</f>
        <v>+2</v>
      </c>
      <c r="E4" s="61" t="str">
        <f t="shared" ref="E4:E5" si="3">CONCATENATE(C4," (",D4,")")</f>
        <v>Dex (+2)</v>
      </c>
      <c r="F4" s="325">
        <v>1</v>
      </c>
      <c r="G4" s="325">
        <f>B4+D4+F4</f>
        <v>7</v>
      </c>
      <c r="H4" s="361">
        <f t="shared" ca="1" si="1"/>
        <v>2</v>
      </c>
      <c r="I4" s="58">
        <f t="shared" ref="I4:I41" ca="1" si="4">SUM(G4:H4)</f>
        <v>9</v>
      </c>
      <c r="J4" s="107"/>
    </row>
    <row r="5" spans="1:10" s="4" customFormat="1" ht="16.8" x14ac:dyDescent="0.3">
      <c r="A5" s="256" t="s">
        <v>57</v>
      </c>
      <c r="B5" s="63">
        <f>4</f>
        <v>4</v>
      </c>
      <c r="C5" s="63" t="s">
        <v>23</v>
      </c>
      <c r="D5" s="64" t="str">
        <f>IF(C5="Str",'Personal File'!$C$11,IF(C5="Dex",'Personal File'!$C$12,IF(C5="Con",'Personal File'!$C$13,IF(C5="Int",'Personal File'!$C$14,IF(C5="Wis",'Personal File'!$C$15,IF(C5="Cha",'Personal File'!$C$16))))))</f>
        <v>+1</v>
      </c>
      <c r="E5" s="65" t="str">
        <f t="shared" si="3"/>
        <v>Wis (+1)</v>
      </c>
      <c r="F5" s="326">
        <v>1</v>
      </c>
      <c r="G5" s="326">
        <f>B5+D5+F5</f>
        <v>6</v>
      </c>
      <c r="H5" s="362">
        <f t="shared" ca="1" si="1"/>
        <v>17</v>
      </c>
      <c r="I5" s="270">
        <f t="shared" ca="1" si="4"/>
        <v>23</v>
      </c>
      <c r="J5" s="181"/>
    </row>
    <row r="6" spans="1:10" s="4" customFormat="1" ht="16.8" x14ac:dyDescent="0.3">
      <c r="A6" s="66" t="s">
        <v>28</v>
      </c>
      <c r="B6" s="56">
        <v>0</v>
      </c>
      <c r="C6" s="67" t="s">
        <v>22</v>
      </c>
      <c r="D6" s="68" t="str">
        <f>IF(C6="Str",'Personal File'!$C$11,IF(C6="Dex",'Personal File'!$C$12,IF(C6="Con",'Personal File'!$C$13,IF(C6="Int",'Personal File'!$C$14,IF(C6="Wis",'Personal File'!$C$15,IF(C6="Cha",'Personal File'!$C$16))))))</f>
        <v>+2</v>
      </c>
      <c r="E6" s="68" t="str">
        <f t="shared" ref="E6" si="5">CONCATENATE(C6," (",D6,")")</f>
        <v>Int (+2)</v>
      </c>
      <c r="F6" s="69">
        <v>0</v>
      </c>
      <c r="G6" s="70">
        <f t="shared" ref="G6:G41" si="6">B6+D6+F6</f>
        <v>2</v>
      </c>
      <c r="H6" s="361">
        <f ca="1">RANDBETWEEN(1,20)</f>
        <v>8</v>
      </c>
      <c r="I6" s="58">
        <f t="shared" ca="1" si="4"/>
        <v>10</v>
      </c>
      <c r="J6" s="107"/>
    </row>
    <row r="7" spans="1:10" s="8" customFormat="1" ht="16.8" x14ac:dyDescent="0.3">
      <c r="A7" s="71" t="s">
        <v>29</v>
      </c>
      <c r="B7" s="56">
        <v>0</v>
      </c>
      <c r="C7" s="72" t="s">
        <v>24</v>
      </c>
      <c r="D7" s="60" t="str">
        <f>IF(C7="Str",'Personal File'!$C$11,IF(C7="Dex",'Personal File'!$C$12,IF(C7="Con",'Personal File'!$C$13,IF(C7="Int",'Personal File'!$C$14,IF(C7="Wis",'Personal File'!$C$15,IF(C7="Cha",'Personal File'!$C$16))))))</f>
        <v>+2</v>
      </c>
      <c r="E7" s="60" t="str">
        <f t="shared" ref="E7:E41" si="7">CONCATENATE(C7," (",D7,")")</f>
        <v>Dex (+2)</v>
      </c>
      <c r="F7" s="195">
        <f>SUM(Martial!$D$15:$D$17)</f>
        <v>0</v>
      </c>
      <c r="G7" s="70">
        <f t="shared" si="6"/>
        <v>2</v>
      </c>
      <c r="H7" s="361">
        <f t="shared" ref="H7:H40" ca="1" si="8">RANDBETWEEN(1,20)</f>
        <v>17</v>
      </c>
      <c r="I7" s="58">
        <f t="shared" ca="1" si="4"/>
        <v>19</v>
      </c>
      <c r="J7" s="107"/>
    </row>
    <row r="8" spans="1:10" s="6" customFormat="1" ht="16.8" x14ac:dyDescent="0.3">
      <c r="A8" s="73" t="s">
        <v>30</v>
      </c>
      <c r="B8" s="56">
        <v>0</v>
      </c>
      <c r="C8" s="74" t="s">
        <v>20</v>
      </c>
      <c r="D8" s="75" t="str">
        <f>IF(C8="Str",'Personal File'!$C$11,IF(C8="Dex",'Personal File'!$C$12,IF(C8="Con",'Personal File'!$C$13,IF(C8="Int",'Personal File'!$C$14,IF(C8="Wis",'Personal File'!$C$15,IF(C8="Cha",'Personal File'!$C$16))))))</f>
        <v>+0</v>
      </c>
      <c r="E8" s="76" t="str">
        <f t="shared" si="7"/>
        <v>Cha (+0)</v>
      </c>
      <c r="F8" s="70" t="s">
        <v>52</v>
      </c>
      <c r="G8" s="70">
        <f t="shared" si="6"/>
        <v>0</v>
      </c>
      <c r="H8" s="361">
        <f t="shared" ca="1" si="8"/>
        <v>14</v>
      </c>
      <c r="I8" s="58">
        <f t="shared" ca="1" si="4"/>
        <v>14</v>
      </c>
      <c r="J8" s="107"/>
    </row>
    <row r="9" spans="1:10" s="5" customFormat="1" ht="16.8" x14ac:dyDescent="0.3">
      <c r="A9" s="152" t="s">
        <v>31</v>
      </c>
      <c r="B9" s="77">
        <v>2</v>
      </c>
      <c r="C9" s="153" t="s">
        <v>25</v>
      </c>
      <c r="D9" s="154" t="str">
        <f>IF(C9="Str",'Personal File'!$C$11,IF(C9="Dex",'Personal File'!$C$12,IF(C9="Con",'Personal File'!$C$13,IF(C9="Int",'Personal File'!$C$14,IF(C9="Wis",'Personal File'!$C$15,IF(C9="Cha",'Personal File'!$C$16))))))</f>
        <v>+2</v>
      </c>
      <c r="E9" s="154" t="str">
        <f t="shared" si="7"/>
        <v>Str (+2)</v>
      </c>
      <c r="F9" s="260">
        <f>SUM(Martial!$D$15:$D$17)</f>
        <v>0</v>
      </c>
      <c r="G9" s="78">
        <f t="shared" si="6"/>
        <v>4</v>
      </c>
      <c r="H9" s="361">
        <f t="shared" ca="1" si="8"/>
        <v>7</v>
      </c>
      <c r="I9" s="271">
        <f t="shared" ca="1" si="4"/>
        <v>11</v>
      </c>
      <c r="J9" s="187" t="s">
        <v>156</v>
      </c>
    </row>
    <row r="10" spans="1:10" s="5" customFormat="1" ht="16.8" x14ac:dyDescent="0.3">
      <c r="A10" s="216" t="s">
        <v>7</v>
      </c>
      <c r="B10" s="77">
        <v>4</v>
      </c>
      <c r="C10" s="217" t="s">
        <v>21</v>
      </c>
      <c r="D10" s="218" t="str">
        <f>IF(C10="Str",'Personal File'!$C$11,IF(C10="Dex",'Personal File'!$C$12,IF(C10="Con",'Personal File'!$C$13,IF(C10="Int",'Personal File'!$C$14,IF(C10="Wis",'Personal File'!$C$15,IF(C10="Cha",'Personal File'!$C$16))))))</f>
        <v>+3</v>
      </c>
      <c r="E10" s="218" t="str">
        <f t="shared" si="7"/>
        <v>Con (+3)</v>
      </c>
      <c r="F10" s="78" t="s">
        <v>52</v>
      </c>
      <c r="G10" s="78">
        <f t="shared" si="6"/>
        <v>7</v>
      </c>
      <c r="H10" s="361">
        <f t="shared" ca="1" si="8"/>
        <v>1</v>
      </c>
      <c r="I10" s="271">
        <f t="shared" ca="1" si="4"/>
        <v>8</v>
      </c>
      <c r="J10" s="187"/>
    </row>
    <row r="11" spans="1:10" s="4" customFormat="1" ht="16.8" x14ac:dyDescent="0.3">
      <c r="A11" s="95" t="s">
        <v>155</v>
      </c>
      <c r="B11" s="77">
        <v>4</v>
      </c>
      <c r="C11" s="96" t="s">
        <v>22</v>
      </c>
      <c r="D11" s="97" t="str">
        <f>IF(C11="Str",'Personal File'!$C$11,IF(C11="Dex",'Personal File'!$C$12,IF(C11="Con",'Personal File'!$C$13,IF(C11="Int",'Personal File'!$C$14,IF(C11="Wis",'Personal File'!$C$15,IF(C11="Cha",'Personal File'!$C$16))))))</f>
        <v>+2</v>
      </c>
      <c r="E11" s="97" t="str">
        <f t="shared" si="7"/>
        <v>Int (+2)</v>
      </c>
      <c r="F11" s="78" t="s">
        <v>52</v>
      </c>
      <c r="G11" s="78">
        <f t="shared" si="6"/>
        <v>6</v>
      </c>
      <c r="H11" s="361">
        <f t="shared" ca="1" si="8"/>
        <v>16</v>
      </c>
      <c r="I11" s="271">
        <f t="shared" ca="1" si="4"/>
        <v>22</v>
      </c>
      <c r="J11" s="187"/>
    </row>
    <row r="12" spans="1:10" s="7" customFormat="1" ht="16.8" x14ac:dyDescent="0.3">
      <c r="A12" s="80" t="s">
        <v>32</v>
      </c>
      <c r="B12" s="81">
        <v>0</v>
      </c>
      <c r="C12" s="82" t="s">
        <v>22</v>
      </c>
      <c r="D12" s="83" t="str">
        <f>IF(C12="Str",'Personal File'!$C$11,IF(C12="Dex",'Personal File'!$C$12,IF(C12="Con",'Personal File'!$C$13,IF(C12="Int",'Personal File'!$C$14,IF(C12="Wis",'Personal File'!$C$15,IF(C12="Cha",'Personal File'!$C$16))))))</f>
        <v>+2</v>
      </c>
      <c r="E12" s="83" t="str">
        <f t="shared" si="7"/>
        <v>Int (+2)</v>
      </c>
      <c r="F12" s="84" t="s">
        <v>52</v>
      </c>
      <c r="G12" s="84">
        <f t="shared" si="6"/>
        <v>2</v>
      </c>
      <c r="H12" s="361">
        <f t="shared" ca="1" si="8"/>
        <v>7</v>
      </c>
      <c r="I12" s="84">
        <f t="shared" ca="1" si="4"/>
        <v>9</v>
      </c>
      <c r="J12" s="324"/>
    </row>
    <row r="13" spans="1:10" s="8" customFormat="1" ht="16.8" x14ac:dyDescent="0.3">
      <c r="A13" s="210" t="s">
        <v>33</v>
      </c>
      <c r="B13" s="211">
        <v>0</v>
      </c>
      <c r="C13" s="212" t="s">
        <v>20</v>
      </c>
      <c r="D13" s="213" t="str">
        <f>IF(C13="Str",'Personal File'!$C$11,IF(C13="Dex",'Personal File'!$C$12,IF(C13="Con",'Personal File'!$C$13,IF(C13="Int",'Personal File'!$C$14,IF(C13="Wis",'Personal File'!$C$15,IF(C13="Cha",'Personal File'!$C$16))))))</f>
        <v>+0</v>
      </c>
      <c r="E13" s="214" t="str">
        <f t="shared" si="7"/>
        <v>Cha (+0)</v>
      </c>
      <c r="F13" s="215" t="s">
        <v>52</v>
      </c>
      <c r="G13" s="215">
        <f t="shared" si="6"/>
        <v>0</v>
      </c>
      <c r="H13" s="361">
        <f t="shared" ca="1" si="8"/>
        <v>19</v>
      </c>
      <c r="I13" s="215">
        <f t="shared" ca="1" si="4"/>
        <v>19</v>
      </c>
      <c r="J13" s="342"/>
    </row>
    <row r="14" spans="1:10" s="8" customFormat="1" ht="16.8" x14ac:dyDescent="0.3">
      <c r="A14" s="80" t="s">
        <v>34</v>
      </c>
      <c r="B14" s="81">
        <v>0</v>
      </c>
      <c r="C14" s="82" t="s">
        <v>22</v>
      </c>
      <c r="D14" s="83" t="str">
        <f>IF(C14="Str",'Personal File'!$C$11,IF(C14="Dex",'Personal File'!$C$12,IF(C14="Con",'Personal File'!$C$13,IF(C14="Int",'Personal File'!$C$14,IF(C14="Wis",'Personal File'!$C$15,IF(C14="Cha",'Personal File'!$C$16))))))</f>
        <v>+2</v>
      </c>
      <c r="E14" s="83" t="str">
        <f t="shared" si="7"/>
        <v>Int (+2)</v>
      </c>
      <c r="F14" s="84" t="s">
        <v>52</v>
      </c>
      <c r="G14" s="84">
        <f t="shared" si="6"/>
        <v>2</v>
      </c>
      <c r="H14" s="361">
        <f t="shared" ca="1" si="8"/>
        <v>8</v>
      </c>
      <c r="I14" s="84">
        <f t="shared" ca="1" si="4"/>
        <v>10</v>
      </c>
      <c r="J14" s="324"/>
    </row>
    <row r="15" spans="1:10" s="8" customFormat="1" ht="16.8" x14ac:dyDescent="0.3">
      <c r="A15" s="73" t="s">
        <v>35</v>
      </c>
      <c r="B15" s="56">
        <v>0</v>
      </c>
      <c r="C15" s="74" t="s">
        <v>20</v>
      </c>
      <c r="D15" s="75" t="str">
        <f>IF(C15="Str",'Personal File'!$C$11,IF(C15="Dex",'Personal File'!$C$12,IF(C15="Con",'Personal File'!$C$13,IF(C15="Int",'Personal File'!$C$14,IF(C15="Wis",'Personal File'!$C$15,IF(C15="Cha",'Personal File'!$C$16))))))</f>
        <v>+0</v>
      </c>
      <c r="E15" s="76" t="str">
        <f t="shared" si="7"/>
        <v>Cha (+0)</v>
      </c>
      <c r="F15" s="70" t="s">
        <v>52</v>
      </c>
      <c r="G15" s="70">
        <f t="shared" si="6"/>
        <v>0</v>
      </c>
      <c r="H15" s="361">
        <f t="shared" ca="1" si="8"/>
        <v>18</v>
      </c>
      <c r="I15" s="70">
        <f t="shared" ca="1" si="4"/>
        <v>18</v>
      </c>
      <c r="J15" s="107"/>
    </row>
    <row r="16" spans="1:10" s="8" customFormat="1" ht="16.8" x14ac:dyDescent="0.3">
      <c r="A16" s="71" t="s">
        <v>36</v>
      </c>
      <c r="B16" s="56">
        <v>0</v>
      </c>
      <c r="C16" s="72" t="s">
        <v>24</v>
      </c>
      <c r="D16" s="60" t="str">
        <f>IF(C16="Str",'Personal File'!$C$11,IF(C16="Dex",'Personal File'!$C$12,IF(C16="Con",'Personal File'!$C$13,IF(C16="Int",'Personal File'!$C$14,IF(C16="Wis",'Personal File'!$C$15,IF(C16="Cha",'Personal File'!$C$16))))))</f>
        <v>+2</v>
      </c>
      <c r="E16" s="61" t="str">
        <f t="shared" si="7"/>
        <v>Dex (+2)</v>
      </c>
      <c r="F16" s="195">
        <f>SUM(Martial!$D$15:$D$17)</f>
        <v>0</v>
      </c>
      <c r="G16" s="70">
        <f t="shared" si="6"/>
        <v>2</v>
      </c>
      <c r="H16" s="361">
        <f t="shared" ca="1" si="8"/>
        <v>11</v>
      </c>
      <c r="I16" s="70">
        <f t="shared" ca="1" si="4"/>
        <v>13</v>
      </c>
      <c r="J16" s="107"/>
    </row>
    <row r="17" spans="1:10" s="8" customFormat="1" ht="16.8" x14ac:dyDescent="0.3">
      <c r="A17" s="87" t="s">
        <v>37</v>
      </c>
      <c r="B17" s="88">
        <v>0</v>
      </c>
      <c r="C17" s="89" t="s">
        <v>22</v>
      </c>
      <c r="D17" s="90" t="str">
        <f>IF(C17="Str",'Personal File'!$C$11,IF(C17="Dex",'Personal File'!$C$12,IF(C17="Con",'Personal File'!$C$13,IF(C17="Int",'Personal File'!$C$14,IF(C17="Wis",'Personal File'!$C$15,IF(C17="Cha",'Personal File'!$C$16))))))</f>
        <v>+2</v>
      </c>
      <c r="E17" s="90" t="str">
        <f t="shared" si="7"/>
        <v>Int (+2)</v>
      </c>
      <c r="F17" s="91" t="s">
        <v>52</v>
      </c>
      <c r="G17" s="91">
        <f t="shared" si="6"/>
        <v>2</v>
      </c>
      <c r="H17" s="361">
        <f t="shared" ca="1" si="8"/>
        <v>9</v>
      </c>
      <c r="I17" s="91">
        <f t="shared" ca="1" si="4"/>
        <v>11</v>
      </c>
      <c r="J17" s="188"/>
    </row>
    <row r="18" spans="1:10" s="8" customFormat="1" ht="16.8" x14ac:dyDescent="0.3">
      <c r="A18" s="73" t="s">
        <v>38</v>
      </c>
      <c r="B18" s="56">
        <v>0</v>
      </c>
      <c r="C18" s="74" t="s">
        <v>20</v>
      </c>
      <c r="D18" s="75" t="str">
        <f>IF(C18="Str",'Personal File'!$C$11,IF(C18="Dex",'Personal File'!$C$12,IF(C18="Con",'Personal File'!$C$13,IF(C18="Int",'Personal File'!$C$14,IF(C18="Wis",'Personal File'!$C$15,IF(C18="Cha",'Personal File'!$C$16))))))</f>
        <v>+0</v>
      </c>
      <c r="E18" s="76" t="str">
        <f t="shared" si="7"/>
        <v>Cha (+0)</v>
      </c>
      <c r="F18" s="70" t="s">
        <v>52</v>
      </c>
      <c r="G18" s="70">
        <f t="shared" si="6"/>
        <v>0</v>
      </c>
      <c r="H18" s="361">
        <f t="shared" ca="1" si="8"/>
        <v>13</v>
      </c>
      <c r="I18" s="70">
        <f t="shared" ca="1" si="4"/>
        <v>13</v>
      </c>
      <c r="J18" s="107"/>
    </row>
    <row r="19" spans="1:10" s="8" customFormat="1" ht="16.8" x14ac:dyDescent="0.3">
      <c r="A19" s="86" t="s">
        <v>9</v>
      </c>
      <c r="B19" s="77">
        <v>1</v>
      </c>
      <c r="C19" s="347" t="s">
        <v>20</v>
      </c>
      <c r="D19" s="348" t="str">
        <f>IF(C19="Str",'Personal File'!$C$11,IF(C19="Dex",'Personal File'!$C$12,IF(C19="Con",'Personal File'!$C$13,IF(C19="Int",'Personal File'!$C$14,IF(C19="Wis",'Personal File'!$C$15,IF(C19="Cha",'Personal File'!$C$16))))))</f>
        <v>+0</v>
      </c>
      <c r="E19" s="349" t="str">
        <f t="shared" si="7"/>
        <v>Cha (+0)</v>
      </c>
      <c r="F19" s="78" t="s">
        <v>52</v>
      </c>
      <c r="G19" s="78">
        <f t="shared" si="6"/>
        <v>1</v>
      </c>
      <c r="H19" s="361">
        <f t="shared" ca="1" si="8"/>
        <v>16</v>
      </c>
      <c r="I19" s="78">
        <f t="shared" ca="1" si="4"/>
        <v>17</v>
      </c>
      <c r="J19" s="187" t="s">
        <v>156</v>
      </c>
    </row>
    <row r="20" spans="1:10" s="8" customFormat="1" ht="16.8" x14ac:dyDescent="0.3">
      <c r="A20" s="291" t="s">
        <v>39</v>
      </c>
      <c r="B20" s="56">
        <v>0</v>
      </c>
      <c r="C20" s="292" t="s">
        <v>23</v>
      </c>
      <c r="D20" s="293" t="str">
        <f>IF(C20="Str",'Personal File'!$C$11,IF(C20="Dex",'Personal File'!$C$12,IF(C20="Con",'Personal File'!$C$13,IF(C20="Int",'Personal File'!$C$14,IF(C20="Wis",'Personal File'!$C$15,IF(C20="Cha",'Personal File'!$C$16))))))</f>
        <v>+1</v>
      </c>
      <c r="E20" s="293" t="str">
        <f t="shared" si="7"/>
        <v>Wis (+1)</v>
      </c>
      <c r="F20" s="195">
        <f>SUM(Martial!$D$15:$D$17)</f>
        <v>0</v>
      </c>
      <c r="G20" s="70">
        <f t="shared" si="6"/>
        <v>1</v>
      </c>
      <c r="H20" s="361">
        <f t="shared" ca="1" si="8"/>
        <v>8</v>
      </c>
      <c r="I20" s="70">
        <f t="shared" ca="1" si="4"/>
        <v>9</v>
      </c>
      <c r="J20" s="107"/>
    </row>
    <row r="21" spans="1:10" s="8" customFormat="1" ht="16.8" x14ac:dyDescent="0.3">
      <c r="A21" s="261" t="s">
        <v>40</v>
      </c>
      <c r="B21" s="77">
        <v>7</v>
      </c>
      <c r="C21" s="262" t="s">
        <v>24</v>
      </c>
      <c r="D21" s="263" t="str">
        <f>IF(C21="Str",'Personal File'!$C$11,IF(C21="Dex",'Personal File'!$C$12,IF(C21="Con",'Personal File'!$C$13,IF(C21="Int",'Personal File'!$C$14,IF(C21="Wis",'Personal File'!$C$15,IF(C21="Cha",'Personal File'!$C$16))))))</f>
        <v>+2</v>
      </c>
      <c r="E21" s="263" t="str">
        <f t="shared" si="7"/>
        <v>Dex (+2)</v>
      </c>
      <c r="F21" s="260">
        <f>SUM(Martial!$D$15:$D$17)</f>
        <v>0</v>
      </c>
      <c r="G21" s="78">
        <f t="shared" si="6"/>
        <v>9</v>
      </c>
      <c r="H21" s="361">
        <f t="shared" ca="1" si="8"/>
        <v>13</v>
      </c>
      <c r="I21" s="78">
        <f t="shared" ca="1" si="4"/>
        <v>22</v>
      </c>
      <c r="J21" s="187"/>
    </row>
    <row r="22" spans="1:10" s="8" customFormat="1" ht="16.8" x14ac:dyDescent="0.3">
      <c r="A22" s="92" t="s">
        <v>41</v>
      </c>
      <c r="B22" s="88">
        <v>0</v>
      </c>
      <c r="C22" s="93" t="s">
        <v>20</v>
      </c>
      <c r="D22" s="94" t="str">
        <f>IF(C22="Str",'Personal File'!$C$11,IF(C22="Dex",'Personal File'!$C$12,IF(C22="Con",'Personal File'!$C$13,IF(C22="Int",'Personal File'!$C$14,IF(C22="Wis",'Personal File'!$C$15,IF(C22="Cha",'Personal File'!$C$16))))))</f>
        <v>+0</v>
      </c>
      <c r="E22" s="313" t="str">
        <f t="shared" si="7"/>
        <v>Cha (+0)</v>
      </c>
      <c r="F22" s="91" t="s">
        <v>52</v>
      </c>
      <c r="G22" s="91">
        <f t="shared" si="6"/>
        <v>0</v>
      </c>
      <c r="H22" s="361">
        <f t="shared" ca="1" si="8"/>
        <v>3</v>
      </c>
      <c r="I22" s="91">
        <f t="shared" ca="1" si="4"/>
        <v>3</v>
      </c>
      <c r="J22" s="188"/>
    </row>
    <row r="23" spans="1:10" s="8" customFormat="1" ht="16.8" x14ac:dyDescent="0.3">
      <c r="A23" s="152" t="s">
        <v>42</v>
      </c>
      <c r="B23" s="77">
        <v>7</v>
      </c>
      <c r="C23" s="153" t="s">
        <v>25</v>
      </c>
      <c r="D23" s="154" t="str">
        <f>IF(C23="Str",'Personal File'!$C$11,IF(C23="Dex",'Personal File'!$C$12,IF(C23="Con",'Personal File'!$C$13,IF(C23="Int",'Personal File'!$C$14,IF(C23="Wis",'Personal File'!$C$15,IF(C23="Cha",'Personal File'!$C$16))))))</f>
        <v>+2</v>
      </c>
      <c r="E23" s="154" t="str">
        <f t="shared" si="7"/>
        <v>Str (+2)</v>
      </c>
      <c r="F23" s="260">
        <f>SUM(Martial!$D$15:$D$17)</f>
        <v>0</v>
      </c>
      <c r="G23" s="78">
        <f t="shared" si="6"/>
        <v>9</v>
      </c>
      <c r="H23" s="361">
        <f t="shared" ca="1" si="8"/>
        <v>6</v>
      </c>
      <c r="I23" s="78">
        <f t="shared" ca="1" si="4"/>
        <v>15</v>
      </c>
      <c r="J23" s="187"/>
    </row>
    <row r="24" spans="1:10" s="8" customFormat="1" ht="16.8" x14ac:dyDescent="0.3">
      <c r="A24" s="355" t="s">
        <v>157</v>
      </c>
      <c r="B24" s="258">
        <v>0</v>
      </c>
      <c r="C24" s="356" t="s">
        <v>22</v>
      </c>
      <c r="D24" s="357" t="str">
        <f>IF(C24="Str",'Personal File'!$C$11,IF(C24="Dex",'Personal File'!$C$12,IF(C24="Con",'Personal File'!$C$13,IF(C24="Int",'Personal File'!$C$14,IF(C24="Wis",'Personal File'!$C$15,IF(C24="Cha",'Personal File'!$C$16))))))</f>
        <v>+2</v>
      </c>
      <c r="E24" s="357" t="str">
        <f>CONCATENATE(C24," (",D24,")")</f>
        <v>Int (+2)</v>
      </c>
      <c r="F24" s="259" t="s">
        <v>52</v>
      </c>
      <c r="G24" s="259">
        <f t="shared" ref="G24" si="9">B24+D24+F24</f>
        <v>2</v>
      </c>
      <c r="H24" s="361">
        <f t="shared" ca="1" si="8"/>
        <v>20</v>
      </c>
      <c r="I24" s="259">
        <f t="shared" ref="I24" ca="1" si="10">SUM(G24:H24)</f>
        <v>22</v>
      </c>
      <c r="J24" s="358"/>
    </row>
    <row r="25" spans="1:10" s="8" customFormat="1" ht="16.8" x14ac:dyDescent="0.3">
      <c r="A25" s="199" t="s">
        <v>43</v>
      </c>
      <c r="B25" s="77">
        <v>7</v>
      </c>
      <c r="C25" s="200" t="s">
        <v>23</v>
      </c>
      <c r="D25" s="201" t="str">
        <f>IF(C25="Str",'Personal File'!$C$11,IF(C25="Dex",'Personal File'!$C$12,IF(C25="Con",'Personal File'!$C$13,IF(C25="Int",'Personal File'!$C$14,IF(C25="Wis",'Personal File'!$C$15,IF(C25="Cha",'Personal File'!$C$16))))))</f>
        <v>+1</v>
      </c>
      <c r="E25" s="264" t="str">
        <f t="shared" si="7"/>
        <v>Wis (+1)</v>
      </c>
      <c r="F25" s="78" t="s">
        <v>52</v>
      </c>
      <c r="G25" s="78">
        <f t="shared" si="6"/>
        <v>8</v>
      </c>
      <c r="H25" s="361">
        <f t="shared" ca="1" si="8"/>
        <v>3</v>
      </c>
      <c r="I25" s="78">
        <f t="shared" ca="1" si="4"/>
        <v>11</v>
      </c>
      <c r="J25" s="79"/>
    </row>
    <row r="26" spans="1:10" s="8" customFormat="1" ht="16.8" x14ac:dyDescent="0.3">
      <c r="A26" s="261" t="s">
        <v>10</v>
      </c>
      <c r="B26" s="77">
        <v>7</v>
      </c>
      <c r="C26" s="262" t="s">
        <v>24</v>
      </c>
      <c r="D26" s="263" t="str">
        <f>IF(C26="Str",'Personal File'!$C$11,IF(C26="Dex",'Personal File'!$C$12,IF(C26="Con",'Personal File'!$C$13,IF(C26="Int",'Personal File'!$C$14,IF(C26="Wis",'Personal File'!$C$15,IF(C26="Cha",'Personal File'!$C$16))))))</f>
        <v>+2</v>
      </c>
      <c r="E26" s="263" t="str">
        <f t="shared" si="7"/>
        <v>Dex (+2)</v>
      </c>
      <c r="F26" s="260">
        <f>SUM(Martial!$D$15:$D$17)</f>
        <v>0</v>
      </c>
      <c r="G26" s="78">
        <f t="shared" si="6"/>
        <v>9</v>
      </c>
      <c r="H26" s="361">
        <f t="shared" ca="1" si="8"/>
        <v>15</v>
      </c>
      <c r="I26" s="78">
        <f t="shared" ca="1" si="4"/>
        <v>24</v>
      </c>
      <c r="J26" s="79"/>
    </row>
    <row r="27" spans="1:10" s="8" customFormat="1" ht="16.8" x14ac:dyDescent="0.3">
      <c r="A27" s="98" t="s">
        <v>44</v>
      </c>
      <c r="B27" s="81">
        <v>0</v>
      </c>
      <c r="C27" s="99" t="s">
        <v>24</v>
      </c>
      <c r="D27" s="100" t="str">
        <f>IF(C27="Str",'Personal File'!$C$11,IF(C27="Dex",'Personal File'!$C$12,IF(C27="Con",'Personal File'!$C$13,IF(C27="Int",'Personal File'!$C$14,IF(C27="Wis",'Personal File'!$C$15,IF(C27="Cha",'Personal File'!$C$16))))))</f>
        <v>+2</v>
      </c>
      <c r="E27" s="100" t="str">
        <f t="shared" si="7"/>
        <v>Dex (+2)</v>
      </c>
      <c r="F27" s="84" t="s">
        <v>52</v>
      </c>
      <c r="G27" s="84">
        <f t="shared" si="6"/>
        <v>2</v>
      </c>
      <c r="H27" s="361">
        <f t="shared" ca="1" si="8"/>
        <v>11</v>
      </c>
      <c r="I27" s="84">
        <f t="shared" ca="1" si="4"/>
        <v>13</v>
      </c>
      <c r="J27" s="85"/>
    </row>
    <row r="28" spans="1:10" ht="16.8" x14ac:dyDescent="0.3">
      <c r="A28" s="73" t="s">
        <v>69</v>
      </c>
      <c r="B28" s="56">
        <v>0</v>
      </c>
      <c r="C28" s="74" t="s">
        <v>20</v>
      </c>
      <c r="D28" s="75" t="str">
        <f>IF(C28="Str",'Personal File'!$C$11,IF(C28="Dex",'Personal File'!$C$12,IF(C28="Con",'Personal File'!$C$13,IF(C28="Int",'Personal File'!$C$14,IF(C28="Wis",'Personal File'!$C$15,IF(C28="Cha",'Personal File'!$C$16))))))</f>
        <v>+0</v>
      </c>
      <c r="E28" s="76" t="str">
        <f t="shared" si="7"/>
        <v>Cha (+0)</v>
      </c>
      <c r="F28" s="70" t="s">
        <v>52</v>
      </c>
      <c r="G28" s="70">
        <f t="shared" si="6"/>
        <v>0</v>
      </c>
      <c r="H28" s="361">
        <f t="shared" ca="1" si="8"/>
        <v>20</v>
      </c>
      <c r="I28" s="70">
        <f t="shared" ca="1" si="4"/>
        <v>20</v>
      </c>
      <c r="J28" s="62"/>
    </row>
    <row r="29" spans="1:10" ht="16.8" x14ac:dyDescent="0.3">
      <c r="A29" s="86" t="s">
        <v>158</v>
      </c>
      <c r="B29" s="77">
        <v>4</v>
      </c>
      <c r="C29" s="200" t="s">
        <v>23</v>
      </c>
      <c r="D29" s="201" t="str">
        <f>IF(C29="Str",'Personal File'!$C$11,IF(C29="Dex",'Personal File'!$C$12,IF(C29="Con",'Personal File'!$C$13,IF(C29="Int",'Personal File'!$C$14,IF(C29="Wis",'Personal File'!$C$15,IF(C29="Cha",'Personal File'!$C$16))))))</f>
        <v>+1</v>
      </c>
      <c r="E29" s="201" t="str">
        <f t="shared" si="7"/>
        <v>Wis (+1)</v>
      </c>
      <c r="F29" s="78" t="s">
        <v>52</v>
      </c>
      <c r="G29" s="78">
        <f t="shared" si="6"/>
        <v>5</v>
      </c>
      <c r="H29" s="361">
        <f t="shared" ca="1" si="8"/>
        <v>7</v>
      </c>
      <c r="I29" s="78">
        <f t="shared" ca="1" si="4"/>
        <v>12</v>
      </c>
      <c r="J29" s="79"/>
    </row>
    <row r="30" spans="1:10" ht="16.8" x14ac:dyDescent="0.3">
      <c r="A30" s="261" t="s">
        <v>11</v>
      </c>
      <c r="B30" s="77">
        <v>1</v>
      </c>
      <c r="C30" s="262" t="s">
        <v>24</v>
      </c>
      <c r="D30" s="263" t="str">
        <f>IF(C30="Str",'Personal File'!$C$11,IF(C30="Dex",'Personal File'!$C$12,IF(C30="Con",'Personal File'!$C$13,IF(C30="Int",'Personal File'!$C$14,IF(C30="Wis",'Personal File'!$C$15,IF(C30="Cha",'Personal File'!$C$16))))))</f>
        <v>+2</v>
      </c>
      <c r="E30" s="359" t="str">
        <f t="shared" si="7"/>
        <v>Dex (+2)</v>
      </c>
      <c r="F30" s="78" t="s">
        <v>52</v>
      </c>
      <c r="G30" s="78">
        <f t="shared" si="6"/>
        <v>3</v>
      </c>
      <c r="H30" s="361">
        <f t="shared" ca="1" si="8"/>
        <v>19</v>
      </c>
      <c r="I30" s="78">
        <f t="shared" ca="1" si="4"/>
        <v>22</v>
      </c>
      <c r="J30" s="187" t="s">
        <v>156</v>
      </c>
    </row>
    <row r="31" spans="1:10" ht="16.8" x14ac:dyDescent="0.3">
      <c r="A31" s="66" t="s">
        <v>12</v>
      </c>
      <c r="B31" s="56">
        <v>0</v>
      </c>
      <c r="C31" s="67" t="s">
        <v>22</v>
      </c>
      <c r="D31" s="68" t="str">
        <f>IF(C31="Str",'Personal File'!$C$11,IF(C31="Dex",'Personal File'!$C$12,IF(C31="Con",'Personal File'!$C$13,IF(C31="Int",'Personal File'!$C$14,IF(C31="Wis",'Personal File'!$C$15,IF(C31="Cha",'Personal File'!$C$16))))))</f>
        <v>+2</v>
      </c>
      <c r="E31" s="68" t="str">
        <f t="shared" si="7"/>
        <v>Int (+2)</v>
      </c>
      <c r="F31" s="70" t="s">
        <v>52</v>
      </c>
      <c r="G31" s="70">
        <f t="shared" si="6"/>
        <v>2</v>
      </c>
      <c r="H31" s="361">
        <f t="shared" ca="1" si="8"/>
        <v>16</v>
      </c>
      <c r="I31" s="70">
        <f t="shared" ca="1" si="4"/>
        <v>18</v>
      </c>
      <c r="J31" s="107"/>
    </row>
    <row r="32" spans="1:10" ht="16.8" x14ac:dyDescent="0.3">
      <c r="A32" s="199" t="s">
        <v>45</v>
      </c>
      <c r="B32" s="77">
        <v>4</v>
      </c>
      <c r="C32" s="200" t="s">
        <v>23</v>
      </c>
      <c r="D32" s="201" t="str">
        <f>IF(C32="Str",'Personal File'!$C$11,IF(C32="Dex",'Personal File'!$C$12,IF(C32="Con",'Personal File'!$C$13,IF(C32="Int",'Personal File'!$C$14,IF(C32="Wis",'Personal File'!$C$15,IF(C32="Cha",'Personal File'!$C$16))))))</f>
        <v>+1</v>
      </c>
      <c r="E32" s="201" t="str">
        <f t="shared" si="7"/>
        <v>Wis (+1)</v>
      </c>
      <c r="F32" s="78" t="s">
        <v>52</v>
      </c>
      <c r="G32" s="78">
        <f t="shared" si="6"/>
        <v>5</v>
      </c>
      <c r="H32" s="361">
        <f t="shared" ca="1" si="8"/>
        <v>19</v>
      </c>
      <c r="I32" s="78">
        <f t="shared" ca="1" si="4"/>
        <v>24</v>
      </c>
      <c r="J32" s="79"/>
    </row>
    <row r="33" spans="1:10" ht="16.8" x14ac:dyDescent="0.3">
      <c r="A33" s="98" t="s">
        <v>70</v>
      </c>
      <c r="B33" s="81">
        <v>0</v>
      </c>
      <c r="C33" s="99" t="s">
        <v>24</v>
      </c>
      <c r="D33" s="100" t="str">
        <f>IF(C33="Str",'Personal File'!$C$11,IF(C33="Dex",'Personal File'!$C$12,IF(C33="Con",'Personal File'!$C$13,IF(C33="Int",'Personal File'!$C$14,IF(C33="Wis",'Personal File'!$C$15,IF(C33="Cha",'Personal File'!$C$16))))))</f>
        <v>+2</v>
      </c>
      <c r="E33" s="100" t="str">
        <f t="shared" si="7"/>
        <v>Dex (+2)</v>
      </c>
      <c r="F33" s="105">
        <f>SUM(Martial!$D$15:$D$17)</f>
        <v>0</v>
      </c>
      <c r="G33" s="84">
        <f t="shared" si="6"/>
        <v>2</v>
      </c>
      <c r="H33" s="361">
        <f t="shared" ca="1" si="8"/>
        <v>2</v>
      </c>
      <c r="I33" s="84">
        <f t="shared" ca="1" si="4"/>
        <v>4</v>
      </c>
      <c r="J33" s="85"/>
    </row>
    <row r="34" spans="1:10" ht="16.8" x14ac:dyDescent="0.3">
      <c r="A34" s="101" t="s">
        <v>136</v>
      </c>
      <c r="B34" s="102">
        <v>0</v>
      </c>
      <c r="C34" s="103" t="s">
        <v>22</v>
      </c>
      <c r="D34" s="104" t="str">
        <f>IF(C34="Str",'Personal File'!$C$11,IF(C34="Dex",'Personal File'!$C$12,IF(C34="Con",'Personal File'!$C$13,IF(C34="Int",'Personal File'!$C$14,IF(C34="Wis",'Personal File'!$C$15,IF(C34="Cha",'Personal File'!$C$16))))))</f>
        <v>+2</v>
      </c>
      <c r="E34" s="104" t="str">
        <f t="shared" ref="E34" si="11">CONCATENATE(C34," (",D34,")")</f>
        <v>Int (+2)</v>
      </c>
      <c r="F34" s="105" t="s">
        <v>52</v>
      </c>
      <c r="G34" s="105">
        <f t="shared" ref="G34" si="12">B34+D34+F34</f>
        <v>2</v>
      </c>
      <c r="H34" s="361">
        <f t="shared" ca="1" si="8"/>
        <v>6</v>
      </c>
      <c r="I34" s="105">
        <f t="shared" ref="I34" ca="1" si="13">SUM(G34:H34)</f>
        <v>8</v>
      </c>
      <c r="J34" s="106"/>
    </row>
    <row r="35" spans="1:10" ht="16.8" x14ac:dyDescent="0.3">
      <c r="A35" s="101" t="s">
        <v>46</v>
      </c>
      <c r="B35" s="102">
        <v>0</v>
      </c>
      <c r="C35" s="103" t="s">
        <v>22</v>
      </c>
      <c r="D35" s="104" t="str">
        <f>IF(C35="Str",'Personal File'!$C$11,IF(C35="Dex",'Personal File'!$C$12,IF(C35="Con",'Personal File'!$C$13,IF(C35="Int",'Personal File'!$C$14,IF(C35="Wis",'Personal File'!$C$15,IF(C35="Cha",'Personal File'!$C$16))))))</f>
        <v>+2</v>
      </c>
      <c r="E35" s="104" t="str">
        <f t="shared" si="7"/>
        <v>Int (+2)</v>
      </c>
      <c r="F35" s="105" t="s">
        <v>52</v>
      </c>
      <c r="G35" s="105">
        <f t="shared" si="6"/>
        <v>2</v>
      </c>
      <c r="H35" s="361">
        <f t="shared" ca="1" si="8"/>
        <v>6</v>
      </c>
      <c r="I35" s="105">
        <f t="shared" ca="1" si="4"/>
        <v>8</v>
      </c>
      <c r="J35" s="106"/>
    </row>
    <row r="36" spans="1:10" ht="16.8" x14ac:dyDescent="0.3">
      <c r="A36" s="199" t="s">
        <v>47</v>
      </c>
      <c r="B36" s="77">
        <v>7</v>
      </c>
      <c r="C36" s="200" t="s">
        <v>23</v>
      </c>
      <c r="D36" s="201" t="str">
        <f>IF(C36="Str",'Personal File'!$C$11,IF(C36="Dex",'Personal File'!$C$12,IF(C36="Con",'Personal File'!$C$13,IF(C36="Int",'Personal File'!$C$14,IF(C36="Wis",'Personal File'!$C$15,IF(C36="Cha",'Personal File'!$C$16))))))</f>
        <v>+1</v>
      </c>
      <c r="E36" s="201" t="str">
        <f t="shared" si="7"/>
        <v>Wis (+1)</v>
      </c>
      <c r="F36" s="78" t="s">
        <v>52</v>
      </c>
      <c r="G36" s="78">
        <f t="shared" si="6"/>
        <v>8</v>
      </c>
      <c r="H36" s="361">
        <f t="shared" ca="1" si="8"/>
        <v>2</v>
      </c>
      <c r="I36" s="78">
        <f t="shared" ca="1" si="4"/>
        <v>10</v>
      </c>
      <c r="J36" s="79"/>
    </row>
    <row r="37" spans="1:10" ht="16.8" x14ac:dyDescent="0.3">
      <c r="A37" s="199" t="s">
        <v>71</v>
      </c>
      <c r="B37" s="77">
        <v>7</v>
      </c>
      <c r="C37" s="200" t="s">
        <v>23</v>
      </c>
      <c r="D37" s="201" t="str">
        <f>IF(C37="Str",'Personal File'!$C$11,IF(C37="Dex",'Personal File'!$C$12,IF(C37="Con",'Personal File'!$C$13,IF(C37="Int",'Personal File'!$C$14,IF(C37="Wis",'Personal File'!$C$15,IF(C37="Cha",'Personal File'!$C$16))))))</f>
        <v>+1</v>
      </c>
      <c r="E37" s="201" t="str">
        <f t="shared" si="7"/>
        <v>Wis (+1)</v>
      </c>
      <c r="F37" s="78" t="s">
        <v>52</v>
      </c>
      <c r="G37" s="78">
        <f t="shared" si="6"/>
        <v>8</v>
      </c>
      <c r="H37" s="361">
        <f t="shared" ca="1" si="8"/>
        <v>2</v>
      </c>
      <c r="I37" s="78">
        <f t="shared" ca="1" si="4"/>
        <v>10</v>
      </c>
      <c r="J37" s="187"/>
    </row>
    <row r="38" spans="1:10" ht="16.8" x14ac:dyDescent="0.3">
      <c r="A38" s="152" t="s">
        <v>13</v>
      </c>
      <c r="B38" s="77">
        <v>2</v>
      </c>
      <c r="C38" s="153" t="s">
        <v>25</v>
      </c>
      <c r="D38" s="154" t="str">
        <f>IF(C38="Str",'Personal File'!$C$11,IF(C38="Dex",'Personal File'!$C$12,IF(C38="Con",'Personal File'!$C$13,IF(C38="Int",'Personal File'!$C$14,IF(C38="Wis",'Personal File'!$C$15,IF(C38="Cha",'Personal File'!$C$16))))))</f>
        <v>+2</v>
      </c>
      <c r="E38" s="154" t="str">
        <f t="shared" si="7"/>
        <v>Str (+2)</v>
      </c>
      <c r="F38" s="78" t="s">
        <v>52</v>
      </c>
      <c r="G38" s="78">
        <f t="shared" si="6"/>
        <v>4</v>
      </c>
      <c r="H38" s="361">
        <f t="shared" ca="1" si="8"/>
        <v>2</v>
      </c>
      <c r="I38" s="78">
        <f t="shared" ca="1" si="4"/>
        <v>6</v>
      </c>
      <c r="J38" s="187" t="s">
        <v>156</v>
      </c>
    </row>
    <row r="39" spans="1:10" ht="16.8" x14ac:dyDescent="0.3">
      <c r="A39" s="108" t="s">
        <v>48</v>
      </c>
      <c r="B39" s="102">
        <v>0</v>
      </c>
      <c r="C39" s="109" t="s">
        <v>24</v>
      </c>
      <c r="D39" s="110" t="str">
        <f>IF(C39="Str",'Personal File'!$C$11,IF(C39="Dex",'Personal File'!$C$12,IF(C39="Con",'Personal File'!$C$13,IF(C39="Int",'Personal File'!$C$14,IF(C39="Wis",'Personal File'!$C$15,IF(C39="Cha",'Personal File'!$C$16))))))</f>
        <v>+2</v>
      </c>
      <c r="E39" s="110" t="str">
        <f t="shared" si="7"/>
        <v>Dex (+2)</v>
      </c>
      <c r="F39" s="105">
        <f>SUM(Martial!$D$15:$D$17)</f>
        <v>0</v>
      </c>
      <c r="G39" s="105">
        <f t="shared" si="6"/>
        <v>2</v>
      </c>
      <c r="H39" s="361">
        <f t="shared" ca="1" si="8"/>
        <v>13</v>
      </c>
      <c r="I39" s="105">
        <f t="shared" ca="1" si="4"/>
        <v>15</v>
      </c>
      <c r="J39" s="106"/>
    </row>
    <row r="40" spans="1:10" ht="16.8" x14ac:dyDescent="0.3">
      <c r="A40" s="111" t="s">
        <v>49</v>
      </c>
      <c r="B40" s="81">
        <v>0</v>
      </c>
      <c r="C40" s="112" t="s">
        <v>20</v>
      </c>
      <c r="D40" s="113" t="str">
        <f>IF(C40="Str",'Personal File'!$C$11,IF(C40="Dex",'Personal File'!$C$12,IF(C40="Con",'Personal File'!$C$13,IF(C40="Int",'Personal File'!$C$14,IF(C40="Wis",'Personal File'!$C$15,IF(C40="Cha",'Personal File'!$C$16))))))</f>
        <v>+0</v>
      </c>
      <c r="E40" s="113" t="str">
        <f t="shared" si="7"/>
        <v>Cha (+0)</v>
      </c>
      <c r="F40" s="84" t="s">
        <v>52</v>
      </c>
      <c r="G40" s="84">
        <f t="shared" si="6"/>
        <v>0</v>
      </c>
      <c r="H40" s="361">
        <f t="shared" ca="1" si="8"/>
        <v>18</v>
      </c>
      <c r="I40" s="84">
        <f t="shared" ca="1" si="4"/>
        <v>18</v>
      </c>
      <c r="J40" s="85"/>
    </row>
    <row r="41" spans="1:10" ht="17.399999999999999" thickBot="1" x14ac:dyDescent="0.35">
      <c r="A41" s="350" t="s">
        <v>50</v>
      </c>
      <c r="B41" s="280">
        <v>0</v>
      </c>
      <c r="C41" s="351" t="s">
        <v>24</v>
      </c>
      <c r="D41" s="352" t="str">
        <f>IF(C41="Str",'Personal File'!$C$11,IF(C41="Dex",'Personal File'!$C$12,IF(C41="Con",'Personal File'!$C$13,IF(C41="Int",'Personal File'!$C$14,IF(C41="Wis",'Personal File'!$C$15,IF(C41="Cha",'Personal File'!$C$16))))))</f>
        <v>+2</v>
      </c>
      <c r="E41" s="352" t="str">
        <f t="shared" si="7"/>
        <v>Dex (+2)</v>
      </c>
      <c r="F41" s="353" t="s">
        <v>52</v>
      </c>
      <c r="G41" s="353">
        <f t="shared" si="6"/>
        <v>2</v>
      </c>
      <c r="H41" s="363">
        <f t="shared" ref="H41" ca="1" si="14">RANDBETWEEN(1,20)</f>
        <v>10</v>
      </c>
      <c r="I41" s="353">
        <f t="shared" ca="1" si="4"/>
        <v>12</v>
      </c>
      <c r="J41" s="354"/>
    </row>
    <row r="42" spans="1:10" ht="16.2" thickTop="1" x14ac:dyDescent="0.3">
      <c r="A42" s="143"/>
      <c r="B42" s="144">
        <f>SUM(B6:B41)+B9+B19+B30+B38</f>
        <v>70</v>
      </c>
      <c r="C42" s="145"/>
      <c r="D42" s="145"/>
      <c r="E42" s="144">
        <f>SUM(E43:E47)</f>
        <v>70</v>
      </c>
      <c r="F42" s="147" t="s">
        <v>53</v>
      </c>
      <c r="G42" s="145"/>
      <c r="H42" s="145"/>
      <c r="I42" s="145"/>
      <c r="J42" s="143"/>
    </row>
    <row r="43" spans="1:10" x14ac:dyDescent="0.3">
      <c r="A43" s="143"/>
      <c r="B43" s="144"/>
      <c r="C43" s="145"/>
      <c r="D43" s="145"/>
      <c r="E43" s="149">
        <f>4*(8+'Personal File'!$C$14)</f>
        <v>40</v>
      </c>
      <c r="F43" s="147" t="s">
        <v>88</v>
      </c>
      <c r="G43" s="145"/>
      <c r="H43" s="145"/>
      <c r="I43" s="145"/>
      <c r="J43" s="143"/>
    </row>
    <row r="44" spans="1:10" x14ac:dyDescent="0.3">
      <c r="A44" s="143"/>
      <c r="B44" s="144"/>
      <c r="C44" s="145"/>
      <c r="D44" s="145"/>
      <c r="E44" s="149">
        <f>8+'Personal File'!$C$14</f>
        <v>10</v>
      </c>
      <c r="F44" s="147" t="s">
        <v>121</v>
      </c>
      <c r="G44" s="145"/>
      <c r="H44" s="145"/>
      <c r="I44" s="145"/>
      <c r="J44" s="143"/>
    </row>
    <row r="45" spans="1:10" x14ac:dyDescent="0.3">
      <c r="A45" s="143"/>
      <c r="B45" s="144"/>
      <c r="C45" s="145"/>
      <c r="D45" s="145"/>
      <c r="E45" s="149">
        <f>8+'Personal File'!$C$14</f>
        <v>10</v>
      </c>
      <c r="F45" s="147" t="s">
        <v>122</v>
      </c>
      <c r="G45" s="145"/>
      <c r="H45" s="145"/>
      <c r="I45" s="145"/>
      <c r="J45" s="143"/>
    </row>
    <row r="46" spans="1:10" x14ac:dyDescent="0.3">
      <c r="A46" s="143"/>
      <c r="B46" s="144"/>
      <c r="C46" s="145"/>
      <c r="D46" s="145"/>
      <c r="E46" s="286">
        <v>0</v>
      </c>
      <c r="F46" s="147" t="s">
        <v>133</v>
      </c>
      <c r="G46" s="145"/>
      <c r="H46" s="145"/>
      <c r="I46" s="145"/>
      <c r="J46" s="143"/>
    </row>
    <row r="47" spans="1:10" x14ac:dyDescent="0.3">
      <c r="A47" s="143"/>
      <c r="B47" s="144"/>
      <c r="C47" s="145"/>
      <c r="D47" s="145"/>
      <c r="E47" s="149">
        <f>8+'Personal File'!$C$14</f>
        <v>10</v>
      </c>
      <c r="F47" s="147" t="s">
        <v>186</v>
      </c>
      <c r="G47" s="145"/>
      <c r="H47" s="145"/>
      <c r="I47" s="145"/>
      <c r="J47" s="143"/>
    </row>
    <row r="48" spans="1:10" x14ac:dyDescent="0.3">
      <c r="A48" s="143"/>
      <c r="B48" s="144"/>
      <c r="C48" s="145"/>
      <c r="D48" s="145"/>
      <c r="E48" s="149"/>
      <c r="F48" s="148"/>
      <c r="G48" s="145"/>
      <c r="H48" s="145"/>
      <c r="I48" s="145"/>
      <c r="J48" s="143"/>
    </row>
    <row r="49" spans="1:10" x14ac:dyDescent="0.3">
      <c r="A49" s="143"/>
      <c r="B49" s="144"/>
      <c r="C49" s="145"/>
      <c r="D49" s="145"/>
      <c r="E49" s="149"/>
      <c r="F49" s="148"/>
      <c r="G49" s="145"/>
      <c r="H49" s="145"/>
      <c r="I49" s="145"/>
      <c r="J49" s="143"/>
    </row>
    <row r="50" spans="1:10" x14ac:dyDescent="0.3">
      <c r="A50" s="143"/>
      <c r="B50" s="144"/>
      <c r="C50" s="145"/>
      <c r="D50" s="145"/>
      <c r="E50" s="149"/>
      <c r="F50" s="148"/>
      <c r="G50" s="145"/>
      <c r="H50" s="145"/>
      <c r="I50" s="145"/>
      <c r="J50" s="143"/>
    </row>
    <row r="51" spans="1:10" x14ac:dyDescent="0.3">
      <c r="A51" s="143"/>
      <c r="B51" s="144"/>
      <c r="C51" s="145"/>
      <c r="D51" s="145"/>
      <c r="E51" s="149"/>
      <c r="F51" s="148"/>
      <c r="G51" s="145"/>
      <c r="H51" s="145"/>
      <c r="I51" s="145"/>
      <c r="J51" s="143"/>
    </row>
    <row r="52" spans="1:10" x14ac:dyDescent="0.3">
      <c r="A52" s="143"/>
      <c r="B52" s="144"/>
      <c r="C52" s="145"/>
      <c r="D52" s="145"/>
      <c r="E52" s="149"/>
      <c r="F52" s="148"/>
      <c r="G52" s="145"/>
      <c r="H52" s="145"/>
      <c r="I52" s="145"/>
      <c r="J52" s="143"/>
    </row>
    <row r="53" spans="1:10" x14ac:dyDescent="0.3">
      <c r="A53" s="143"/>
      <c r="B53" s="143"/>
      <c r="C53" s="145"/>
      <c r="D53" s="145"/>
      <c r="E53" s="146"/>
      <c r="F53" s="148"/>
      <c r="G53" s="145"/>
      <c r="H53" s="145"/>
      <c r="I53" s="145"/>
      <c r="J53" s="143"/>
    </row>
    <row r="54" spans="1:10" x14ac:dyDescent="0.3">
      <c r="A54" s="150"/>
      <c r="B54" s="150"/>
      <c r="C54" s="151"/>
      <c r="D54" s="151"/>
      <c r="E54" s="151"/>
      <c r="F54" s="151"/>
      <c r="G54" s="151"/>
      <c r="H54" s="151"/>
      <c r="I54" s="151"/>
      <c r="J54" s="150"/>
    </row>
    <row r="55" spans="1:10" x14ac:dyDescent="0.3">
      <c r="A55" s="150"/>
      <c r="B55" s="150"/>
      <c r="C55" s="151"/>
      <c r="D55" s="151"/>
      <c r="E55" s="151"/>
      <c r="F55" s="151"/>
      <c r="G55" s="151"/>
      <c r="H55" s="151"/>
      <c r="I55" s="151"/>
      <c r="J55" s="150"/>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showGridLines="0" workbookViewId="0"/>
  </sheetViews>
  <sheetFormatPr defaultColWidth="13" defaultRowHeight="15.6" x14ac:dyDescent="0.3"/>
  <cols>
    <col min="1" max="1" width="26.796875" style="51" bestFit="1" customWidth="1"/>
    <col min="2" max="2" width="2.09765625" style="49" customWidth="1"/>
    <col min="3" max="3" width="15.296875" style="49" bestFit="1" customWidth="1"/>
    <col min="4" max="4" width="6.19921875" style="49" bestFit="1" customWidth="1"/>
    <col min="5" max="5" width="4.09765625" style="49" bestFit="1" customWidth="1"/>
    <col min="6" max="6" width="6.296875" style="49" bestFit="1" customWidth="1"/>
    <col min="7" max="16384" width="13" style="49"/>
  </cols>
  <sheetData>
    <row r="1" spans="1:6" ht="24" thickTop="1" thickBot="1" x14ac:dyDescent="0.3">
      <c r="A1" s="208" t="s">
        <v>91</v>
      </c>
      <c r="B1" s="281"/>
      <c r="C1" s="282" t="s">
        <v>143</v>
      </c>
      <c r="D1" s="273"/>
      <c r="E1" s="273"/>
      <c r="F1" s="283"/>
    </row>
    <row r="2" spans="1:6" ht="17.399999999999999" thickTop="1" x14ac:dyDescent="0.3">
      <c r="A2" s="309" t="s">
        <v>183</v>
      </c>
      <c r="C2" s="274" t="s">
        <v>60</v>
      </c>
      <c r="D2" s="275" t="s">
        <v>0</v>
      </c>
      <c r="E2" s="296" t="s">
        <v>127</v>
      </c>
    </row>
    <row r="3" spans="1:6" ht="16.8" x14ac:dyDescent="0.3">
      <c r="A3" s="310" t="s">
        <v>161</v>
      </c>
      <c r="C3" s="276" t="s">
        <v>129</v>
      </c>
      <c r="D3" s="277">
        <v>0</v>
      </c>
      <c r="E3" s="297">
        <f>D3+'Personal File'!$C$15</f>
        <v>1</v>
      </c>
    </row>
    <row r="4" spans="1:6" ht="17.399999999999999" thickBot="1" x14ac:dyDescent="0.35">
      <c r="A4" s="378" t="str">
        <f>CONCATENATE("Tongues, CL ",8+'Personal File'!E3)</f>
        <v>Tongues, CL 13</v>
      </c>
      <c r="C4" s="278" t="s">
        <v>130</v>
      </c>
      <c r="D4" s="56">
        <v>0</v>
      </c>
      <c r="E4" s="298">
        <f>D4+'Personal File'!$C$15</f>
        <v>1</v>
      </c>
    </row>
    <row r="5" spans="1:6" ht="18" thickTop="1" thickBot="1" x14ac:dyDescent="0.35">
      <c r="C5" s="278" t="s">
        <v>131</v>
      </c>
      <c r="D5" s="56">
        <v>0</v>
      </c>
      <c r="E5" s="298">
        <f>D5+'Personal File'!$C$15</f>
        <v>1</v>
      </c>
    </row>
    <row r="6" spans="1:6" ht="22.2" thickTop="1" thickBot="1" x14ac:dyDescent="0.35">
      <c r="A6" s="209" t="s">
        <v>84</v>
      </c>
      <c r="C6" s="279" t="s">
        <v>128</v>
      </c>
      <c r="D6" s="280">
        <v>0</v>
      </c>
      <c r="E6" s="299">
        <f>D6+'Personal File'!$C$15</f>
        <v>1</v>
      </c>
    </row>
    <row r="7" spans="1:6" ht="16.8" x14ac:dyDescent="0.3">
      <c r="A7" s="309" t="s">
        <v>74</v>
      </c>
    </row>
    <row r="8" spans="1:6" ht="17.399999999999999" thickBot="1" x14ac:dyDescent="0.35">
      <c r="A8" s="202" t="s">
        <v>160</v>
      </c>
      <c r="D8" s="52" t="s">
        <v>134</v>
      </c>
      <c r="E8" s="290">
        <f>'Personal File'!$E$5</f>
        <v>4</v>
      </c>
    </row>
    <row r="9" spans="1:6" ht="16.8" thickTop="1" thickBot="1" x14ac:dyDescent="0.35">
      <c r="F9" s="114"/>
    </row>
    <row r="10" spans="1:6" ht="22.2" thickTop="1" thickBot="1" x14ac:dyDescent="0.35">
      <c r="A10" s="208" t="s">
        <v>142</v>
      </c>
    </row>
    <row r="11" spans="1:6" ht="16.8" x14ac:dyDescent="0.3">
      <c r="A11" s="311" t="s">
        <v>162</v>
      </c>
    </row>
    <row r="12" spans="1:6" ht="16.8" x14ac:dyDescent="0.3">
      <c r="A12" s="327" t="s">
        <v>163</v>
      </c>
    </row>
    <row r="13" spans="1:6" ht="17.399999999999999" thickBot="1" x14ac:dyDescent="0.35">
      <c r="A13" s="312" t="s">
        <v>164</v>
      </c>
    </row>
    <row r="14" spans="1:6" ht="16.8" thickTop="1" thickBot="1" x14ac:dyDescent="0.35"/>
    <row r="15" spans="1:6" ht="22.2" thickTop="1" thickBot="1" x14ac:dyDescent="0.35">
      <c r="A15" s="207" t="s">
        <v>61</v>
      </c>
    </row>
    <row r="16" spans="1:6" ht="17.399999999999999" thickBot="1" x14ac:dyDescent="0.35">
      <c r="A16" s="53" t="s">
        <v>159</v>
      </c>
    </row>
    <row r="17" ht="16.2" thickTop="1" x14ac:dyDescent="0.3"/>
  </sheetData>
  <conditionalFormatting sqref="F1">
    <cfRule type="cellIs" dxfId="19"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zoomScaleNormal="100" workbookViewId="0"/>
  </sheetViews>
  <sheetFormatPr defaultColWidth="13" defaultRowHeight="15.6" x14ac:dyDescent="0.3"/>
  <cols>
    <col min="1" max="1" width="22.796875" style="20" bestFit="1" customWidth="1"/>
    <col min="2" max="2" width="8.5" style="20" bestFit="1" customWidth="1"/>
    <col min="3" max="3" width="6.8984375" style="20" bestFit="1" customWidth="1"/>
    <col min="4" max="4" width="6.296875" style="20" bestFit="1" customWidth="1"/>
    <col min="5" max="5" width="8.09765625" style="20" bestFit="1" customWidth="1"/>
    <col min="6" max="6" width="8.3984375" style="20" bestFit="1" customWidth="1"/>
    <col min="7" max="7" width="4.796875" style="20" bestFit="1" customWidth="1"/>
    <col min="8" max="8" width="4.69921875" style="20" bestFit="1" customWidth="1"/>
    <col min="9" max="9" width="5.69921875" style="20" bestFit="1" customWidth="1"/>
    <col min="10" max="10" width="6.296875" style="20" bestFit="1" customWidth="1"/>
    <col min="11" max="11" width="20.796875" style="20" customWidth="1"/>
    <col min="12" max="12" width="2" style="12" customWidth="1"/>
    <col min="13" max="13" width="5.796875" style="12" bestFit="1" customWidth="1"/>
    <col min="14" max="16384" width="13" style="12"/>
  </cols>
  <sheetData>
    <row r="1" spans="1:13" ht="23.4" thickBot="1" x14ac:dyDescent="0.35">
      <c r="A1" s="11" t="s">
        <v>83</v>
      </c>
      <c r="B1" s="11"/>
      <c r="C1" s="11"/>
      <c r="D1" s="11"/>
      <c r="E1" s="11"/>
      <c r="F1" s="11"/>
      <c r="G1" s="11"/>
      <c r="H1" s="11"/>
      <c r="I1" s="11"/>
      <c r="J1" s="11"/>
      <c r="K1" s="11"/>
      <c r="M1" s="272"/>
    </row>
    <row r="2" spans="1:13" ht="16.8" thickTop="1" thickBot="1" x14ac:dyDescent="0.35">
      <c r="A2" s="13" t="s">
        <v>2</v>
      </c>
      <c r="B2" s="14" t="s">
        <v>87</v>
      </c>
      <c r="C2" s="14" t="s">
        <v>15</v>
      </c>
      <c r="D2" s="14" t="s">
        <v>16</v>
      </c>
      <c r="E2" s="15" t="s">
        <v>54</v>
      </c>
      <c r="F2" s="14" t="s">
        <v>14</v>
      </c>
      <c r="G2" s="14" t="s">
        <v>17</v>
      </c>
      <c r="H2" s="16" t="s">
        <v>72</v>
      </c>
      <c r="I2" s="17" t="s">
        <v>73</v>
      </c>
      <c r="J2" s="16" t="s">
        <v>66</v>
      </c>
      <c r="K2" s="18" t="s">
        <v>1</v>
      </c>
      <c r="M2" s="158" t="s">
        <v>77</v>
      </c>
    </row>
    <row r="3" spans="1:13" x14ac:dyDescent="0.3">
      <c r="A3" s="302" t="s">
        <v>89</v>
      </c>
      <c r="B3" s="163" t="s">
        <v>135</v>
      </c>
      <c r="C3" s="303">
        <f>'Personal File'!$C$11+0</f>
        <v>2</v>
      </c>
      <c r="D3" s="303">
        <v>0</v>
      </c>
      <c r="E3" s="304" t="s">
        <v>90</v>
      </c>
      <c r="F3" s="305" t="s">
        <v>79</v>
      </c>
      <c r="G3" s="375" t="s">
        <v>81</v>
      </c>
      <c r="H3" s="306" t="str">
        <f>CONCATENATE("+",'Personal File'!$B$9+'Personal File'!$C$11+D3)</f>
        <v>+6</v>
      </c>
      <c r="I3" s="238">
        <f t="shared" ref="I3:I8" ca="1" si="0">RANDBETWEEN(1,20)</f>
        <v>2</v>
      </c>
      <c r="J3" s="307">
        <f t="shared" ref="J3:J5" ca="1" si="1">I3+RIGHT(H3,2)</f>
        <v>8</v>
      </c>
      <c r="K3" s="308" t="s">
        <v>148</v>
      </c>
      <c r="M3" s="376" t="s">
        <v>81</v>
      </c>
    </row>
    <row r="4" spans="1:13" x14ac:dyDescent="0.3">
      <c r="A4" s="233" t="s">
        <v>123</v>
      </c>
      <c r="B4" s="10" t="s">
        <v>95</v>
      </c>
      <c r="C4" s="234">
        <f>'Personal File'!$C$11/2</f>
        <v>1</v>
      </c>
      <c r="D4" s="234">
        <v>0</v>
      </c>
      <c r="E4" s="235" t="s">
        <v>90</v>
      </c>
      <c r="F4" s="236" t="s">
        <v>125</v>
      </c>
      <c r="G4" s="373" t="s">
        <v>81</v>
      </c>
      <c r="H4" s="237" t="str">
        <f>CONCATENATE("+",'Personal File'!$B$9+'Personal File'!$C$11+D4-1)</f>
        <v>+5</v>
      </c>
      <c r="I4" s="238">
        <f t="shared" ca="1" si="0"/>
        <v>16</v>
      </c>
      <c r="J4" s="239">
        <f t="shared" ca="1" si="1"/>
        <v>21</v>
      </c>
      <c r="K4" s="240" t="s">
        <v>148</v>
      </c>
      <c r="M4" s="376" t="s">
        <v>81</v>
      </c>
    </row>
    <row r="5" spans="1:13" x14ac:dyDescent="0.3">
      <c r="A5" s="233" t="s">
        <v>124</v>
      </c>
      <c r="B5" s="10" t="s">
        <v>95</v>
      </c>
      <c r="C5" s="234">
        <f>'Personal File'!$C$11/2</f>
        <v>1</v>
      </c>
      <c r="D5" s="234">
        <v>0</v>
      </c>
      <c r="E5" s="235" t="s">
        <v>90</v>
      </c>
      <c r="F5" s="236" t="s">
        <v>125</v>
      </c>
      <c r="G5" s="373" t="s">
        <v>81</v>
      </c>
      <c r="H5" s="237" t="str">
        <f>CONCATENATE("+",'Personal File'!$B$9+'Personal File'!$C$11+D5-1)</f>
        <v>+5</v>
      </c>
      <c r="I5" s="238">
        <f t="shared" ca="1" si="0"/>
        <v>20</v>
      </c>
      <c r="J5" s="239">
        <f t="shared" ca="1" si="1"/>
        <v>25</v>
      </c>
      <c r="K5" s="240" t="s">
        <v>148</v>
      </c>
      <c r="M5" s="376" t="s">
        <v>81</v>
      </c>
    </row>
    <row r="6" spans="1:13" x14ac:dyDescent="0.3">
      <c r="A6" s="233" t="s">
        <v>187</v>
      </c>
      <c r="B6" s="10" t="s">
        <v>135</v>
      </c>
      <c r="C6" s="234">
        <f>'Personal File'!$C$11+1</f>
        <v>3</v>
      </c>
      <c r="D6" s="234">
        <v>1</v>
      </c>
      <c r="E6" s="235" t="s">
        <v>93</v>
      </c>
      <c r="F6" s="236" t="s">
        <v>94</v>
      </c>
      <c r="G6" s="295">
        <v>4</v>
      </c>
      <c r="H6" s="237" t="str">
        <f>CONCATENATE("+",'Personal File'!$B$9+'Personal File'!$C$11+D6)</f>
        <v>+7</v>
      </c>
      <c r="I6" s="238">
        <f t="shared" ca="1" si="0"/>
        <v>7</v>
      </c>
      <c r="J6" s="239">
        <f t="shared" ref="J6" ca="1" si="2">I6+RIGHT(H6,2)</f>
        <v>14</v>
      </c>
      <c r="K6" s="240"/>
      <c r="M6" s="241">
        <v>2315</v>
      </c>
    </row>
    <row r="7" spans="1:13" x14ac:dyDescent="0.3">
      <c r="A7" s="233" t="s">
        <v>182</v>
      </c>
      <c r="B7" s="10" t="s">
        <v>135</v>
      </c>
      <c r="C7" s="234">
        <f>'Personal File'!$C$11+1</f>
        <v>3</v>
      </c>
      <c r="D7" s="234">
        <v>1</v>
      </c>
      <c r="E7" s="235" t="s">
        <v>93</v>
      </c>
      <c r="F7" s="236" t="s">
        <v>94</v>
      </c>
      <c r="G7" s="373" t="s">
        <v>81</v>
      </c>
      <c r="H7" s="237" t="str">
        <f>CONCATENATE("+",'Personal File'!$B$9+'Personal File'!$C$11+D7)</f>
        <v>+7</v>
      </c>
      <c r="I7" s="238">
        <f t="shared" ca="1" si="0"/>
        <v>9</v>
      </c>
      <c r="J7" s="239">
        <f t="shared" ref="J7" ca="1" si="3">I7+RIGHT(H7,2)</f>
        <v>16</v>
      </c>
      <c r="K7" s="240"/>
      <c r="M7" s="376" t="s">
        <v>81</v>
      </c>
    </row>
    <row r="8" spans="1:13" ht="16.2" thickBot="1" x14ac:dyDescent="0.35">
      <c r="A8" s="328" t="s">
        <v>144</v>
      </c>
      <c r="B8" s="329" t="s">
        <v>175</v>
      </c>
      <c r="C8" s="330" t="s">
        <v>81</v>
      </c>
      <c r="D8" s="330">
        <v>0</v>
      </c>
      <c r="E8" s="329" t="s">
        <v>81</v>
      </c>
      <c r="F8" s="329" t="s">
        <v>81</v>
      </c>
      <c r="G8" s="374" t="s">
        <v>81</v>
      </c>
      <c r="H8" s="331" t="str">
        <f>CONCATENATE("+",'Personal File'!$B$9+'Personal File'!$C$11+D8)</f>
        <v>+6</v>
      </c>
      <c r="I8" s="332">
        <f t="shared" ca="1" si="0"/>
        <v>7</v>
      </c>
      <c r="J8" s="333">
        <f t="shared" ref="J8" ca="1" si="4">I8+RIGHT(H8,2)</f>
        <v>13</v>
      </c>
      <c r="K8" s="334"/>
      <c r="M8" s="377" t="s">
        <v>81</v>
      </c>
    </row>
    <row r="9" spans="1:13" ht="16.8" thickTop="1" thickBot="1" x14ac:dyDescent="0.35"/>
    <row r="10" spans="1:13" ht="16.8" thickTop="1" thickBot="1" x14ac:dyDescent="0.35">
      <c r="A10" s="13" t="s">
        <v>4</v>
      </c>
      <c r="B10" s="14" t="s">
        <v>87</v>
      </c>
      <c r="C10" s="14" t="s">
        <v>15</v>
      </c>
      <c r="D10" s="14" t="s">
        <v>16</v>
      </c>
      <c r="E10" s="15" t="s">
        <v>54</v>
      </c>
      <c r="F10" s="14" t="s">
        <v>5</v>
      </c>
      <c r="G10" s="14" t="s">
        <v>17</v>
      </c>
      <c r="H10" s="16" t="s">
        <v>72</v>
      </c>
      <c r="I10" s="17" t="s">
        <v>73</v>
      </c>
      <c r="J10" s="16" t="s">
        <v>66</v>
      </c>
      <c r="K10" s="18" t="s">
        <v>1</v>
      </c>
      <c r="M10" s="158" t="s">
        <v>77</v>
      </c>
    </row>
    <row r="11" spans="1:13" x14ac:dyDescent="0.3">
      <c r="A11" s="184"/>
      <c r="B11" s="185"/>
      <c r="C11" s="185"/>
      <c r="D11" s="370"/>
      <c r="E11" s="185"/>
      <c r="F11" s="242"/>
      <c r="G11" s="242"/>
      <c r="H11" s="237" t="str">
        <f>CONCATENATE("+",'Personal File'!$B$9+'Personal File'!$C$12+D11)</f>
        <v>+6</v>
      </c>
      <c r="I11" s="238">
        <f t="shared" ref="I11:I12" ca="1" si="5">RANDBETWEEN(1,20)</f>
        <v>18</v>
      </c>
      <c r="J11" s="239">
        <f t="shared" ref="J11:J12" ca="1" si="6">I11+RIGHT(H11,2)</f>
        <v>24</v>
      </c>
      <c r="K11" s="335"/>
      <c r="M11" s="241"/>
    </row>
    <row r="12" spans="1:13" ht="16.2" thickBot="1" x14ac:dyDescent="0.35">
      <c r="A12" s="189" t="s">
        <v>137</v>
      </c>
      <c r="B12" s="19" t="s">
        <v>138</v>
      </c>
      <c r="C12" s="19">
        <v>0</v>
      </c>
      <c r="D12" s="19">
        <v>0</v>
      </c>
      <c r="E12" s="19" t="s">
        <v>81</v>
      </c>
      <c r="F12" s="174" t="s">
        <v>139</v>
      </c>
      <c r="G12" s="294" t="s">
        <v>81</v>
      </c>
      <c r="H12" s="190" t="str">
        <f>CONCATENATE("+",'Personal File'!$B$9+'Personal File'!$C$12+D12)</f>
        <v>+6</v>
      </c>
      <c r="I12" s="182">
        <f t="shared" ca="1" si="5"/>
        <v>16</v>
      </c>
      <c r="J12" s="183">
        <f t="shared" ca="1" si="6"/>
        <v>22</v>
      </c>
      <c r="K12" s="191"/>
      <c r="M12" s="176" t="s">
        <v>81</v>
      </c>
    </row>
    <row r="13" spans="1:13" ht="16.8" thickTop="1" thickBot="1" x14ac:dyDescent="0.35">
      <c r="D13" s="21"/>
      <c r="E13" s="21"/>
      <c r="G13" s="22"/>
      <c r="H13" s="22"/>
      <c r="I13" s="22"/>
      <c r="J13" s="22"/>
    </row>
    <row r="14" spans="1:13" ht="16.8" thickTop="1" thickBot="1" x14ac:dyDescent="0.35">
      <c r="A14" s="13" t="s">
        <v>58</v>
      </c>
      <c r="B14" s="14" t="s">
        <v>8</v>
      </c>
      <c r="C14" s="14" t="s">
        <v>24</v>
      </c>
      <c r="D14" s="14" t="s">
        <v>66</v>
      </c>
      <c r="E14" s="14" t="s">
        <v>67</v>
      </c>
      <c r="F14" s="14" t="s">
        <v>68</v>
      </c>
      <c r="G14" s="14" t="s">
        <v>17</v>
      </c>
      <c r="H14" s="23" t="s">
        <v>1</v>
      </c>
      <c r="I14" s="24"/>
      <c r="J14" s="24"/>
      <c r="K14" s="25"/>
      <c r="M14" s="158" t="s">
        <v>77</v>
      </c>
    </row>
    <row r="15" spans="1:13" x14ac:dyDescent="0.3">
      <c r="A15" s="243" t="s">
        <v>126</v>
      </c>
      <c r="B15" s="244">
        <v>6</v>
      </c>
      <c r="C15" s="245" t="s">
        <v>81</v>
      </c>
      <c r="D15" s="244" t="s">
        <v>81</v>
      </c>
      <c r="E15" s="246" t="s">
        <v>81</v>
      </c>
      <c r="F15" s="244" t="s">
        <v>81</v>
      </c>
      <c r="G15" s="247" t="s">
        <v>81</v>
      </c>
      <c r="H15" s="248"/>
      <c r="I15" s="26"/>
      <c r="J15" s="26"/>
      <c r="K15" s="249"/>
      <c r="M15" s="165" t="s">
        <v>81</v>
      </c>
    </row>
    <row r="16" spans="1:13" x14ac:dyDescent="0.3">
      <c r="A16" s="314"/>
      <c r="B16" s="315"/>
      <c r="C16" s="316"/>
      <c r="D16" s="315"/>
      <c r="E16" s="317"/>
      <c r="F16" s="315"/>
      <c r="G16" s="318"/>
      <c r="H16" s="319"/>
      <c r="I16" s="320"/>
      <c r="J16" s="320"/>
      <c r="K16" s="321"/>
      <c r="M16" s="301"/>
    </row>
    <row r="17" spans="1:13" ht="16.2" thickBot="1" x14ac:dyDescent="0.35">
      <c r="A17" s="250"/>
      <c r="B17" s="251"/>
      <c r="C17" s="252"/>
      <c r="D17" s="252"/>
      <c r="E17" s="287"/>
      <c r="F17" s="252"/>
      <c r="G17" s="288"/>
      <c r="H17" s="253"/>
      <c r="I17" s="36"/>
      <c r="J17" s="36"/>
      <c r="K17" s="254"/>
      <c r="M17" s="176"/>
    </row>
    <row r="18" spans="1:13" ht="16.8" thickTop="1" thickBot="1" x14ac:dyDescent="0.35"/>
    <row r="19" spans="1:13" ht="16.8" thickTop="1" thickBot="1" x14ac:dyDescent="0.35">
      <c r="A19" s="27"/>
      <c r="B19" s="22"/>
      <c r="D19" s="28" t="s">
        <v>59</v>
      </c>
      <c r="E19" s="29"/>
      <c r="F19" s="23" t="s">
        <v>3</v>
      </c>
      <c r="G19" s="14" t="s">
        <v>17</v>
      </c>
      <c r="H19" s="16" t="s">
        <v>72</v>
      </c>
      <c r="I19" s="23" t="s">
        <v>1</v>
      </c>
      <c r="J19" s="24"/>
      <c r="K19" s="25"/>
      <c r="M19" s="158" t="s">
        <v>77</v>
      </c>
    </row>
    <row r="20" spans="1:13" x14ac:dyDescent="0.3">
      <c r="A20" s="27"/>
      <c r="B20" s="22"/>
      <c r="D20" s="196"/>
      <c r="E20" s="30"/>
      <c r="F20" s="31"/>
      <c r="G20" s="247"/>
      <c r="H20" s="32"/>
      <c r="I20" s="336"/>
      <c r="J20" s="26"/>
      <c r="K20" s="337"/>
      <c r="M20" s="165"/>
    </row>
    <row r="21" spans="1:13" ht="16.2" thickBot="1" x14ac:dyDescent="0.35">
      <c r="D21" s="33"/>
      <c r="E21" s="34"/>
      <c r="F21" s="35"/>
      <c r="G21" s="288"/>
      <c r="H21" s="300"/>
      <c r="I21" s="338"/>
      <c r="J21" s="36"/>
      <c r="K21" s="254"/>
      <c r="M21" s="176"/>
    </row>
    <row r="22" spans="1:13" ht="16.8" thickTop="1" thickBot="1" x14ac:dyDescent="0.35"/>
    <row r="23" spans="1:13" ht="16.8" thickTop="1" thickBot="1" x14ac:dyDescent="0.35">
      <c r="D23" s="28" t="s">
        <v>75</v>
      </c>
      <c r="E23" s="24"/>
      <c r="F23" s="24"/>
      <c r="G23" s="24"/>
      <c r="H23" s="156" t="s">
        <v>3</v>
      </c>
      <c r="I23" s="156" t="s">
        <v>0</v>
      </c>
      <c r="J23" s="156" t="s">
        <v>76</v>
      </c>
      <c r="K23" s="25" t="s">
        <v>65</v>
      </c>
      <c r="L23" s="157"/>
      <c r="M23" s="158" t="s">
        <v>77</v>
      </c>
    </row>
    <row r="24" spans="1:13" x14ac:dyDescent="0.3">
      <c r="D24" s="159" t="s">
        <v>176</v>
      </c>
      <c r="E24" s="160"/>
      <c r="F24" s="160"/>
      <c r="G24" s="161"/>
      <c r="H24" s="162">
        <v>1</v>
      </c>
      <c r="I24" s="163">
        <v>1</v>
      </c>
      <c r="J24" s="163">
        <v>1</v>
      </c>
      <c r="K24" s="164"/>
      <c r="L24" s="157"/>
      <c r="M24" s="165">
        <f t="shared" ref="M24:M27" si="7">25*J24*I24*H24</f>
        <v>25</v>
      </c>
    </row>
    <row r="25" spans="1:13" x14ac:dyDescent="0.3">
      <c r="D25" s="372" t="s">
        <v>178</v>
      </c>
      <c r="E25" s="226"/>
      <c r="F25" s="226"/>
      <c r="G25" s="227"/>
      <c r="H25" s="228">
        <v>1</v>
      </c>
      <c r="I25" s="185">
        <v>1</v>
      </c>
      <c r="J25" s="185">
        <v>1</v>
      </c>
      <c r="K25" s="229"/>
      <c r="L25" s="157"/>
      <c r="M25" s="301">
        <f t="shared" si="7"/>
        <v>25</v>
      </c>
    </row>
    <row r="26" spans="1:13" x14ac:dyDescent="0.3">
      <c r="D26" s="166" t="s">
        <v>177</v>
      </c>
      <c r="E26" s="167"/>
      <c r="F26" s="167"/>
      <c r="G26" s="168"/>
      <c r="H26" s="169">
        <v>1</v>
      </c>
      <c r="I26" s="10">
        <v>2</v>
      </c>
      <c r="J26" s="10">
        <v>4</v>
      </c>
      <c r="K26" s="170"/>
      <c r="L26" s="157"/>
      <c r="M26" s="186">
        <f t="shared" si="7"/>
        <v>200</v>
      </c>
    </row>
    <row r="27" spans="1:13" ht="16.2" thickBot="1" x14ac:dyDescent="0.35">
      <c r="D27" s="171" t="s">
        <v>189</v>
      </c>
      <c r="E27" s="172"/>
      <c r="F27" s="172"/>
      <c r="G27" s="173"/>
      <c r="H27" s="384">
        <v>1</v>
      </c>
      <c r="I27" s="19">
        <v>2</v>
      </c>
      <c r="J27" s="19">
        <v>4</v>
      </c>
      <c r="K27" s="175"/>
      <c r="L27" s="157"/>
      <c r="M27" s="176">
        <f t="shared" si="7"/>
        <v>200</v>
      </c>
    </row>
    <row r="28" spans="1:13" ht="16.2" thickTop="1" x14ac:dyDescent="0.3"/>
  </sheetData>
  <phoneticPr fontId="0" type="noConversion"/>
  <conditionalFormatting sqref="I8">
    <cfRule type="cellIs" dxfId="18" priority="137" operator="equal">
      <formula>20</formula>
    </cfRule>
    <cfRule type="cellIs" dxfId="17" priority="138" operator="equal">
      <formula>1</formula>
    </cfRule>
  </conditionalFormatting>
  <conditionalFormatting sqref="I3:I4">
    <cfRule type="cellIs" dxfId="16" priority="97" operator="equal">
      <formula>20</formula>
    </cfRule>
    <cfRule type="cellIs" dxfId="15" priority="98" operator="equal">
      <formula>1</formula>
    </cfRule>
  </conditionalFormatting>
  <conditionalFormatting sqref="I3:I4 I8">
    <cfRule type="cellIs" dxfId="14" priority="87" operator="equal">
      <formula>1</formula>
    </cfRule>
    <cfRule type="cellIs" dxfId="13" priority="88" operator="greaterThanOrEqual">
      <formula>19</formula>
    </cfRule>
  </conditionalFormatting>
  <conditionalFormatting sqref="I11">
    <cfRule type="cellIs" dxfId="12" priority="81" operator="equal">
      <formula>1</formula>
    </cfRule>
    <cfRule type="cellIs" dxfId="11" priority="82" operator="greaterThanOrEqual">
      <formula>19</formula>
    </cfRule>
  </conditionalFormatting>
  <conditionalFormatting sqref="I11">
    <cfRule type="cellIs" dxfId="10" priority="79" operator="equal">
      <formula>1</formula>
    </cfRule>
    <cfRule type="cellIs" dxfId="9" priority="80" operator="greaterThanOrEqual">
      <formula>19</formula>
    </cfRule>
  </conditionalFormatting>
  <conditionalFormatting sqref="I12">
    <cfRule type="cellIs" dxfId="8" priority="7" operator="equal">
      <formula>20</formula>
    </cfRule>
    <cfRule type="cellIs" dxfId="7" priority="8" operator="equal">
      <formula>1</formula>
    </cfRule>
  </conditionalFormatting>
  <conditionalFormatting sqref="I12">
    <cfRule type="cellIs" dxfId="6" priority="5" operator="equal">
      <formula>1</formula>
    </cfRule>
    <cfRule type="cellIs" dxfId="5" priority="6" operator="greaterThanOrEqual">
      <formula>19</formula>
    </cfRule>
  </conditionalFormatting>
  <conditionalFormatting sqref="I5:I7">
    <cfRule type="cellIs" dxfId="4" priority="3" operator="equal">
      <formula>20</formula>
    </cfRule>
    <cfRule type="cellIs" dxfId="3" priority="4" operator="equal">
      <formula>1</formula>
    </cfRule>
  </conditionalFormatting>
  <conditionalFormatting sqref="I5:I7">
    <cfRule type="cellIs" dxfId="2" priority="1" operator="equal">
      <formula>1</formula>
    </cfRule>
    <cfRule type="cellIs" dxfId="1" priority="2" operator="greaterThan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showGridLines="0" workbookViewId="0"/>
  </sheetViews>
  <sheetFormatPr defaultColWidth="13" defaultRowHeight="15.6" x14ac:dyDescent="0.3"/>
  <cols>
    <col min="1" max="1" width="26.796875" style="20" bestFit="1" customWidth="1"/>
    <col min="2" max="2" width="4.69921875" style="20" bestFit="1" customWidth="1"/>
    <col min="3" max="3" width="4.3984375" style="22" bestFit="1" customWidth="1"/>
    <col min="4" max="5" width="17.09765625" style="12" customWidth="1"/>
    <col min="6" max="6" width="2.69921875" style="12" customWidth="1"/>
    <col min="7" max="7" width="8.296875" style="12" bestFit="1" customWidth="1"/>
    <col min="8" max="16384" width="13" style="12"/>
  </cols>
  <sheetData>
    <row r="1" spans="1:7" ht="23.4" thickBot="1" x14ac:dyDescent="0.35">
      <c r="A1" s="11" t="s">
        <v>62</v>
      </c>
      <c r="B1" s="11"/>
      <c r="C1" s="37"/>
      <c r="D1" s="11"/>
      <c r="E1" s="11"/>
    </row>
    <row r="2" spans="1:7" s="20" customFormat="1" ht="16.8" thickTop="1" thickBot="1" x14ac:dyDescent="0.35">
      <c r="A2" s="38" t="s">
        <v>63</v>
      </c>
      <c r="B2" s="38" t="s">
        <v>3</v>
      </c>
      <c r="C2" s="39" t="s">
        <v>17</v>
      </c>
      <c r="D2" s="40" t="s">
        <v>64</v>
      </c>
      <c r="E2" s="41" t="s">
        <v>65</v>
      </c>
      <c r="G2" s="177" t="s">
        <v>77</v>
      </c>
    </row>
    <row r="3" spans="1:7" x14ac:dyDescent="0.3">
      <c r="A3" s="42" t="s">
        <v>141</v>
      </c>
      <c r="B3" s="192">
        <v>1</v>
      </c>
      <c r="C3" s="155">
        <v>1</v>
      </c>
      <c r="D3" s="47"/>
      <c r="E3" s="48"/>
      <c r="G3" s="178">
        <v>1</v>
      </c>
    </row>
    <row r="4" spans="1:7" x14ac:dyDescent="0.3">
      <c r="A4" s="42" t="s">
        <v>165</v>
      </c>
      <c r="B4" s="193">
        <v>1</v>
      </c>
      <c r="C4" s="46">
        <v>2</v>
      </c>
      <c r="D4" s="44"/>
      <c r="E4" s="45"/>
      <c r="G4" s="178">
        <v>2</v>
      </c>
    </row>
    <row r="5" spans="1:7" x14ac:dyDescent="0.3">
      <c r="A5" s="206" t="s">
        <v>174</v>
      </c>
      <c r="B5" s="203">
        <v>1</v>
      </c>
      <c r="C5" s="322">
        <v>1</v>
      </c>
      <c r="D5" s="47"/>
      <c r="E5" s="48"/>
      <c r="G5" s="205">
        <v>1350</v>
      </c>
    </row>
    <row r="6" spans="1:7" ht="16.2" thickBot="1" x14ac:dyDescent="0.35">
      <c r="A6" s="180" t="s">
        <v>172</v>
      </c>
      <c r="B6" s="194">
        <v>1</v>
      </c>
      <c r="C6" s="284" t="s">
        <v>173</v>
      </c>
      <c r="D6" s="140"/>
      <c r="E6" s="141"/>
      <c r="G6" s="179" t="s">
        <v>146</v>
      </c>
    </row>
    <row r="7" spans="1:7" ht="22.8" thickTop="1" thickBot="1" x14ac:dyDescent="0.35">
      <c r="A7" s="379"/>
      <c r="B7" s="379"/>
      <c r="C7" s="379"/>
      <c r="D7" s="380" t="s">
        <v>184</v>
      </c>
      <c r="E7" s="381"/>
      <c r="F7" s="272"/>
      <c r="G7" s="272">
        <v>2000</v>
      </c>
    </row>
    <row r="8" spans="1:7" ht="16.8" thickTop="1" thickBot="1" x14ac:dyDescent="0.35">
      <c r="A8" s="38" t="s">
        <v>63</v>
      </c>
      <c r="B8" s="38" t="s">
        <v>3</v>
      </c>
      <c r="C8" s="39" t="s">
        <v>17</v>
      </c>
      <c r="D8" s="40" t="s">
        <v>64</v>
      </c>
      <c r="E8" s="41" t="s">
        <v>65</v>
      </c>
      <c r="G8" s="177" t="s">
        <v>77</v>
      </c>
    </row>
    <row r="9" spans="1:7" x14ac:dyDescent="0.3">
      <c r="A9" s="206" t="s">
        <v>140</v>
      </c>
      <c r="B9" s="203">
        <v>1745</v>
      </c>
      <c r="C9" s="155">
        <f>B9/100</f>
        <v>17.45</v>
      </c>
      <c r="D9" s="204"/>
      <c r="E9" s="48"/>
      <c r="G9" s="205">
        <f>B9</f>
        <v>1745</v>
      </c>
    </row>
    <row r="10" spans="1:7" x14ac:dyDescent="0.3">
      <c r="A10" s="206" t="s">
        <v>179</v>
      </c>
      <c r="B10" s="203">
        <v>1</v>
      </c>
      <c r="C10" s="155">
        <v>0</v>
      </c>
      <c r="D10" s="204"/>
      <c r="E10" s="48"/>
      <c r="G10" s="205">
        <v>1</v>
      </c>
    </row>
    <row r="11" spans="1:7" x14ac:dyDescent="0.3">
      <c r="A11" s="206" t="s">
        <v>170</v>
      </c>
      <c r="B11" s="203">
        <v>1</v>
      </c>
      <c r="C11" s="155">
        <v>20</v>
      </c>
      <c r="D11" s="204"/>
      <c r="E11" s="48"/>
      <c r="G11" s="205">
        <v>10</v>
      </c>
    </row>
    <row r="12" spans="1:7" x14ac:dyDescent="0.3">
      <c r="A12" s="206" t="s">
        <v>188</v>
      </c>
      <c r="B12" s="203">
        <v>1</v>
      </c>
      <c r="C12" s="155">
        <v>2</v>
      </c>
      <c r="D12" s="204"/>
      <c r="E12" s="48"/>
      <c r="G12" s="205">
        <v>350</v>
      </c>
    </row>
    <row r="13" spans="1:7" x14ac:dyDescent="0.3">
      <c r="A13" s="206" t="s">
        <v>180</v>
      </c>
      <c r="B13" s="203">
        <v>2</v>
      </c>
      <c r="C13" s="155">
        <v>3</v>
      </c>
      <c r="D13" s="204"/>
      <c r="E13" s="48"/>
      <c r="G13" s="205">
        <v>0.5</v>
      </c>
    </row>
    <row r="14" spans="1:7" x14ac:dyDescent="0.3">
      <c r="A14" s="206" t="s">
        <v>171</v>
      </c>
      <c r="B14" s="203">
        <v>1</v>
      </c>
      <c r="C14" s="155">
        <v>2</v>
      </c>
      <c r="D14" s="204"/>
      <c r="E14" s="48"/>
      <c r="G14" s="205">
        <v>0.5</v>
      </c>
    </row>
    <row r="15" spans="1:7" x14ac:dyDescent="0.3">
      <c r="A15" s="206" t="s">
        <v>169</v>
      </c>
      <c r="B15" s="203">
        <v>1</v>
      </c>
      <c r="C15" s="155">
        <v>5</v>
      </c>
      <c r="D15" s="204"/>
      <c r="E15" s="48"/>
      <c r="G15" s="205">
        <v>55</v>
      </c>
    </row>
    <row r="16" spans="1:7" x14ac:dyDescent="0.3">
      <c r="A16" s="206" t="s">
        <v>194</v>
      </c>
      <c r="B16" s="203">
        <v>1</v>
      </c>
      <c r="C16" s="155">
        <v>6</v>
      </c>
      <c r="D16" s="204"/>
      <c r="E16" s="48"/>
      <c r="G16" s="205">
        <f>500*B16</f>
        <v>500</v>
      </c>
    </row>
    <row r="17" spans="1:7" x14ac:dyDescent="0.3">
      <c r="A17" s="206" t="s">
        <v>167</v>
      </c>
      <c r="B17" s="203">
        <v>0</v>
      </c>
      <c r="C17" s="155">
        <f>B17/100</f>
        <v>0</v>
      </c>
      <c r="D17" s="204"/>
      <c r="E17" s="48"/>
      <c r="G17" s="205">
        <v>10</v>
      </c>
    </row>
    <row r="18" spans="1:7" x14ac:dyDescent="0.3">
      <c r="A18" s="42" t="s">
        <v>168</v>
      </c>
      <c r="B18" s="285">
        <v>1</v>
      </c>
      <c r="C18" s="43">
        <v>7</v>
      </c>
      <c r="D18" s="44"/>
      <c r="E18" s="45"/>
      <c r="G18" s="205">
        <v>8</v>
      </c>
    </row>
    <row r="19" spans="1:7" x14ac:dyDescent="0.3">
      <c r="A19" s="206" t="s">
        <v>181</v>
      </c>
      <c r="B19" s="203">
        <v>3</v>
      </c>
      <c r="C19" s="155">
        <f>B19</f>
        <v>3</v>
      </c>
      <c r="D19" s="47"/>
      <c r="E19" s="48"/>
      <c r="G19" s="205">
        <f>B19*0.5</f>
        <v>1.5</v>
      </c>
    </row>
    <row r="20" spans="1:7" ht="16.2" thickBot="1" x14ac:dyDescent="0.35">
      <c r="A20" s="180" t="s">
        <v>166</v>
      </c>
      <c r="B20" s="194">
        <v>1</v>
      </c>
      <c r="C20" s="139">
        <v>0</v>
      </c>
      <c r="D20" s="223"/>
      <c r="E20" s="141"/>
      <c r="G20" s="179">
        <v>200</v>
      </c>
    </row>
    <row r="21" spans="1:7" ht="16.8" thickTop="1" thickBot="1" x14ac:dyDescent="0.35">
      <c r="A21" s="382" t="s">
        <v>185</v>
      </c>
      <c r="B21" s="383">
        <f>(C21-5)/120</f>
        <v>0.54541666666666666</v>
      </c>
      <c r="C21" s="39">
        <f>SUM(C9:C20,5)</f>
        <v>70.45</v>
      </c>
      <c r="D21" s="157"/>
      <c r="E21" s="157"/>
      <c r="F21" s="157"/>
      <c r="G21" s="339"/>
    </row>
    <row r="22" spans="1:7" x14ac:dyDescent="0.3">
      <c r="E22" s="114" t="s">
        <v>80</v>
      </c>
      <c r="G22" s="289">
        <f>SUM(Martial!M6:M27,Equipment!G3:G20)</f>
        <v>8999.5</v>
      </c>
    </row>
    <row r="23" spans="1:7" x14ac:dyDescent="0.3">
      <c r="E23" s="114" t="s">
        <v>132</v>
      </c>
      <c r="F23" s="272"/>
      <c r="G23" s="289">
        <v>9000</v>
      </c>
    </row>
  </sheetData>
  <phoneticPr fontId="0" type="noConversion"/>
  <conditionalFormatting sqref="G23">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Personal File</vt:lpstr>
      <vt:lpstr>Skills</vt:lpstr>
      <vt:lpstr>Feats</vt:lpstr>
      <vt:lpstr>Martial</vt:lpstr>
      <vt:lpstr>Equipment</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2023-02-22T12:52:44Z</dcterms:modified>
</cp:coreProperties>
</file>