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mc:AlternateContent xmlns:mc="http://schemas.openxmlformats.org/markup-compatibility/2006">
    <mc:Choice Requires="x15">
      <x15ac:absPath xmlns:x15ac="http://schemas.microsoft.com/office/spreadsheetml/2010/11/ac" url="C:\A\Juegos\HSC\PCs\Archive\"/>
    </mc:Choice>
  </mc:AlternateContent>
  <xr:revisionPtr revIDLastSave="0" documentId="13_ncr:1_{B8A710EF-BC72-49F5-BF0E-D2F0D029B24D}"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0" r:id="rId3"/>
    <sheet name="Martial" sheetId="6" r:id="rId4"/>
    <sheet name="Equipment" sheetId="19" r:id="rId5"/>
  </sheets>
  <externalReferences>
    <externalReference r:id="rId6"/>
  </externalReferences>
  <definedNames>
    <definedName name="NoShade">'[1]Spell Sheet'!$FH$1</definedName>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File'!$A$1:$H$14</definedName>
    <definedName name="_xlnm.Print_Area" localSheetId="1">Skills!$A$1:$K$29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4" l="1"/>
  <c r="B12" i="4"/>
  <c r="B11" i="4"/>
  <c r="B10" i="4"/>
  <c r="B14" i="4"/>
  <c r="B9" i="4" l="1"/>
  <c r="H25" i="15"/>
  <c r="C17" i="19"/>
  <c r="G17" i="19"/>
  <c r="G12" i="19" l="1"/>
  <c r="C12" i="19"/>
  <c r="C10" i="19"/>
  <c r="G18" i="19"/>
  <c r="C18" i="19"/>
  <c r="I8" i="6"/>
  <c r="I9" i="6"/>
  <c r="H41" i="15"/>
  <c r="H40" i="15"/>
  <c r="H39" i="15"/>
  <c r="H38" i="15"/>
  <c r="H37" i="15"/>
  <c r="H36" i="15"/>
  <c r="H35" i="15"/>
  <c r="H34" i="15"/>
  <c r="H33" i="15"/>
  <c r="H32" i="15"/>
  <c r="H31" i="15"/>
  <c r="H30" i="15"/>
  <c r="H29" i="15"/>
  <c r="H28" i="15"/>
  <c r="H27" i="15"/>
  <c r="H26" i="15"/>
  <c r="H24" i="15"/>
  <c r="H23" i="15"/>
  <c r="H22" i="15"/>
  <c r="H21" i="15"/>
  <c r="H20" i="15"/>
  <c r="H19" i="15"/>
  <c r="H18" i="15"/>
  <c r="H17" i="15"/>
  <c r="H16" i="15"/>
  <c r="H15" i="15"/>
  <c r="H14" i="15"/>
  <c r="H13" i="15"/>
  <c r="H12" i="15"/>
  <c r="H11" i="15"/>
  <c r="H10" i="15"/>
  <c r="H9" i="15"/>
  <c r="H8" i="15"/>
  <c r="H7" i="15"/>
  <c r="E8" i="4" l="1"/>
  <c r="F26" i="15" l="1"/>
  <c r="G16" i="19" l="1"/>
  <c r="C16" i="19"/>
  <c r="I4" i="6" l="1"/>
  <c r="I3" i="6" l="1"/>
  <c r="I5" i="6" l="1"/>
  <c r="E48" i="15" l="1"/>
  <c r="G16" i="6" l="1"/>
  <c r="E10" i="4" s="1"/>
  <c r="M16" i="6" l="1"/>
  <c r="G20" i="19" l="1"/>
  <c r="M25" i="6"/>
  <c r="H3" i="15"/>
  <c r="H4" i="15"/>
  <c r="B44" i="15" l="1"/>
  <c r="H42" i="15" l="1"/>
  <c r="H5" i="15" l="1"/>
  <c r="C14" i="4" l="1"/>
  <c r="C13" i="4"/>
  <c r="C12" i="4"/>
  <c r="C11" i="4"/>
  <c r="E11" i="4" s="1"/>
  <c r="C10" i="4"/>
  <c r="C9" i="4"/>
  <c r="D25" i="15" l="1"/>
  <c r="E46" i="15"/>
  <c r="E47" i="15"/>
  <c r="E45" i="15"/>
  <c r="E44" i="15" s="1"/>
  <c r="B8" i="4"/>
  <c r="H9" i="6"/>
  <c r="J9" i="6" s="1"/>
  <c r="E12" i="4"/>
  <c r="E14" i="4" s="1"/>
  <c r="E13" i="4" s="1"/>
  <c r="H8" i="6"/>
  <c r="J8" i="6" s="1"/>
  <c r="H4" i="6"/>
  <c r="H3" i="6"/>
  <c r="D24" i="15"/>
  <c r="G24" i="15" s="1"/>
  <c r="I24" i="15" s="1"/>
  <c r="D26" i="15"/>
  <c r="H5" i="6"/>
  <c r="J5" i="6" s="1"/>
  <c r="J4" i="6"/>
  <c r="D3" i="15"/>
  <c r="G3" i="15" s="1"/>
  <c r="I3" i="15" s="1"/>
  <c r="D4" i="15"/>
  <c r="D5" i="15"/>
  <c r="H43" i="15"/>
  <c r="H6" i="15"/>
  <c r="G25" i="15" l="1"/>
  <c r="I25" i="15" s="1"/>
  <c r="E25" i="15"/>
  <c r="E24" i="15"/>
  <c r="G26" i="15"/>
  <c r="I26" i="15" s="1"/>
  <c r="E26" i="15"/>
  <c r="J3" i="6"/>
  <c r="E3" i="15"/>
  <c r="E4" i="15"/>
  <c r="G4" i="15"/>
  <c r="I4" i="15" s="1"/>
  <c r="E5" i="15"/>
  <c r="G5" i="15"/>
  <c r="I5" i="15" s="1"/>
  <c r="D31" i="15" l="1"/>
  <c r="E31" i="15" l="1"/>
  <c r="G31" i="15"/>
  <c r="I31" i="15" s="1"/>
  <c r="D37" i="15"/>
  <c r="D19" i="15"/>
  <c r="D39" i="15"/>
  <c r="D36" i="15"/>
  <c r="D41" i="15"/>
  <c r="D38" i="15"/>
  <c r="D40" i="15"/>
  <c r="D33" i="15"/>
  <c r="D42" i="15"/>
  <c r="D29" i="15"/>
  <c r="D35" i="15"/>
  <c r="D14" i="15"/>
  <c r="D12" i="15"/>
  <c r="D43" i="15"/>
  <c r="D34" i="15"/>
  <c r="D32" i="15"/>
  <c r="D30" i="15"/>
  <c r="D28" i="15"/>
  <c r="D27" i="15"/>
  <c r="D23" i="15"/>
  <c r="D22" i="15"/>
  <c r="D21" i="15"/>
  <c r="D20" i="15"/>
  <c r="D18" i="15"/>
  <c r="D17" i="15"/>
  <c r="D16" i="15"/>
  <c r="D15" i="15"/>
  <c r="D13" i="15"/>
  <c r="D11" i="15"/>
  <c r="D10" i="15"/>
  <c r="D9" i="15"/>
  <c r="D8" i="15"/>
  <c r="D7" i="15"/>
  <c r="D6" i="15"/>
  <c r="E7" i="15" l="1"/>
  <c r="G7" i="15"/>
  <c r="I7" i="15" s="1"/>
  <c r="E11" i="15"/>
  <c r="G11" i="15"/>
  <c r="I11" i="15" s="1"/>
  <c r="E15" i="15"/>
  <c r="G15" i="15"/>
  <c r="I15" i="15" s="1"/>
  <c r="E17" i="15"/>
  <c r="G17" i="15"/>
  <c r="I17" i="15" s="1"/>
  <c r="E20" i="15"/>
  <c r="G20" i="15"/>
  <c r="I20" i="15" s="1"/>
  <c r="E22" i="15"/>
  <c r="G22" i="15"/>
  <c r="I22" i="15" s="1"/>
  <c r="E27" i="15"/>
  <c r="G27" i="15"/>
  <c r="I27" i="15" s="1"/>
  <c r="E30" i="15"/>
  <c r="G30" i="15"/>
  <c r="I30" i="15" s="1"/>
  <c r="E34" i="15"/>
  <c r="G34" i="15"/>
  <c r="I34" i="15" s="1"/>
  <c r="E12" i="15"/>
  <c r="G12" i="15"/>
  <c r="I12" i="15" s="1"/>
  <c r="E35" i="15"/>
  <c r="G35" i="15"/>
  <c r="I35" i="15" s="1"/>
  <c r="E42" i="15"/>
  <c r="G42" i="15"/>
  <c r="I42" i="15" s="1"/>
  <c r="E40" i="15"/>
  <c r="G40" i="15"/>
  <c r="I40" i="15" s="1"/>
  <c r="E41" i="15"/>
  <c r="G41" i="15"/>
  <c r="I41" i="15" s="1"/>
  <c r="E39" i="15"/>
  <c r="G39" i="15"/>
  <c r="I39" i="15" s="1"/>
  <c r="E37" i="15"/>
  <c r="G37" i="15"/>
  <c r="I37" i="15" s="1"/>
  <c r="E9" i="15"/>
  <c r="G9" i="15"/>
  <c r="I9"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8" i="15"/>
  <c r="G28" i="15"/>
  <c r="I28" i="15" s="1"/>
  <c r="E32" i="15"/>
  <c r="G32" i="15"/>
  <c r="I32" i="15" s="1"/>
  <c r="E43" i="15"/>
  <c r="G43" i="15"/>
  <c r="I43" i="15" s="1"/>
  <c r="E14" i="15"/>
  <c r="G14" i="15"/>
  <c r="I14" i="15" s="1"/>
  <c r="E29" i="15"/>
  <c r="G29" i="15"/>
  <c r="I29" i="15" s="1"/>
  <c r="E33" i="15"/>
  <c r="G33" i="15"/>
  <c r="I33" i="15" s="1"/>
  <c r="E38" i="15"/>
  <c r="G38" i="15"/>
  <c r="I38" i="15" s="1"/>
  <c r="E36" i="15"/>
  <c r="G36" i="15"/>
  <c r="I36" i="15" s="1"/>
  <c r="E19" i="15"/>
  <c r="G19" i="15"/>
  <c r="I1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7" authorId="0" shapeId="0" xr:uid="{00000000-0006-0000-0000-000001000000}">
      <text>
        <r>
          <rPr>
            <i/>
            <sz val="12"/>
            <color indexed="81"/>
            <rFont val="Times New Roman"/>
            <family val="1"/>
          </rPr>
          <t>bless +1</t>
        </r>
      </text>
    </comment>
    <comment ref="E7" authorId="0" shapeId="0" xr:uid="{00000000-0006-0000-0000-000002000000}">
      <text>
        <r>
          <rPr>
            <sz val="12"/>
            <color indexed="81"/>
            <rFont val="Times New Roman"/>
            <family val="1"/>
          </rPr>
          <t>Fast Movement +10’</t>
        </r>
      </text>
    </comment>
    <comment ref="C8" authorId="0" shapeId="0" xr:uid="{00000000-0006-0000-0000-000003000000}">
      <text>
        <r>
          <rPr>
            <sz val="12"/>
            <color indexed="81"/>
            <rFont val="Times New Roman"/>
            <family val="1"/>
          </rPr>
          <t>Blooded +2
Improved Initiative +4</t>
        </r>
      </text>
    </comment>
    <comment ref="B9" authorId="0" shapeId="0" xr:uid="{0355C2CE-A1B4-406D-AECC-DCED0B239C0F}">
      <text>
        <r>
          <rPr>
            <sz val="12"/>
            <color indexed="81"/>
            <rFont val="Times New Roman"/>
            <family val="1"/>
          </rPr>
          <t>Poison -1</t>
        </r>
      </text>
    </comment>
    <comment ref="E9" authorId="0" shapeId="0" xr:uid="{92AD3B73-9DB9-4F11-86EF-5D0EBCA4CF0C}">
      <text>
        <r>
          <rPr>
            <sz val="12"/>
            <color indexed="81"/>
            <rFont val="Times New Roman"/>
            <family val="1"/>
          </rPr>
          <t>See PHB 162</t>
        </r>
      </text>
    </comment>
    <comment ref="E11" authorId="0" shapeId="0" xr:uid="{00000000-0006-0000-0000-000008000000}">
      <text>
        <r>
          <rPr>
            <sz val="12"/>
            <color indexed="81"/>
            <rFont val="Times New Roman"/>
            <family val="1"/>
          </rPr>
          <t>[(3 * 8 Scout) * 75%] + (3 * 1 Con)</t>
        </r>
      </text>
    </comment>
    <comment ref="E12" authorId="0" shapeId="0" xr:uid="{00000000-0006-0000-0000-000009000000}">
      <text>
        <r>
          <rPr>
            <sz val="12"/>
            <color indexed="81"/>
            <rFont val="Times New Roman"/>
            <family val="1"/>
          </rPr>
          <t xml:space="preserve">+3 if skirmishing
</t>
        </r>
        <r>
          <rPr>
            <i/>
            <sz val="12"/>
            <color indexed="81"/>
            <rFont val="Times New Roman"/>
            <family val="1"/>
          </rPr>
          <t>+1 haste</t>
        </r>
        <r>
          <rPr>
            <sz val="12"/>
            <color indexed="81"/>
            <rFont val="Times New Roman"/>
            <family val="1"/>
          </rPr>
          <t xml:space="preserve">
</t>
        </r>
        <r>
          <rPr>
            <i/>
            <sz val="12"/>
            <color indexed="81"/>
            <rFont val="Times New Roman"/>
            <family val="1"/>
          </rPr>
          <t>+3 shield of faith</t>
        </r>
      </text>
    </comment>
    <comment ref="B14" authorId="0" shapeId="0" xr:uid="{30F01C31-422E-4FD0-B5D9-0CC6C3F42BE5}">
      <text>
        <r>
          <rPr>
            <sz val="12"/>
            <color indexed="81"/>
            <rFont val="Times New Roman"/>
            <family val="1"/>
          </rPr>
          <t>-1 Poison</t>
        </r>
      </text>
    </comment>
    <comment ref="E14" authorId="0" shapeId="0" xr:uid="{00000000-0006-0000-0000-00000B000000}">
      <text>
        <r>
          <rPr>
            <sz val="12"/>
            <color indexed="81"/>
            <rFont val="Times New Roman"/>
            <family val="1"/>
          </rPr>
          <t>+3 if skirmishing
Uncanny Dodge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26" authorId="0" shapeId="0" xr:uid="{00000000-0006-0000-0100-000006000000}">
      <text>
        <r>
          <rPr>
            <sz val="12"/>
            <color indexed="81"/>
            <rFont val="Times New Roman"/>
            <family val="1"/>
          </rPr>
          <t>Survival synergy +2</t>
        </r>
      </text>
    </comment>
    <comment ref="F38" authorId="0" shapeId="0" xr:uid="{E11FD761-AC38-4F52-8510-3C450D375B75}">
      <text>
        <r>
          <rPr>
            <sz val="12"/>
            <color indexed="81"/>
            <rFont val="Times New Roman"/>
            <family val="1"/>
          </rPr>
          <t>Blooded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2971AD1A-479F-42E4-812D-7B893581F948}">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 ref="C2" authorId="0" shapeId="0" xr:uid="{00000000-0006-0000-0200-000002000000}">
      <text>
        <r>
          <rPr>
            <sz val="12"/>
            <color indexed="81"/>
            <rFont val="Times New Roman"/>
            <family val="1"/>
          </rPr>
          <t>A scout relies on mobility to deal extra damage and improve her defense.  She deals an extra 1d6 points of damage on all attacks she makes during any round in which she moves at least 10 feet.  The extra damage applies only to attacks taken during the scout’s turn.  This extra damage increases by 1d6 for every four levels gained above 1st (2d6 at 5th, 3d6 at 9th, 4d6 at 13th, and 5d6 at 17th level).
The extra damage only applies against living creatures that have a discernible anatomy.  Undead, constructs, oozes, plants, incorporeal creatures, and creatures immune to extra damage from critical hits are not vulnerable to this additional damage.  The scout must be able to see the target well eough to pick out a vital spot and must be able to reach such a spot.  Scouts can apply this extra damage to ranged attacks made while skirmishing, but only if the target is within 30 feet.
At 3rd level, a scout gains a +1 competence bonus to Armor Class during any round in which she moves at least 10 feet.  The bonus applies as soon as the scout has moved 10 feet, and lasts until the start of her next turn.  This bonus improves by 1 for every four levels gained above 3rd (+2 at 7th, +3 at 11th, +4 at 15th, and +5 at 19th level).
A scout loses this ability when wearing medium or heavy armor or when carrying a medium or heavy load.  If she gains the skirmish ability from another class, the bonuses stack.
Complete Adventurer 12</t>
        </r>
      </text>
    </comment>
    <comment ref="A3" authorId="0" shapeId="0" xr:uid="{A249FAA8-D6EF-48F6-9075-337408BE02DE}">
      <text>
        <r>
          <rPr>
            <sz val="12"/>
            <color indexed="81"/>
            <rFont val="Times New Roman"/>
            <family val="1"/>
          </rPr>
          <t xml:space="preserve">You know what it means to fight for your life, and the value of quick wits and quicker reactions when blades are bared and deadly spells chanted.  Enemies find it difficult to catch you off guard.
</t>
        </r>
        <r>
          <rPr>
            <b/>
            <sz val="12"/>
            <color indexed="81"/>
            <rFont val="Times New Roman"/>
            <family val="1"/>
          </rPr>
          <t xml:space="preserve">Benefit:  </t>
        </r>
        <r>
          <rPr>
            <sz val="12"/>
            <color indexed="81"/>
            <rFont val="Times New Roman"/>
            <family val="1"/>
          </rPr>
          <t>You get a +2 bonus on Initiative and a +2 bonus on all Spot checks.
FRCS 37</t>
        </r>
      </text>
    </comment>
    <comment ref="C3" authorId="0" shapeId="0" xr:uid="{00000000-0006-0000-0200-000004000000}">
      <text>
        <r>
          <rPr>
            <sz val="12"/>
            <color indexed="81"/>
            <rFont val="Times New Roman"/>
            <family val="1"/>
          </rPr>
          <t>Scouts (like rogues) can use the Search skill to locate traps when the task has a Difficulty Class higher than 20.
Finding a nonmagical trap has a DC of at least 20, or higher if it is well hidden.  Finding a magic trap has a DC of 25 + the level of the spell used to create it.
Scouts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4" authorId="0" shapeId="0" xr:uid="{C2098DC5-450C-42E8-B425-96726C99EC80}">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PHB 93</t>
        </r>
      </text>
    </comment>
    <comment ref="C4" authorId="0" shapeId="0" xr:uid="{00000000-0006-0000-0200-000006000000}">
      <text>
        <r>
          <rPr>
            <sz val="12"/>
            <color indexed="81"/>
            <rFont val="Times New Roman"/>
            <family val="1"/>
          </rPr>
          <t>At 2nd level, a scout gains a +1 competence bonus on Fortitude saves and Initiative checks. This bonus increases to +2 at 11th level and +3 at 20th level.  A scout loses this bonus when wearing medium or heavy armor or when carrying a medium or heavy load.
Complete Adventurer 13</t>
        </r>
      </text>
    </comment>
    <comment ref="A5" authorId="0" shapeId="0" xr:uid="{DCA8B84C-9F37-4D01-9AC2-2521828FEC01}">
      <text>
        <r>
          <rPr>
            <sz val="12"/>
            <color indexed="81"/>
            <rFont val="Times New Roman"/>
            <family val="1"/>
          </rPr>
          <t xml:space="preserve">You are skilled at dodging past opponents and avoiding blows.
</t>
        </r>
        <r>
          <rPr>
            <b/>
            <sz val="12"/>
            <color indexed="81"/>
            <rFont val="Times New Roman"/>
            <family val="1"/>
          </rPr>
          <t xml:space="preserve">Prerequisites: </t>
        </r>
        <r>
          <rPr>
            <sz val="12"/>
            <color indexed="81"/>
            <rFont val="Times New Roman"/>
            <family val="1"/>
          </rPr>
          <t xml:space="preserve">Dex 13, Dodge.
</t>
        </r>
        <r>
          <rPr>
            <b/>
            <sz val="12"/>
            <color indexed="81"/>
            <rFont val="Times New Roman"/>
            <family val="1"/>
          </rPr>
          <t xml:space="preserve">Benefit: </t>
        </r>
        <r>
          <rPr>
            <sz val="12"/>
            <color indexed="81"/>
            <rFont val="Times New Roman"/>
            <family val="1"/>
          </rPr>
          <t xml:space="preserve">You get a +4 dodge bonus to Armor Class against attacks of opportunity caused when you move out of or within a threatened area. A condition that makes you lose your Dexterity bonus to Armor Class (if any) also makes you lose dodge bonuses. Dodge bonuses (such as this one and a dwarf’s racial bonus on dodge attempts against giants) stack with each other, unlike most types of bonuses.
</t>
        </r>
        <r>
          <rPr>
            <b/>
            <sz val="12"/>
            <color indexed="81"/>
            <rFont val="Times New Roman"/>
            <family val="1"/>
          </rPr>
          <t xml:space="preserve">Special: </t>
        </r>
        <r>
          <rPr>
            <sz val="12"/>
            <color indexed="81"/>
            <rFont val="Times New Roman"/>
            <family val="1"/>
          </rPr>
          <t>A fighter may select Mobility as one of his fighter bonus feats (see page 38).
PHB 98</t>
        </r>
      </text>
    </comment>
    <comment ref="C5" authorId="0" shapeId="0" xr:uid="{8B49CDC3-6934-46F5-9924-AF7263DA5009}">
      <text>
        <r>
          <rPr>
            <sz val="12"/>
            <color indexed="81"/>
            <rFont val="Times New Roman"/>
            <family val="1"/>
          </rPr>
          <t>Starting at 2nd level, a scout cannot be caught flat-footed and reacts to danger before her senses would normally allow her to do so.  See the barbarian class feature, page 26 of the Player’s Handbook.
Complete Adventurer 13</t>
        </r>
      </text>
    </comment>
    <comment ref="C6" authorId="0" shapeId="0" xr:uid="{03E69E9C-A2CF-41A9-B0C4-794C0E0EDE05}">
      <text>
        <r>
          <rPr>
            <sz val="12"/>
            <color indexed="81"/>
            <rFont val="Times New Roman"/>
            <family val="1"/>
          </rPr>
          <t>Starting at 3rd level, a scout’s gains a +10 foot enhancement bonus to her base land speed.  At 11th level, this bonus increases to +20 feet.
See the monk class feature, page 41 of the Player’s Handbook.
A scout loses this benefit when wearing medium or heavy armor or when carrying a medium or heavy load.
Complete Adventurer 13</t>
        </r>
      </text>
    </comment>
    <comment ref="C7" authorId="0" shapeId="0" xr:uid="{8DC1A1BE-5654-46AA-99C6-F091DC1B7B95}">
      <text>
        <r>
          <rPr>
            <sz val="12"/>
            <color indexed="81"/>
            <rFont val="Times New Roman"/>
            <family val="1"/>
          </rPr>
          <t>Beginning at 3rd level, a scout cannot be tracked in natural surroundings.  See the druid class feature, page 36 of the Player’s Handbook.
Complete Adventurer 13</t>
        </r>
      </text>
    </comment>
    <comment ref="A8" authorId="0" shapeId="0" xr:uid="{00000000-0006-0000-0200-000015000000}">
      <text>
        <r>
          <rPr>
            <sz val="12"/>
            <color indexed="81"/>
            <rFont val="Times New Roman"/>
            <family val="1"/>
          </rPr>
          <t>All simple weapons, handaxe, throwing axe, short sword, and shortbow.</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1" authorId="0" shapeId="0" xr:uid="{00000000-0006-0000-0300-00000C00000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3" authorId="0" shapeId="0" xr:uid="{00000000-0006-0000-0400-000005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enchantment
</t>
        </r>
        <r>
          <rPr>
            <b/>
            <sz val="12"/>
            <color indexed="81"/>
            <rFont val="Times New Roman"/>
            <family val="1"/>
          </rPr>
          <t xml:space="preserve">Activation: </t>
        </r>
        <r>
          <rPr>
            <sz val="12"/>
            <color indexed="81"/>
            <rFont val="Times New Roman"/>
            <family val="1"/>
          </rPr>
          <t>Full-round (manipulation); see text
Weight: 6 lb.This woolen sleeping bag is embroidered with stars and moons in silver and blue thread, and it smells of lavender.
A magic bedroll grants you a comfortable and peaceful night’s sleep. As long as you lie in it, you gain the benefi t of an endure elements spell. After sleeping for 8 hours in the bedroll, you recover 1 hit point per character level, in addition to the hit points you recover normally. Getting into or out of a magic bedroll is a full-round action.
MIC 163</t>
        </r>
      </text>
    </comment>
    <comment ref="A14" authorId="0" shapeId="0" xr:uid="{00000000-0006-0000-0400-000006000000}">
      <text>
        <r>
          <rPr>
            <b/>
            <sz val="12"/>
            <color indexed="81"/>
            <rFont val="Times New Roman"/>
            <family val="1"/>
          </rPr>
          <t xml:space="preserve">Price (Item Level): </t>
        </r>
        <r>
          <rPr>
            <sz val="12"/>
            <color indexed="81"/>
            <rFont val="Times New Roman"/>
            <family val="1"/>
          </rPr>
          <t xml:space="preserve">200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This common-looking brown clay mug has persistent stains just under the rim.
Three times per day, when you recite the command word, this mug fi lls with 12 ounces of water, cheap ale, or watery wine (your choice).
MIC 160</t>
        </r>
      </text>
    </comment>
  </commentList>
</comments>
</file>

<file path=xl/sharedStrings.xml><?xml version="1.0" encoding="utf-8"?>
<sst xmlns="http://schemas.openxmlformats.org/spreadsheetml/2006/main" count="311" uniqueCount="186">
  <si>
    <t>Level</t>
  </si>
  <si>
    <t>Melee Weapon</t>
  </si>
  <si>
    <t>Qty.</t>
  </si>
  <si>
    <t>Ranged Weapon</t>
  </si>
  <si>
    <t>Dmg.</t>
  </si>
  <si>
    <t>Rng.</t>
  </si>
  <si>
    <t>Skills</t>
  </si>
  <si>
    <t>Hit Points:</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</si>
  <si>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</si>
  <si>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</si>
  <si>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</si>
  <si>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</si>
  <si>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</si>
  <si>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</si>
  <si>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</si>
  <si>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</si>
  <si>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</si>
  <si>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</si>
  <si>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</si>
  <si>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</si>
  <si>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</si>
  <si>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</si>
  <si>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</si>
  <si>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</si>
  <si>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</si>
  <si>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</si>
  <si>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</si>
  <si>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</si>
  <si>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</si>
  <si>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</si>
  <si>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</si>
  <si>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</si>
  <si>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</si>
  <si>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</si>
  <si>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</si>
  <si>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</si>
  <si>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</si>
  <si>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</si>
  <si>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</si>
  <si>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</si>
  <si>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</si>
  <si>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</si>
  <si>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</si>
  <si>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</si>
  <si>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</si>
  <si>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</si>
  <si>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</si>
  <si>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</si>
  <si>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</si>
  <si>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</si>
  <si>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</si>
  <si>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</si>
  <si>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</si>
  <si>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</si>
  <si>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</si>
  <si>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</si>
  <si>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</si>
  <si>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</si>
  <si>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</si>
  <si>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</si>
  <si>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</si>
  <si>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</si>
  <si>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Lb. Capacity:</t>
  </si>
  <si>
    <t>Lb. Carried:</t>
  </si>
  <si>
    <t>Languages</t>
  </si>
  <si>
    <t>Equipment Worn</t>
  </si>
  <si>
    <t>Item</t>
  </si>
  <si>
    <t>Effects/</t>
  </si>
  <si>
    <t>Notes</t>
  </si>
  <si>
    <t>Check</t>
  </si>
  <si>
    <t>Arcane</t>
  </si>
  <si>
    <t>Speed</t>
  </si>
  <si>
    <t>Sleight of Hand</t>
  </si>
  <si>
    <t>Survival</t>
  </si>
  <si>
    <t>Class Features</t>
  </si>
  <si>
    <t>Touch AC:</t>
  </si>
  <si>
    <t>Weapon Proficiencies</t>
  </si>
  <si>
    <t>Atk</t>
  </si>
  <si>
    <t>Feats</t>
  </si>
  <si>
    <t>1d6</t>
  </si>
  <si>
    <t>Roll</t>
  </si>
  <si>
    <t>Skill/Save</t>
  </si>
  <si>
    <t>FF AC:</t>
  </si>
  <si>
    <t>Male</t>
  </si>
  <si>
    <t>Perform:  [type]</t>
  </si>
  <si>
    <t>Profession:  [type]</t>
  </si>
  <si>
    <t>Scrolls and Potions</t>
  </si>
  <si>
    <t>CLev</t>
  </si>
  <si>
    <t>Human</t>
  </si>
  <si>
    <t>Trapfinding</t>
  </si>
  <si>
    <t>human</t>
  </si>
  <si>
    <t>1</t>
  </si>
  <si>
    <t>Value</t>
  </si>
  <si>
    <t>Equity on this page:</t>
  </si>
  <si>
    <t>Total Equity:</t>
  </si>
  <si>
    <t>Scout</t>
  </si>
  <si>
    <t>19-20/x2</t>
  </si>
  <si>
    <t>Backpack</t>
  </si>
  <si>
    <t>Pouch Belt</t>
  </si>
  <si>
    <t>scout 1</t>
  </si>
  <si>
    <t>scout 2</t>
  </si>
  <si>
    <t>scout 3</t>
  </si>
  <si>
    <t>Uncanny Dodge</t>
  </si>
  <si>
    <t>Trackless Step</t>
  </si>
  <si>
    <t>Scout Weapons</t>
  </si>
  <si>
    <t>Light Armor, No Shields</t>
  </si>
  <si>
    <t>Arrows</t>
  </si>
  <si>
    <t>-</t>
  </si>
  <si>
    <t>Knowledge:  Dungeoneering</t>
  </si>
  <si>
    <t>+1 within 30’</t>
  </si>
  <si>
    <t>Knowledge:  Nature</t>
  </si>
  <si>
    <t>Gold Pieces</t>
  </si>
  <si>
    <t>2</t>
  </si>
  <si>
    <t>Battle Fortitude +2</t>
  </si>
  <si>
    <t>40’</t>
  </si>
  <si>
    <t>AC:</t>
  </si>
  <si>
    <t>Thrown Weapon</t>
  </si>
  <si>
    <t>varies</t>
  </si>
  <si>
    <t>10’</t>
  </si>
  <si>
    <t>Magic Bedroll</t>
  </si>
  <si>
    <t xml:space="preserve">Leelusham </t>
  </si>
  <si>
    <t xml:space="preserve">‘Lee’ Moontracer </t>
  </si>
  <si>
    <t>Played by Ed</t>
  </si>
  <si>
    <t>Region</t>
  </si>
  <si>
    <t>Deity</t>
  </si>
  <si>
    <t>Race</t>
  </si>
  <si>
    <t>Class</t>
  </si>
  <si>
    <t>Alignment</t>
  </si>
  <si>
    <t>Attack Bonus</t>
  </si>
  <si>
    <t>Initiative</t>
  </si>
  <si>
    <t>Strength</t>
  </si>
  <si>
    <t>Dexterity</t>
  </si>
  <si>
    <t>Constitution</t>
  </si>
  <si>
    <t>Intelligence</t>
  </si>
  <si>
    <t>Wisdom</t>
  </si>
  <si>
    <t>Charisma</t>
  </si>
  <si>
    <t>Sex</t>
  </si>
  <si>
    <t>Base Speed</t>
  </si>
  <si>
    <t>30’</t>
  </si>
  <si>
    <t>Actual Speed</t>
  </si>
  <si>
    <t>Height</t>
  </si>
  <si>
    <t>Weight</t>
  </si>
  <si>
    <t>Age</t>
  </si>
  <si>
    <t>6’ 2”</t>
  </si>
  <si>
    <t>Lawful Good</t>
  </si>
  <si>
    <t xml:space="preserve">Dalelands </t>
  </si>
  <si>
    <r>
      <t>50</t>
    </r>
    <r>
      <rPr>
        <sz val="13"/>
        <rFont val="Times New Roman"/>
        <family val="1"/>
      </rPr>
      <t>/</t>
    </r>
    <r>
      <rPr>
        <sz val="13"/>
        <color indexed="51"/>
        <rFont val="Times New Roman"/>
        <family val="1"/>
      </rPr>
      <t>100</t>
    </r>
    <r>
      <rPr>
        <sz val="13"/>
        <rFont val="Times New Roman"/>
        <family val="1"/>
      </rPr>
      <t>/</t>
    </r>
    <r>
      <rPr>
        <sz val="13"/>
        <color indexed="10"/>
        <rFont val="Times New Roman"/>
        <family val="1"/>
      </rPr>
      <t>150</t>
    </r>
  </si>
  <si>
    <t>Skirmish +1d6; +1 AC</t>
  </si>
  <si>
    <t>Fast Movement +10’</t>
  </si>
  <si>
    <t>Craft:  Leatherworker</t>
  </si>
  <si>
    <t>Speak Language:  Sylvan</t>
  </si>
  <si>
    <t>Common, Halfling, Sylvan</t>
  </si>
  <si>
    <t>Regional:  Blooded</t>
  </si>
  <si>
    <t>Human:  Improved Initiative</t>
  </si>
  <si>
    <t>1st:  Dodge</t>
  </si>
  <si>
    <t>3rd:  Mobility</t>
  </si>
  <si>
    <t>205 lbs.</t>
  </si>
  <si>
    <t>Leather Armor</t>
  </si>
  <si>
    <t>MW Shortbow</t>
  </si>
  <si>
    <t>MW Handaxe</t>
  </si>
  <si>
    <t>x3</t>
  </si>
  <si>
    <t>Slashing</t>
  </si>
  <si>
    <t>60’</t>
  </si>
  <si>
    <t>Traveler’s Outfit</t>
  </si>
  <si>
    <t>Flint &amp; Steel</t>
  </si>
  <si>
    <t>Everfull Mug</t>
  </si>
  <si>
    <t>Trail Rations</t>
  </si>
  <si>
    <t>Silk Rope, 50’</t>
  </si>
  <si>
    <t>Winter Blanket</t>
  </si>
  <si>
    <t>Explorer’s Outfit</t>
  </si>
  <si>
    <t>Cold Weather Outfit</t>
  </si>
  <si>
    <t>five</t>
  </si>
  <si>
    <t>Canvas, sq. yd.</t>
  </si>
  <si>
    <t>Silver Pieces</t>
  </si>
  <si>
    <t>Mielikki</t>
  </si>
  <si>
    <t>Knowledge:  Geography</t>
  </si>
  <si>
    <t>Unarmed/Grapple</t>
  </si>
  <si>
    <t>1d3</t>
  </si>
  <si>
    <t>Equipment in Backpack</t>
  </si>
  <si>
    <r>
      <t xml:space="preserve">Potion of </t>
    </r>
    <r>
      <rPr>
        <i/>
        <sz val="12"/>
        <rFont val="Times New Roman"/>
        <family val="1"/>
      </rPr>
      <t>Cure Light Wounds</t>
    </r>
  </si>
  <si>
    <r>
      <t xml:space="preserve">Potion of </t>
    </r>
    <r>
      <rPr>
        <i/>
        <sz val="12"/>
        <rFont val="Times New Roman"/>
        <family val="1"/>
      </rPr>
      <t>Remove Paralysis</t>
    </r>
  </si>
  <si>
    <t>MW Short Sword</t>
  </si>
  <si>
    <t>Piercing</t>
  </si>
  <si>
    <t>Baldoor</t>
  </si>
  <si>
    <t>Kassuq</t>
  </si>
  <si>
    <t>Nihm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</si>
</sst>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3C0A]\ #,##0"/>
  </numFmts>
  <fonts count="57"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sz val="13"/>
      <color rgb="FF009900"/>
      <name val="Times New Roman"/>
      <family val="1"/>
    </font>
    <font>
      <i/>
      <sz val="12"/>
      <color indexed="81"/>
      <name val="Times New Roman"/>
      <family val="1"/>
    </font>
    <font>
      <sz val="13"/>
      <color rgb="FF0000FF"/>
      <name val="Times New Roman"/>
      <family val="1"/>
    </font>
    <font>
      <i/>
      <sz val="22"/>
      <color theme="9" tint="-0.249977111117893"/>
      <name val="Times New Roman"/>
      <family val="1"/>
    </font>
    <font>
      <b/>
      <sz val="13"/>
      <color rgb="FF00B0F0"/>
      <name val="Times New Roman"/>
      <family val="1"/>
    </font>
    <font>
      <i/>
      <sz val="12"/>
      <name val="Times New Roman"/>
      <family val="1"/>
    </font>
  </fonts>
  <fills count="18">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55"/>
      </patternFill>
    </fill>
    <fill>
      <patternFill patternType="solid">
        <fgColor rgb="FF009900"/>
        <bgColor indexed="64"/>
      </patternFill>
    </fill>
    <fill>
      <patternFill patternType="solid">
        <fgColor theme="1" tint="0.249977111117893"/>
        <bgColor indexed="64"/>
      </patternFill>
    </fill>
    <fill>
      <patternFill patternType="solid">
        <fgColor rgb="FFCCFFCC"/>
        <bgColor indexed="55"/>
      </patternFill>
    </fill>
    <fill>
      <patternFill patternType="solid">
        <fgColor rgb="FFFFFF00"/>
        <bgColor indexed="64"/>
      </patternFill>
    </fill>
  </fills>
  <borders count="106">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thin">
        <color indexed="64"/>
      </right>
      <top style="double">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top style="double">
        <color indexed="64"/>
      </top>
      <bottom style="thick">
        <color rgb="FF92D050"/>
      </bottom>
      <diagonal/>
    </border>
    <border>
      <left/>
      <right/>
      <top style="double">
        <color indexed="64"/>
      </top>
      <bottom style="thick">
        <color rgb="FF92D050"/>
      </bottom>
      <diagonal/>
    </border>
    <border>
      <left/>
      <right style="double">
        <color indexed="64"/>
      </right>
      <top style="double">
        <color indexed="64"/>
      </top>
      <bottom style="thick">
        <color rgb="FF92D050"/>
      </bottom>
      <diagonal/>
    </border>
    <border>
      <left style="double">
        <color indexed="64"/>
      </left>
      <right style="double">
        <color indexed="64"/>
      </right>
      <top/>
      <bottom style="hair">
        <color indexed="64"/>
      </bottom>
      <diagonal/>
    </border>
    <border>
      <left style="hair">
        <color indexed="64"/>
      </left>
      <right/>
      <top style="hair">
        <color indexed="64"/>
      </top>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double">
        <color indexed="64"/>
      </right>
      <top/>
      <bottom/>
      <diagonal/>
    </border>
    <border>
      <left style="hair">
        <color indexed="64"/>
      </left>
      <right style="hair">
        <color indexed="64"/>
      </right>
      <top style="medium">
        <color indexed="64"/>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double">
        <color indexed="64"/>
      </right>
      <top/>
      <bottom/>
      <diagonal/>
    </border>
    <border>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9"/>
      </top>
      <bottom/>
      <diagonal/>
    </border>
    <border>
      <left style="thin">
        <color indexed="64"/>
      </left>
      <right style="double">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s>
  <cellStyleXfs count="11">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7" fillId="0" borderId="0"/>
    <xf numFmtId="0" fontId="2" fillId="0" borderId="0"/>
    <xf numFmtId="0" fontId="2" fillId="0" borderId="0"/>
    <xf numFmtId="0" fontId="1" fillId="0" borderId="0"/>
    <xf numFmtId="9" fontId="2" fillId="0" borderId="0" applyFont="0" applyFill="0" applyBorder="0" applyAlignment="0" applyProtection="0"/>
  </cellStyleXfs>
  <cellXfs count="354">
    <xf numFmtId="0" fontId="0" fillId="0" borderId="0" xfId="0"/>
    <xf numFmtId="0" fontId="12" fillId="3" borderId="45" xfId="0" applyFont="1" applyFill="1" applyBorder="1" applyAlignment="1">
      <alignment horizontal="centerContinuous" vertical="center"/>
    </xf>
    <xf numFmtId="0" fontId="12" fillId="3" borderId="30" xfId="0" applyFont="1" applyFill="1" applyBorder="1" applyAlignment="1">
      <alignment horizontal="center" vertical="center"/>
    </xf>
    <xf numFmtId="0" fontId="12" fillId="3" borderId="30" xfId="0" applyFont="1" applyFill="1" applyBorder="1" applyAlignment="1">
      <alignment horizontal="center" vertical="center" wrapText="1"/>
    </xf>
    <xf numFmtId="0" fontId="12" fillId="3" borderId="30" xfId="0" applyNumberFormat="1" applyFont="1" applyFill="1" applyBorder="1" applyAlignment="1">
      <alignment horizontal="center" vertical="center" wrapText="1"/>
    </xf>
    <xf numFmtId="0" fontId="44" fillId="12" borderId="29" xfId="0" applyNumberFormat="1" applyFont="1" applyFill="1" applyBorder="1" applyAlignment="1">
      <alignment horizontal="center" vertical="center" wrapText="1"/>
    </xf>
    <xf numFmtId="0" fontId="12" fillId="3" borderId="30" xfId="0" applyNumberFormat="1" applyFont="1" applyFill="1" applyBorder="1" applyAlignment="1">
      <alignment horizontal="center" vertical="center"/>
    </xf>
    <xf numFmtId="0" fontId="12" fillId="3" borderId="46" xfId="0" applyFont="1" applyFill="1" applyBorder="1" applyAlignment="1">
      <alignment horizontal="center" vertical="center"/>
    </xf>
    <xf numFmtId="0" fontId="4" fillId="0" borderId="0" xfId="0" applyFont="1" applyBorder="1" applyAlignment="1">
      <alignment vertical="center"/>
    </xf>
    <xf numFmtId="0" fontId="48" fillId="0" borderId="23" xfId="0" applyFont="1" applyBorder="1" applyAlignment="1">
      <alignment horizontal="centerContinuous" vertical="center" wrapText="1"/>
    </xf>
    <xf numFmtId="0" fontId="49" fillId="0" borderId="23" xfId="0" applyFont="1" applyBorder="1" applyAlignment="1">
      <alignment horizontal="centerContinuous" vertical="center" wrapText="1"/>
    </xf>
    <xf numFmtId="0" fontId="2" fillId="0" borderId="34" xfId="0" applyFont="1" applyBorder="1" applyAlignment="1">
      <alignment horizontal="center" vertical="center" shrinkToFit="1"/>
    </xf>
    <xf numFmtId="1" fontId="46" fillId="12" borderId="53" xfId="0" applyNumberFormat="1" applyFont="1" applyFill="1" applyBorder="1" applyAlignment="1">
      <alignment horizontal="center" vertical="center"/>
    </xf>
    <xf numFmtId="0" fontId="2" fillId="0" borderId="32" xfId="0" applyFont="1" applyFill="1" applyBorder="1" applyAlignment="1">
      <alignment horizontal="center" vertical="center"/>
    </xf>
    <xf numFmtId="164" fontId="2" fillId="0" borderId="32" xfId="0" applyNumberFormat="1" applyFont="1" applyFill="1" applyBorder="1" applyAlignment="1">
      <alignment horizontal="center"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47" xfId="0" applyFont="1" applyFill="1" applyBorder="1" applyAlignment="1">
      <alignment horizontal="right" vertical="center"/>
    </xf>
    <xf numFmtId="0" fontId="6" fillId="4" borderId="48" xfId="0" applyFont="1" applyFill="1" applyBorder="1" applyAlignment="1">
      <alignment horizontal="right" vertical="center"/>
    </xf>
    <xf numFmtId="49" fontId="7" fillId="0" borderId="49" xfId="0" applyNumberFormat="1" applyFont="1" applyFill="1" applyBorder="1" applyAlignment="1">
      <alignment horizontal="center" vertical="center"/>
    </xf>
    <xf numFmtId="0" fontId="7" fillId="0" borderId="0" xfId="0" applyFont="1" applyBorder="1" applyAlignment="1">
      <alignment horizontal="left" vertical="center"/>
    </xf>
    <xf numFmtId="0" fontId="4" fillId="4" borderId="6" xfId="0" applyFont="1" applyFill="1" applyBorder="1" applyAlignment="1">
      <alignment horizontal="right" vertical="center"/>
    </xf>
    <xf numFmtId="0" fontId="8" fillId="2" borderId="8" xfId="0" applyFont="1" applyFill="1" applyBorder="1" applyAlignment="1">
      <alignment horizontal="right" vertical="center"/>
    </xf>
    <xf numFmtId="0" fontId="26" fillId="0" borderId="9" xfId="0" applyNumberFormat="1" applyFont="1" applyBorder="1" applyAlignment="1">
      <alignment horizontal="center" vertical="center"/>
    </xf>
    <xf numFmtId="0" fontId="8" fillId="4" borderId="42"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9" xfId="0" applyNumberFormat="1" applyFont="1" applyBorder="1" applyAlignment="1">
      <alignment horizontal="center" vertical="center"/>
    </xf>
    <xf numFmtId="0" fontId="8" fillId="4" borderId="41" xfId="0" applyFont="1" applyFill="1" applyBorder="1" applyAlignment="1">
      <alignment horizontal="right" vertical="center"/>
    </xf>
    <xf numFmtId="164" fontId="6" fillId="8" borderId="21" xfId="0" applyNumberFormat="1" applyFont="1" applyFill="1" applyBorder="1" applyAlignment="1">
      <alignment horizontal="center"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38" fillId="2" borderId="4" xfId="0" applyFont="1" applyFill="1" applyBorder="1" applyAlignment="1">
      <alignment horizontal="right" vertical="center"/>
    </xf>
    <xf numFmtId="0" fontId="11" fillId="4" borderId="41" xfId="0" applyFont="1" applyFill="1" applyBorder="1" applyAlignment="1">
      <alignment horizontal="right" vertical="center"/>
    </xf>
    <xf numFmtId="0" fontId="22" fillId="2" borderId="4" xfId="0" applyFont="1" applyFill="1" applyBorder="1" applyAlignment="1">
      <alignment horizontal="righ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25" fillId="0" borderId="16"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1" fillId="0" borderId="1" xfId="0" applyFont="1" applyFill="1" applyBorder="1" applyAlignment="1">
      <alignment vertical="center"/>
    </xf>
    <xf numFmtId="0" fontId="6" fillId="0" borderId="17" xfId="0" applyFont="1" applyFill="1" applyBorder="1" applyAlignment="1">
      <alignment horizontal="center" vertical="center"/>
    </xf>
    <xf numFmtId="0" fontId="7" fillId="0" borderId="17" xfId="0" applyFont="1" applyFill="1" applyBorder="1" applyAlignment="1">
      <alignment horizontal="center" vertical="center"/>
    </xf>
    <xf numFmtId="1" fontId="7" fillId="0" borderId="17" xfId="0" applyNumberFormat="1" applyFont="1" applyFill="1" applyBorder="1" applyAlignment="1">
      <alignment horizontal="center" vertical="center" wrapText="1"/>
    </xf>
    <xf numFmtId="0" fontId="39" fillId="12" borderId="18" xfId="0" applyNumberFormat="1" applyFont="1" applyFill="1" applyBorder="1" applyAlignment="1">
      <alignment horizontal="center" vertical="center"/>
    </xf>
    <xf numFmtId="0" fontId="7" fillId="0" borderId="2" xfId="0" quotePrefix="1" applyFont="1" applyFill="1" applyBorder="1" applyAlignment="1">
      <alignment horizontal="center" vertical="center"/>
    </xf>
    <xf numFmtId="0" fontId="43" fillId="0" borderId="1" xfId="0" applyFont="1" applyFill="1" applyBorder="1" applyAlignment="1">
      <alignment vertical="center"/>
    </xf>
    <xf numFmtId="0" fontId="42" fillId="0" borderId="24" xfId="0" applyFont="1" applyFill="1" applyBorder="1" applyAlignment="1">
      <alignment vertical="center"/>
    </xf>
    <xf numFmtId="0" fontId="6" fillId="0" borderId="37" xfId="0" applyFont="1" applyFill="1" applyBorder="1" applyAlignment="1">
      <alignment horizontal="center" vertical="center"/>
    </xf>
    <xf numFmtId="0" fontId="7" fillId="0" borderId="37" xfId="0" applyFont="1" applyFill="1" applyBorder="1" applyAlignment="1">
      <alignment horizontal="center" vertical="center"/>
    </xf>
    <xf numFmtId="1" fontId="7" fillId="0" borderId="37" xfId="0" applyNumberFormat="1" applyFont="1" applyFill="1" applyBorder="1" applyAlignment="1">
      <alignment horizontal="center" vertical="center" wrapText="1"/>
    </xf>
    <xf numFmtId="0" fontId="39" fillId="12" borderId="37" xfId="0" applyNumberFormat="1" applyFont="1" applyFill="1" applyBorder="1" applyAlignment="1">
      <alignment horizontal="center" vertical="center"/>
    </xf>
    <xf numFmtId="0" fontId="7" fillId="0" borderId="25" xfId="0" quotePrefix="1" applyFont="1" applyFill="1" applyBorder="1" applyAlignment="1">
      <alignment horizontal="center" vertical="center"/>
    </xf>
    <xf numFmtId="0" fontId="11" fillId="0" borderId="1" xfId="0" applyFont="1" applyFill="1" applyBorder="1" applyAlignment="1">
      <alignment vertical="center"/>
    </xf>
    <xf numFmtId="0" fontId="7" fillId="0" borderId="17" xfId="0" applyNumberFormat="1" applyFont="1" applyFill="1" applyBorder="1" applyAlignment="1">
      <alignment horizontal="center" vertical="center"/>
    </xf>
    <xf numFmtId="49" fontId="16" fillId="0" borderId="17" xfId="0" applyNumberFormat="1" applyFont="1" applyFill="1" applyBorder="1" applyAlignment="1">
      <alignment horizontal="center" vertical="center"/>
    </xf>
    <xf numFmtId="0" fontId="16" fillId="0" borderId="18" xfId="0" applyNumberFormat="1" applyFont="1" applyFill="1" applyBorder="1" applyAlignment="1">
      <alignment horizontal="center" vertical="center"/>
    </xf>
    <xf numFmtId="0" fontId="7" fillId="0" borderId="18" xfId="0" applyNumberFormat="1" applyFont="1" applyFill="1" applyBorder="1" applyAlignment="1">
      <alignment horizontal="center" vertical="center"/>
    </xf>
    <xf numFmtId="49" fontId="7" fillId="0" borderId="18" xfId="0" applyNumberFormat="1" applyFont="1" applyFill="1" applyBorder="1" applyAlignment="1">
      <alignment horizontal="center" vertical="center"/>
    </xf>
    <xf numFmtId="0" fontId="7" fillId="0" borderId="19" xfId="0" applyNumberFormat="1" applyFont="1" applyFill="1" applyBorder="1" applyAlignment="1">
      <alignment horizontal="center" vertical="center"/>
    </xf>
    <xf numFmtId="0" fontId="19" fillId="0" borderId="0" xfId="0" applyFont="1" applyBorder="1" applyAlignment="1">
      <alignment vertical="center"/>
    </xf>
    <xf numFmtId="0" fontId="13" fillId="9" borderId="1" xfId="0" applyFont="1" applyFill="1" applyBorder="1" applyAlignment="1">
      <alignment vertical="center"/>
    </xf>
    <xf numFmtId="0" fontId="7" fillId="9" borderId="17" xfId="0" applyNumberFormat="1" applyFont="1" applyFill="1" applyBorder="1" applyAlignment="1">
      <alignment horizontal="center" vertical="center"/>
    </xf>
    <xf numFmtId="49" fontId="24" fillId="9" borderId="17" xfId="0" applyNumberFormat="1" applyFont="1" applyFill="1" applyBorder="1" applyAlignment="1">
      <alignment horizontal="center" vertical="center"/>
    </xf>
    <xf numFmtId="0" fontId="24" fillId="9" borderId="18" xfId="0" applyNumberFormat="1" applyFont="1" applyFill="1" applyBorder="1" applyAlignment="1">
      <alignment horizontal="center" vertical="center"/>
    </xf>
    <xf numFmtId="49" fontId="7" fillId="9" borderId="18" xfId="0" applyNumberFormat="1" applyFont="1" applyFill="1" applyBorder="1" applyAlignment="1">
      <alignment horizontal="center" vertical="center"/>
    </xf>
    <xf numFmtId="0" fontId="7" fillId="9" borderId="19" xfId="0" applyNumberFormat="1" applyFont="1" applyFill="1" applyBorder="1" applyAlignment="1">
      <alignment horizontal="center"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17" xfId="0" applyNumberFormat="1" applyFont="1" applyFill="1" applyBorder="1" applyAlignment="1">
      <alignment horizontal="center" vertical="center"/>
    </xf>
    <xf numFmtId="0" fontId="23" fillId="0" borderId="18"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11" fillId="5" borderId="1" xfId="0" applyFont="1" applyFill="1" applyBorder="1" applyAlignment="1">
      <alignment vertical="center"/>
    </xf>
    <xf numFmtId="0" fontId="7" fillId="5" borderId="17" xfId="0" applyNumberFormat="1" applyFont="1" applyFill="1" applyBorder="1" applyAlignment="1">
      <alignment horizontal="center" vertical="center"/>
    </xf>
    <xf numFmtId="49" fontId="16" fillId="5" borderId="17" xfId="0" applyNumberFormat="1" applyFont="1" applyFill="1" applyBorder="1" applyAlignment="1">
      <alignment horizontal="center" vertical="center"/>
    </xf>
    <xf numFmtId="0" fontId="16" fillId="5" borderId="18" xfId="0" applyNumberFormat="1" applyFont="1" applyFill="1" applyBorder="1" applyAlignment="1">
      <alignment horizontal="center" vertical="center"/>
    </xf>
    <xf numFmtId="49" fontId="7" fillId="5" borderId="18" xfId="0" applyNumberFormat="1" applyFont="1" applyFill="1" applyBorder="1" applyAlignment="1">
      <alignment horizontal="center" vertical="center"/>
    </xf>
    <xf numFmtId="0" fontId="7" fillId="5" borderId="19" xfId="0" applyNumberFormat="1" applyFont="1" applyFill="1" applyBorder="1" applyAlignment="1">
      <alignment horizontal="center" vertical="center"/>
    </xf>
    <xf numFmtId="0" fontId="31" fillId="0" borderId="0" xfId="0" applyFont="1" applyBorder="1" applyAlignment="1">
      <alignment vertical="center"/>
    </xf>
    <xf numFmtId="0" fontId="7" fillId="0" borderId="19" xfId="0" quotePrefix="1" applyNumberFormat="1" applyFont="1" applyFill="1" applyBorder="1" applyAlignment="1">
      <alignment horizontal="center" vertical="center"/>
    </xf>
    <xf numFmtId="0" fontId="11" fillId="9" borderId="1" xfId="0" applyFont="1" applyFill="1" applyBorder="1" applyAlignment="1">
      <alignment vertical="center"/>
    </xf>
    <xf numFmtId="49" fontId="16" fillId="9" borderId="17" xfId="0" applyNumberFormat="1" applyFont="1" applyFill="1" applyBorder="1" applyAlignment="1">
      <alignment horizontal="center" vertical="center"/>
    </xf>
    <xf numFmtId="0" fontId="16" fillId="9" borderId="18" xfId="0" applyNumberFormat="1" applyFont="1" applyFill="1" applyBorder="1" applyAlignment="1">
      <alignment horizontal="center" vertical="center"/>
    </xf>
    <xf numFmtId="0" fontId="11" fillId="6" borderId="1" xfId="0" applyFont="1" applyFill="1" applyBorder="1" applyAlignment="1">
      <alignment vertical="center"/>
    </xf>
    <xf numFmtId="0" fontId="7" fillId="6" borderId="17" xfId="0" applyNumberFormat="1" applyFont="1" applyFill="1" applyBorder="1" applyAlignment="1">
      <alignment horizontal="center" vertical="center"/>
    </xf>
    <xf numFmtId="49" fontId="16" fillId="6" borderId="17" xfId="0" applyNumberFormat="1" applyFont="1" applyFill="1" applyBorder="1" applyAlignment="1">
      <alignment horizontal="center" vertical="center"/>
    </xf>
    <xf numFmtId="0" fontId="16" fillId="6" borderId="18" xfId="0" applyNumberFormat="1" applyFont="1" applyFill="1" applyBorder="1" applyAlignment="1">
      <alignment horizontal="center" vertical="center"/>
    </xf>
    <xf numFmtId="49" fontId="7" fillId="6" borderId="18" xfId="0" applyNumberFormat="1" applyFont="1" applyFill="1" applyBorder="1" applyAlignment="1">
      <alignment horizontal="center" vertical="center"/>
    </xf>
    <xf numFmtId="0" fontId="7" fillId="6" borderId="19"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17" xfId="0" applyNumberFormat="1" applyFont="1" applyFill="1" applyBorder="1" applyAlignment="1">
      <alignment horizontal="center" vertical="center"/>
    </xf>
    <xf numFmtId="0" fontId="28" fillId="0" borderId="18" xfId="0" applyNumberFormat="1" applyFont="1" applyFill="1" applyBorder="1" applyAlignment="1">
      <alignment horizontal="center" vertical="center"/>
    </xf>
    <xf numFmtId="0" fontId="14" fillId="6" borderId="1" xfId="0" applyFont="1" applyFill="1" applyBorder="1" applyAlignment="1">
      <alignment vertical="center"/>
    </xf>
    <xf numFmtId="49" fontId="23" fillId="7" borderId="17" xfId="0" applyNumberFormat="1" applyFont="1" applyFill="1" applyBorder="1" applyAlignment="1">
      <alignment horizontal="center" vertical="center"/>
    </xf>
    <xf numFmtId="0" fontId="23" fillId="7" borderId="18" xfId="0" applyNumberFormat="1" applyFont="1" applyFill="1" applyBorder="1" applyAlignment="1">
      <alignment horizontal="center" vertical="center"/>
    </xf>
    <xf numFmtId="0" fontId="11" fillId="10" borderId="1" xfId="0" applyFont="1" applyFill="1" applyBorder="1" applyAlignment="1">
      <alignment vertical="center"/>
    </xf>
    <xf numFmtId="0" fontId="7" fillId="10" borderId="17" xfId="0" applyNumberFormat="1" applyFont="1" applyFill="1" applyBorder="1" applyAlignment="1">
      <alignment horizontal="center" vertical="center"/>
    </xf>
    <xf numFmtId="49" fontId="16" fillId="10" borderId="17" xfId="0" applyNumberFormat="1" applyFont="1" applyFill="1" applyBorder="1" applyAlignment="1">
      <alignment horizontal="center" vertical="center"/>
    </xf>
    <xf numFmtId="0" fontId="16" fillId="10" borderId="18" xfId="0" applyNumberFormat="1" applyFont="1" applyFill="1" applyBorder="1" applyAlignment="1">
      <alignment horizontal="center" vertical="center"/>
    </xf>
    <xf numFmtId="49" fontId="7" fillId="10" borderId="18" xfId="0" applyNumberFormat="1" applyFont="1" applyFill="1" applyBorder="1" applyAlignment="1">
      <alignment horizontal="center" vertical="center"/>
    </xf>
    <xf numFmtId="0" fontId="7" fillId="10" borderId="19" xfId="0" applyNumberFormat="1" applyFont="1" applyFill="1" applyBorder="1" applyAlignment="1">
      <alignment horizontal="center" vertical="center"/>
    </xf>
    <xf numFmtId="0" fontId="13" fillId="5" borderId="1" xfId="0" applyFont="1" applyFill="1" applyBorder="1" applyAlignment="1">
      <alignment vertical="center"/>
    </xf>
    <xf numFmtId="49" fontId="24" fillId="5" borderId="17" xfId="0" applyNumberFormat="1" applyFont="1" applyFill="1" applyBorder="1" applyAlignment="1">
      <alignment horizontal="center" vertical="center"/>
    </xf>
    <xf numFmtId="0" fontId="24" fillId="5" borderId="18" xfId="0" applyNumberFormat="1" applyFont="1" applyFill="1" applyBorder="1" applyAlignment="1">
      <alignment horizontal="center" vertical="center"/>
    </xf>
    <xf numFmtId="0" fontId="14" fillId="10" borderId="1" xfId="0" applyFont="1" applyFill="1" applyBorder="1" applyAlignment="1">
      <alignment vertical="center"/>
    </xf>
    <xf numFmtId="49" fontId="28" fillId="10" borderId="17" xfId="0" applyNumberFormat="1" applyFont="1" applyFill="1" applyBorder="1" applyAlignment="1">
      <alignment horizontal="center" vertical="center"/>
    </xf>
    <xf numFmtId="0" fontId="28" fillId="10" borderId="18" xfId="0" applyNumberFormat="1" applyFont="1" applyFill="1" applyBorder="1" applyAlignment="1">
      <alignment horizontal="center" vertical="center"/>
    </xf>
    <xf numFmtId="49" fontId="7" fillId="13" borderId="18" xfId="0" applyNumberFormat="1" applyFont="1" applyFill="1" applyBorder="1" applyAlignment="1">
      <alignment horizontal="center" vertical="center"/>
    </xf>
    <xf numFmtId="0" fontId="7" fillId="10" borderId="19" xfId="0" quotePrefix="1" applyNumberFormat="1" applyFont="1" applyFill="1" applyBorder="1" applyAlignment="1">
      <alignment horizontal="center" vertical="center"/>
    </xf>
    <xf numFmtId="0" fontId="14" fillId="5" borderId="1" xfId="0" applyFont="1" applyFill="1" applyBorder="1" applyAlignment="1">
      <alignment vertical="center"/>
    </xf>
    <xf numFmtId="49" fontId="23" fillId="5" borderId="17" xfId="0" applyNumberFormat="1" applyFont="1" applyFill="1" applyBorder="1" applyAlignment="1">
      <alignment horizontal="center" vertical="center"/>
    </xf>
    <xf numFmtId="0" fontId="23" fillId="5" borderId="18" xfId="0" applyNumberFormat="1" applyFont="1" applyFill="1" applyBorder="1" applyAlignment="1">
      <alignment horizontal="center" vertical="center"/>
    </xf>
    <xf numFmtId="0" fontId="39" fillId="12" borderId="36" xfId="0" applyNumberFormat="1"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NumberFormat="1" applyFont="1" applyBorder="1" applyAlignment="1">
      <alignment horizontal="left" vertical="center"/>
    </xf>
    <xf numFmtId="0" fontId="2" fillId="0" borderId="0" xfId="0" applyFont="1" applyBorder="1" applyAlignment="1">
      <alignment horizontal="left" vertical="center"/>
    </xf>
    <xf numFmtId="0" fontId="47" fillId="0" borderId="23" xfId="0" applyFont="1" applyBorder="1" applyAlignment="1">
      <alignment horizontal="centerContinuous" vertical="center"/>
    </xf>
    <xf numFmtId="0" fontId="7" fillId="0" borderId="0" xfId="0" applyFont="1" applyBorder="1" applyAlignment="1">
      <alignment vertical="center" wrapText="1"/>
    </xf>
    <xf numFmtId="0" fontId="50" fillId="0" borderId="28" xfId="0" applyFont="1" applyFill="1" applyBorder="1" applyAlignment="1">
      <alignment horizontal="centerContinuous" vertical="center" shrinkToFit="1"/>
    </xf>
    <xf numFmtId="0" fontId="50" fillId="0" borderId="28" xfId="0" applyFont="1" applyFill="1" applyBorder="1" applyAlignment="1">
      <alignment horizontal="centerContinuous" vertical="center"/>
    </xf>
    <xf numFmtId="0" fontId="7" fillId="0" borderId="0" xfId="0" applyFont="1" applyBorder="1" applyAlignment="1">
      <alignment horizontal="left" vertical="center" wrapText="1"/>
    </xf>
    <xf numFmtId="0" fontId="27" fillId="0" borderId="28" xfId="0" applyFont="1" applyFill="1" applyBorder="1" applyAlignment="1">
      <alignment horizontal="centerContinuous" vertical="center" shrinkToFit="1"/>
    </xf>
    <xf numFmtId="0" fontId="7" fillId="0" borderId="39" xfId="0" applyFont="1" applyFill="1" applyBorder="1" applyAlignment="1">
      <alignment horizontal="centerContinuous" vertical="center"/>
    </xf>
    <xf numFmtId="0" fontId="51" fillId="0" borderId="28" xfId="0" applyFont="1" applyFill="1" applyBorder="1" applyAlignment="1">
      <alignment horizontal="centerContinuous" vertical="center" shrinkToFit="1"/>
    </xf>
    <xf numFmtId="0" fontId="6" fillId="0" borderId="0" xfId="0" applyFont="1" applyBorder="1" applyAlignment="1">
      <alignment horizontal="right" vertical="center" wrapText="1"/>
    </xf>
    <xf numFmtId="0" fontId="7" fillId="0" borderId="44" xfId="0" applyFont="1" applyFill="1" applyBorder="1" applyAlignment="1">
      <alignment horizontal="centerContinuous" vertical="center"/>
    </xf>
    <xf numFmtId="0" fontId="3" fillId="0" borderId="0" xfId="0" applyFont="1" applyBorder="1" applyAlignment="1">
      <alignment horizontal="centerContinuous" vertical="center"/>
    </xf>
    <xf numFmtId="0" fontId="21" fillId="11" borderId="10" xfId="0" applyFont="1" applyFill="1" applyBorder="1" applyAlignment="1">
      <alignment horizontal="center" vertical="center"/>
    </xf>
    <xf numFmtId="0" fontId="21" fillId="11" borderId="11" xfId="0" applyFont="1" applyFill="1" applyBorder="1" applyAlignment="1">
      <alignment horizontal="center" vertical="center"/>
    </xf>
    <xf numFmtId="49" fontId="21" fillId="11" borderId="11" xfId="0" applyNumberFormat="1" applyFont="1" applyFill="1" applyBorder="1" applyAlignment="1">
      <alignment horizontal="center" vertical="center"/>
    </xf>
    <xf numFmtId="0" fontId="21" fillId="11" borderId="15" xfId="0" applyFont="1" applyFill="1" applyBorder="1" applyAlignment="1">
      <alignment horizontal="center" vertical="center"/>
    </xf>
    <xf numFmtId="0" fontId="45" fillId="12" borderId="67" xfId="0" applyFont="1" applyFill="1" applyBorder="1" applyAlignment="1">
      <alignment horizontal="center" vertical="center"/>
    </xf>
    <xf numFmtId="0" fontId="21" fillId="11" borderId="50" xfId="0" applyFont="1" applyFill="1" applyBorder="1" applyAlignment="1">
      <alignment horizontal="center" vertical="center"/>
    </xf>
    <xf numFmtId="0" fontId="21" fillId="11" borderId="12" xfId="0" applyFont="1" applyFill="1" applyBorder="1" applyAlignment="1">
      <alignment horizontal="center" vertical="center"/>
    </xf>
    <xf numFmtId="0" fontId="21" fillId="11" borderId="23" xfId="0" applyFont="1" applyFill="1" applyBorder="1" applyAlignment="1">
      <alignment horizontal="center" vertical="center"/>
    </xf>
    <xf numFmtId="0" fontId="5" fillId="0" borderId="0" xfId="0" applyFont="1" applyBorder="1" applyAlignment="1">
      <alignment horizontal="center" vertical="center"/>
    </xf>
    <xf numFmtId="164" fontId="5" fillId="0" borderId="0" xfId="0" applyNumberFormat="1" applyFont="1" applyBorder="1" applyAlignment="1">
      <alignment horizontal="center" vertical="center"/>
    </xf>
    <xf numFmtId="0" fontId="21" fillId="11" borderId="15" xfId="0" applyFont="1" applyFill="1" applyBorder="1" applyAlignment="1">
      <alignment horizontal="centerContinuous" vertical="center"/>
    </xf>
    <xf numFmtId="0" fontId="21" fillId="11" borderId="50" xfId="0" applyFont="1" applyFill="1" applyBorder="1" applyAlignment="1">
      <alignment horizontal="centerContinuous" vertical="center"/>
    </xf>
    <xf numFmtId="0" fontId="21" fillId="11" borderId="40" xfId="0" applyFont="1" applyFill="1" applyBorder="1" applyAlignment="1">
      <alignment horizontal="centerContinuous" vertical="center"/>
    </xf>
    <xf numFmtId="164" fontId="2" fillId="0" borderId="51" xfId="0" applyNumberFormat="1" applyFont="1" applyFill="1" applyBorder="1" applyAlignment="1">
      <alignment horizontal="centerContinuous" vertical="center"/>
    </xf>
    <xf numFmtId="0" fontId="5" fillId="0" borderId="52" xfId="0" quotePrefix="1" applyFont="1" applyBorder="1" applyAlignment="1">
      <alignment horizontal="centerContinuous" vertical="center"/>
    </xf>
    <xf numFmtId="0" fontId="2" fillId="0" borderId="55" xfId="0" applyFont="1" applyFill="1" applyBorder="1" applyAlignment="1">
      <alignment horizontal="centerContinuous" vertical="center"/>
    </xf>
    <xf numFmtId="0" fontId="18" fillId="0" borderId="0" xfId="0" applyFont="1" applyBorder="1" applyAlignment="1">
      <alignment horizontal="right" vertical="center"/>
    </xf>
    <xf numFmtId="0" fontId="21" fillId="11" borderId="13" xfId="0" applyFont="1" applyFill="1" applyBorder="1" applyAlignment="1">
      <alignment horizontal="centerContinuous" vertical="center"/>
    </xf>
    <xf numFmtId="0" fontId="21" fillId="11" borderId="14" xfId="0" applyFont="1" applyFill="1" applyBorder="1" applyAlignment="1">
      <alignment horizontal="centerContinuous" vertical="center"/>
    </xf>
    <xf numFmtId="0" fontId="2" fillId="0" borderId="64" xfId="0" applyFont="1" applyFill="1" applyBorder="1" applyAlignment="1">
      <alignment horizontal="centerContinuous" vertical="center"/>
    </xf>
    <xf numFmtId="0" fontId="2" fillId="0" borderId="65" xfId="0" applyFont="1" applyFill="1" applyBorder="1" applyAlignment="1">
      <alignment horizontal="centerContinuous" vertical="center"/>
    </xf>
    <xf numFmtId="49" fontId="2" fillId="0" borderId="65" xfId="0" applyNumberFormat="1" applyFont="1" applyFill="1" applyBorder="1" applyAlignment="1">
      <alignment horizontal="centerContinuous" vertical="center"/>
    </xf>
    <xf numFmtId="0" fontId="5" fillId="0" borderId="66" xfId="0" applyFont="1" applyFill="1" applyBorder="1" applyAlignment="1">
      <alignment horizontal="centerContinuous" vertical="center"/>
    </xf>
    <xf numFmtId="0" fontId="2" fillId="0" borderId="0" xfId="0" applyFont="1" applyBorder="1" applyAlignment="1">
      <alignment horizontal="center" vertical="center"/>
    </xf>
    <xf numFmtId="0" fontId="2" fillId="0" borderId="63" xfId="0" applyFont="1" applyFill="1" applyBorder="1" applyAlignment="1">
      <alignment horizontal="centerContinuous" vertical="center"/>
    </xf>
    <xf numFmtId="0" fontId="2" fillId="0" borderId="54" xfId="0" applyFont="1" applyFill="1" applyBorder="1" applyAlignment="1">
      <alignment horizontal="centerContinuous" vertical="center"/>
    </xf>
    <xf numFmtId="49" fontId="2" fillId="0" borderId="54" xfId="0" applyNumberFormat="1" applyFont="1" applyFill="1" applyBorder="1" applyAlignment="1">
      <alignment horizontal="centerContinuous" vertical="center"/>
    </xf>
    <xf numFmtId="0" fontId="5" fillId="0" borderId="55" xfId="0" applyFont="1" applyFill="1" applyBorder="1" applyAlignment="1">
      <alignment horizontal="centerContinuous" vertical="center"/>
    </xf>
    <xf numFmtId="0" fontId="21" fillId="11" borderId="67" xfId="0" applyFont="1" applyFill="1" applyBorder="1" applyAlignment="1">
      <alignment horizontal="center" vertical="center"/>
    </xf>
    <xf numFmtId="0" fontId="2" fillId="0" borderId="64" xfId="0" applyFont="1" applyFill="1" applyBorder="1" applyAlignment="1">
      <alignment horizontal="centerContinuous" vertical="center" shrinkToFit="1"/>
    </xf>
    <xf numFmtId="0" fontId="21" fillId="0" borderId="65" xfId="0" applyFont="1" applyFill="1" applyBorder="1" applyAlignment="1">
      <alignment horizontal="centerContinuous" vertical="center"/>
    </xf>
    <xf numFmtId="0" fontId="2" fillId="0" borderId="66" xfId="0" applyFont="1" applyFill="1" applyBorder="1" applyAlignment="1">
      <alignment horizontal="centerContinuous" vertical="center"/>
    </xf>
    <xf numFmtId="0" fontId="2" fillId="0" borderId="76" xfId="0" applyFont="1" applyFill="1" applyBorder="1" applyAlignment="1">
      <alignment horizontal="centerContinuous" vertical="center" shrinkToFit="1"/>
    </xf>
    <xf numFmtId="0" fontId="21" fillId="0" borderId="51" xfId="0" applyFont="1" applyFill="1" applyBorder="1" applyAlignment="1">
      <alignment horizontal="centerContinuous" vertical="center"/>
    </xf>
    <xf numFmtId="0" fontId="2" fillId="0" borderId="52"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21" fillId="3" borderId="29" xfId="0" applyFont="1" applyFill="1" applyBorder="1" applyAlignment="1">
      <alignment horizontal="center" vertical="center"/>
    </xf>
    <xf numFmtId="164" fontId="21" fillId="3" borderId="30" xfId="0" applyNumberFormat="1" applyFont="1" applyFill="1" applyBorder="1" applyAlignment="1">
      <alignment horizontal="center" vertical="center"/>
    </xf>
    <xf numFmtId="0" fontId="21" fillId="3" borderId="29" xfId="0" applyFont="1" applyFill="1" applyBorder="1" applyAlignment="1">
      <alignment horizontal="right" vertical="center"/>
    </xf>
    <xf numFmtId="0" fontId="21" fillId="3" borderId="31" xfId="0" applyFont="1" applyFill="1" applyBorder="1" applyAlignment="1">
      <alignment vertical="center"/>
    </xf>
    <xf numFmtId="0" fontId="2" fillId="0" borderId="60" xfId="0" applyFont="1" applyBorder="1" applyAlignment="1">
      <alignment horizontal="center" vertical="center" shrinkToFit="1"/>
    </xf>
    <xf numFmtId="0" fontId="5" fillId="0" borderId="61" xfId="0" applyFont="1" applyBorder="1" applyAlignment="1">
      <alignment horizontal="center" vertical="center" shrinkToFit="1"/>
    </xf>
    <xf numFmtId="164" fontId="2" fillId="0" borderId="61" xfId="0" applyNumberFormat="1" applyFont="1" applyBorder="1" applyAlignment="1">
      <alignment horizontal="center" vertical="center" shrinkToFit="1"/>
    </xf>
    <xf numFmtId="0" fontId="5" fillId="0" borderId="62" xfId="0" applyFont="1" applyBorder="1" applyAlignment="1">
      <alignment horizontal="left" vertical="center" shrinkToFit="1"/>
    </xf>
    <xf numFmtId="0" fontId="2" fillId="0" borderId="63" xfId="0" applyFont="1" applyBorder="1" applyAlignment="1">
      <alignment horizontal="center" vertical="center" shrinkToFit="1"/>
    </xf>
    <xf numFmtId="164" fontId="2" fillId="0" borderId="34" xfId="0" applyNumberFormat="1" applyFont="1" applyFill="1" applyBorder="1" applyAlignment="1">
      <alignment horizontal="center" vertical="center" shrinkToFit="1"/>
    </xf>
    <xf numFmtId="0" fontId="2" fillId="0" borderId="69" xfId="0" applyFont="1" applyFill="1" applyBorder="1" applyAlignment="1">
      <alignment horizontal="left" vertical="center"/>
    </xf>
    <xf numFmtId="0" fontId="2" fillId="0" borderId="35"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56" xfId="0" applyFont="1" applyFill="1" applyBorder="1" applyAlignment="1">
      <alignment horizontal="center" vertical="center" shrinkToFit="1"/>
    </xf>
    <xf numFmtId="0" fontId="2" fillId="0" borderId="32" xfId="0" applyFont="1" applyBorder="1" applyAlignment="1">
      <alignment horizontal="center" vertical="center" shrinkToFit="1"/>
    </xf>
    <xf numFmtId="164" fontId="2" fillId="0" borderId="32" xfId="0" applyNumberFormat="1" applyFont="1" applyBorder="1" applyAlignment="1">
      <alignment horizontal="center" vertical="center" shrinkToFit="1"/>
    </xf>
    <xf numFmtId="0" fontId="2" fillId="0" borderId="74" xfId="0" applyFont="1" applyBorder="1" applyAlignment="1">
      <alignment horizontal="center" vertical="center" shrinkToFit="1"/>
    </xf>
    <xf numFmtId="0" fontId="2" fillId="0" borderId="57" xfId="0" applyFont="1" applyBorder="1" applyAlignment="1">
      <alignment horizontal="center" vertical="center" shrinkToFit="1"/>
    </xf>
    <xf numFmtId="164" fontId="2" fillId="0" borderId="34" xfId="0" applyNumberFormat="1" applyFont="1" applyBorder="1" applyAlignment="1">
      <alignment horizontal="center" vertical="center" shrinkToFit="1"/>
    </xf>
    <xf numFmtId="164" fontId="2" fillId="0" borderId="78" xfId="0" applyNumberFormat="1" applyFont="1" applyFill="1" applyBorder="1" applyAlignment="1">
      <alignment horizontal="center" vertical="center"/>
    </xf>
    <xf numFmtId="164" fontId="2" fillId="0" borderId="34" xfId="0" applyNumberFormat="1" applyFont="1" applyFill="1" applyBorder="1" applyAlignment="1">
      <alignment horizontal="center" vertical="center"/>
    </xf>
    <xf numFmtId="0" fontId="2" fillId="0" borderId="78" xfId="0" applyFont="1" applyFill="1" applyBorder="1" applyAlignment="1">
      <alignment horizontal="center" vertical="center"/>
    </xf>
    <xf numFmtId="49" fontId="2" fillId="0" borderId="34" xfId="0" applyNumberFormat="1" applyFont="1" applyFill="1" applyBorder="1" applyAlignment="1">
      <alignment horizontal="center" vertical="center"/>
    </xf>
    <xf numFmtId="0" fontId="5" fillId="0" borderId="79" xfId="0" applyFont="1" applyFill="1" applyBorder="1" applyAlignment="1">
      <alignment horizontal="centerContinuous" vertical="center"/>
    </xf>
    <xf numFmtId="49" fontId="2" fillId="0" borderId="78" xfId="0" applyNumberFormat="1" applyFont="1" applyFill="1" applyBorder="1" applyAlignment="1">
      <alignment horizontal="center" vertical="center"/>
    </xf>
    <xf numFmtId="49" fontId="2" fillId="0" borderId="79" xfId="0" applyNumberFormat="1" applyFont="1" applyFill="1" applyBorder="1" applyAlignment="1">
      <alignment horizontal="centerContinuous" vertical="center"/>
    </xf>
    <xf numFmtId="49" fontId="2" fillId="0" borderId="69" xfId="0" applyNumberFormat="1" applyFont="1" applyFill="1" applyBorder="1" applyAlignment="1">
      <alignment horizontal="centerContinuous" vertical="center"/>
    </xf>
    <xf numFmtId="49" fontId="2" fillId="0" borderId="68" xfId="0" applyNumberFormat="1" applyFont="1" applyFill="1" applyBorder="1" applyAlignment="1">
      <alignment horizontal="centerContinuous" vertical="center"/>
    </xf>
    <xf numFmtId="0" fontId="2" fillId="0" borderId="79" xfId="0" applyFont="1" applyFill="1" applyBorder="1" applyAlignment="1">
      <alignment horizontal="center" vertical="center"/>
    </xf>
    <xf numFmtId="0" fontId="2" fillId="0" borderId="68" xfId="0" applyFont="1" applyFill="1" applyBorder="1" applyAlignment="1">
      <alignment horizontal="center" vertical="center"/>
    </xf>
    <xf numFmtId="0" fontId="5" fillId="0" borderId="80" xfId="0" applyFont="1" applyFill="1" applyBorder="1" applyAlignment="1">
      <alignment horizontal="centerContinuous" vertical="center"/>
    </xf>
    <xf numFmtId="0" fontId="2" fillId="0" borderId="0" xfId="0" applyFont="1" applyBorder="1" applyAlignment="1">
      <alignment vertical="center"/>
    </xf>
    <xf numFmtId="0" fontId="4" fillId="0" borderId="0" xfId="0" applyFont="1" applyFill="1" applyBorder="1" applyAlignment="1">
      <alignment horizontal="right" vertical="center"/>
    </xf>
    <xf numFmtId="0" fontId="21" fillId="14" borderId="23" xfId="0" applyFont="1" applyFill="1" applyBorder="1" applyAlignment="1">
      <alignment horizontal="center" vertical="center"/>
    </xf>
    <xf numFmtId="0" fontId="5" fillId="0" borderId="0" xfId="0" applyFont="1" applyFill="1" applyBorder="1" applyAlignment="1">
      <alignment vertical="center"/>
    </xf>
    <xf numFmtId="0" fontId="2" fillId="0" borderId="57"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4" xfId="0" quotePrefix="1" applyFont="1" applyFill="1" applyBorder="1" applyAlignment="1">
      <alignment horizontal="center" vertical="center"/>
    </xf>
    <xf numFmtId="9" fontId="2" fillId="0" borderId="34" xfId="0" applyNumberFormat="1" applyFont="1" applyFill="1" applyBorder="1" applyAlignment="1">
      <alignment horizontal="center" vertical="center"/>
    </xf>
    <xf numFmtId="164" fontId="2" fillId="0" borderId="69" xfId="0" applyNumberFormat="1" applyFont="1" applyFill="1" applyBorder="1" applyAlignment="1">
      <alignment horizontal="centerContinuous" vertical="center"/>
    </xf>
    <xf numFmtId="164" fontId="2" fillId="0" borderId="54" xfId="0" applyNumberFormat="1" applyFont="1" applyFill="1" applyBorder="1" applyAlignment="1">
      <alignment horizontal="centerContinuous" vertical="center"/>
    </xf>
    <xf numFmtId="49" fontId="16" fillId="0" borderId="26" xfId="0" applyNumberFormat="1" applyFont="1" applyBorder="1" applyAlignment="1">
      <alignment horizontal="center" shrinkToFit="1"/>
    </xf>
    <xf numFmtId="0" fontId="2" fillId="0" borderId="63" xfId="0" applyFont="1" applyFill="1" applyBorder="1" applyAlignment="1">
      <alignment horizontal="centerContinuous" vertical="center" shrinkToFit="1"/>
    </xf>
    <xf numFmtId="49" fontId="2" fillId="0" borderId="69" xfId="0" applyNumberFormat="1" applyFont="1" applyFill="1" applyBorder="1" applyAlignment="1">
      <alignment horizontal="center" vertical="center"/>
    </xf>
    <xf numFmtId="0" fontId="20" fillId="2" borderId="82" xfId="0" applyFont="1" applyFill="1" applyBorder="1" applyAlignment="1">
      <alignment horizontal="left" vertical="center"/>
    </xf>
    <xf numFmtId="0" fontId="4" fillId="2" borderId="82" xfId="0" applyFont="1" applyFill="1" applyBorder="1" applyAlignment="1">
      <alignment horizontal="centerContinuous" vertical="center"/>
    </xf>
    <xf numFmtId="0" fontId="5" fillId="2" borderId="82" xfId="0" applyFont="1" applyFill="1" applyBorder="1" applyAlignment="1">
      <alignment horizontal="centerContinuous" vertical="center"/>
    </xf>
    <xf numFmtId="0" fontId="35" fillId="2" borderId="83" xfId="1" applyFont="1" applyFill="1" applyBorder="1" applyAlignment="1" applyProtection="1">
      <alignment horizontal="right" vertical="center"/>
    </xf>
    <xf numFmtId="0" fontId="10" fillId="0" borderId="1" xfId="0" applyFont="1" applyFill="1" applyBorder="1" applyAlignment="1">
      <alignment vertical="center"/>
    </xf>
    <xf numFmtId="49" fontId="27" fillId="0" borderId="17" xfId="0" applyNumberFormat="1" applyFont="1" applyFill="1" applyBorder="1" applyAlignment="1">
      <alignment horizontal="center" vertical="center"/>
    </xf>
    <xf numFmtId="0" fontId="27" fillId="0" borderId="18" xfId="0" applyNumberFormat="1" applyFont="1" applyFill="1" applyBorder="1" applyAlignment="1">
      <alignment horizontal="center" vertical="center"/>
    </xf>
    <xf numFmtId="0" fontId="22" fillId="9" borderId="1" xfId="0" applyFont="1" applyFill="1" applyBorder="1" applyAlignment="1">
      <alignment vertical="center"/>
    </xf>
    <xf numFmtId="49" fontId="28" fillId="9" borderId="17" xfId="0" applyNumberFormat="1" applyFont="1" applyFill="1" applyBorder="1" applyAlignment="1">
      <alignment horizontal="center" vertical="center"/>
    </xf>
    <xf numFmtId="0" fontId="28" fillId="9" borderId="18" xfId="0" applyNumberFormat="1" applyFont="1" applyFill="1" applyBorder="1" applyAlignment="1">
      <alignment horizontal="center" vertical="center"/>
    </xf>
    <xf numFmtId="0" fontId="7" fillId="9" borderId="19" xfId="0" quotePrefix="1" applyNumberFormat="1" applyFont="1" applyFill="1" applyBorder="1" applyAlignment="1">
      <alignment horizontal="center" vertical="center"/>
    </xf>
    <xf numFmtId="0" fontId="7" fillId="0" borderId="28" xfId="0" quotePrefix="1" applyFont="1" applyFill="1" applyBorder="1" applyAlignment="1">
      <alignment horizontal="center" vertical="center" shrinkToFit="1"/>
    </xf>
    <xf numFmtId="0" fontId="21" fillId="0" borderId="80" xfId="0" applyFont="1" applyFill="1" applyBorder="1" applyAlignment="1">
      <alignment horizontal="centerContinuous" vertical="center"/>
    </xf>
    <xf numFmtId="0" fontId="21" fillId="0" borderId="71" xfId="0" applyFont="1" applyFill="1" applyBorder="1" applyAlignment="1">
      <alignment horizontal="centerContinuous" vertical="center"/>
    </xf>
    <xf numFmtId="0" fontId="2" fillId="0" borderId="70" xfId="0" applyFont="1" applyFill="1" applyBorder="1" applyAlignment="1">
      <alignment horizontal="centerContinuous" vertical="center"/>
    </xf>
    <xf numFmtId="0" fontId="5" fillId="0" borderId="85" xfId="0" applyFont="1" applyBorder="1" applyAlignment="1">
      <alignment horizontal="left" vertical="center"/>
    </xf>
    <xf numFmtId="0" fontId="2" fillId="0" borderId="87" xfId="0" applyFont="1" applyFill="1" applyBorder="1" applyAlignment="1">
      <alignment horizontal="center" vertical="center"/>
    </xf>
    <xf numFmtId="1" fontId="2" fillId="0" borderId="70" xfId="0" applyNumberFormat="1" applyFont="1" applyFill="1" applyBorder="1" applyAlignment="1">
      <alignment horizontal="center" vertical="center"/>
    </xf>
    <xf numFmtId="0" fontId="2" fillId="0" borderId="34" xfId="0" applyFont="1" applyFill="1" applyBorder="1" applyAlignment="1">
      <alignment horizontal="centerContinuous" vertical="center"/>
    </xf>
    <xf numFmtId="0" fontId="8" fillId="9" borderId="1" xfId="0" applyFont="1" applyFill="1" applyBorder="1" applyAlignment="1">
      <alignment vertical="center"/>
    </xf>
    <xf numFmtId="49" fontId="17" fillId="9" borderId="17" xfId="0" applyNumberFormat="1" applyFont="1" applyFill="1" applyBorder="1" applyAlignment="1">
      <alignment horizontal="center" vertical="center"/>
    </xf>
    <xf numFmtId="0" fontId="17" fillId="9" borderId="18" xfId="0" applyNumberFormat="1" applyFont="1" applyFill="1" applyBorder="1" applyAlignment="1">
      <alignment horizontal="center" vertical="center"/>
    </xf>
    <xf numFmtId="0" fontId="7" fillId="9" borderId="18" xfId="0" applyNumberFormat="1" applyFont="1" applyFill="1" applyBorder="1" applyAlignment="1">
      <alignment horizontal="center" vertical="center"/>
    </xf>
    <xf numFmtId="0" fontId="13" fillId="9" borderId="5" xfId="0" applyFont="1" applyFill="1" applyBorder="1" applyAlignment="1">
      <alignment vertical="center"/>
    </xf>
    <xf numFmtId="0" fontId="7" fillId="9" borderId="36" xfId="0" applyNumberFormat="1" applyFont="1" applyFill="1" applyBorder="1" applyAlignment="1">
      <alignment horizontal="center" vertical="center"/>
    </xf>
    <xf numFmtId="49" fontId="24" fillId="9" borderId="36" xfId="0" applyNumberFormat="1" applyFont="1" applyFill="1" applyBorder="1" applyAlignment="1">
      <alignment horizontal="center" vertical="center"/>
    </xf>
    <xf numFmtId="0" fontId="24" fillId="9" borderId="38" xfId="0" applyNumberFormat="1" applyFont="1" applyFill="1" applyBorder="1" applyAlignment="1">
      <alignment horizontal="center" vertical="center"/>
    </xf>
    <xf numFmtId="49" fontId="7" fillId="9" borderId="38" xfId="0" applyNumberFormat="1" applyFont="1" applyFill="1" applyBorder="1" applyAlignment="1">
      <alignment horizontal="center" vertical="center"/>
    </xf>
    <xf numFmtId="0" fontId="7" fillId="9" borderId="27" xfId="0" applyNumberFormat="1" applyFont="1" applyFill="1" applyBorder="1" applyAlignment="1">
      <alignment horizontal="center" vertical="center"/>
    </xf>
    <xf numFmtId="0" fontId="51" fillId="0" borderId="39" xfId="0" quotePrefix="1" applyFont="1" applyFill="1" applyBorder="1" applyAlignment="1">
      <alignment horizontal="center" vertical="center" shrinkToFit="1"/>
    </xf>
    <xf numFmtId="0" fontId="2" fillId="0" borderId="34" xfId="0" applyFont="1" applyFill="1" applyBorder="1" applyAlignment="1">
      <alignment horizontal="center" vertical="center" shrinkToFit="1"/>
    </xf>
    <xf numFmtId="0" fontId="2" fillId="0" borderId="35" xfId="0" applyFont="1" applyFill="1" applyBorder="1" applyAlignment="1">
      <alignment horizontal="center" vertical="center"/>
    </xf>
    <xf numFmtId="0" fontId="2" fillId="0" borderId="76" xfId="0" applyFont="1" applyFill="1" applyBorder="1" applyAlignment="1">
      <alignment horizontal="centerContinuous" vertical="center"/>
    </xf>
    <xf numFmtId="0" fontId="2" fillId="0" borderId="51" xfId="0" applyFont="1" applyFill="1" applyBorder="1" applyAlignment="1">
      <alignment horizontal="centerContinuous" vertical="center"/>
    </xf>
    <xf numFmtId="0" fontId="5" fillId="0" borderId="71" xfId="0" applyFont="1" applyFill="1" applyBorder="1" applyAlignment="1">
      <alignment horizontal="centerContinuous" vertical="center"/>
    </xf>
    <xf numFmtId="0" fontId="5" fillId="0" borderId="68" xfId="0" applyFont="1" applyFill="1" applyBorder="1" applyAlignment="1">
      <alignment horizontal="centerContinuous" vertical="center"/>
    </xf>
    <xf numFmtId="49" fontId="2" fillId="0" borderId="32" xfId="0" applyNumberFormat="1" applyFont="1" applyFill="1" applyBorder="1" applyAlignment="1">
      <alignment horizontal="center" vertical="center"/>
    </xf>
    <xf numFmtId="49" fontId="2" fillId="0" borderId="51" xfId="0" applyNumberFormat="1" applyFont="1" applyFill="1" applyBorder="1" applyAlignment="1">
      <alignment horizontal="centerContinuous" vertical="center"/>
    </xf>
    <xf numFmtId="0" fontId="5" fillId="0" borderId="52" xfId="0" applyFont="1" applyFill="1" applyBorder="1" applyAlignment="1">
      <alignment horizontal="centerContinuous" vertical="center"/>
    </xf>
    <xf numFmtId="1" fontId="2" fillId="0" borderId="89" xfId="0" applyNumberFormat="1" applyFont="1" applyFill="1" applyBorder="1" applyAlignment="1">
      <alignment horizontal="center" vertical="center"/>
    </xf>
    <xf numFmtId="0" fontId="7" fillId="5" borderId="19" xfId="0" quotePrefix="1" applyNumberFormat="1" applyFont="1" applyFill="1" applyBorder="1" applyAlignment="1">
      <alignment horizontal="center" vertical="center"/>
    </xf>
    <xf numFmtId="0" fontId="2" fillId="0" borderId="0" xfId="0" quotePrefix="1" applyFont="1" applyBorder="1" applyAlignment="1">
      <alignment vertical="center"/>
    </xf>
    <xf numFmtId="0" fontId="2" fillId="0" borderId="91" xfId="0" applyFont="1" applyFill="1" applyBorder="1" applyAlignment="1">
      <alignment horizontal="center" vertical="center"/>
    </xf>
    <xf numFmtId="164" fontId="2" fillId="0" borderId="91" xfId="0" applyNumberFormat="1" applyFont="1" applyFill="1" applyBorder="1" applyAlignment="1">
      <alignment horizontal="center" vertical="center"/>
    </xf>
    <xf numFmtId="0" fontId="2" fillId="0" borderId="86" xfId="0" applyFont="1" applyFill="1" applyBorder="1" applyAlignment="1">
      <alignment horizontal="center" vertical="center"/>
    </xf>
    <xf numFmtId="1" fontId="46" fillId="12" borderId="17" xfId="0" applyNumberFormat="1" applyFont="1" applyFill="1" applyBorder="1" applyAlignment="1">
      <alignment horizontal="center" vertical="center"/>
    </xf>
    <xf numFmtId="0" fontId="2" fillId="0" borderId="87" xfId="0" quotePrefix="1" applyFont="1" applyFill="1" applyBorder="1" applyAlignment="1">
      <alignment horizontal="center" vertical="center" wrapText="1"/>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85" xfId="0" applyFont="1" applyBorder="1" applyAlignment="1">
      <alignment horizontal="left" vertical="center"/>
    </xf>
    <xf numFmtId="0" fontId="2" fillId="0" borderId="62" xfId="0" applyFont="1" applyBorder="1" applyAlignment="1">
      <alignment horizontal="left" vertical="center" shrinkToFit="1"/>
    </xf>
    <xf numFmtId="0" fontId="2" fillId="0" borderId="61" xfId="0" applyFont="1" applyBorder="1" applyAlignment="1">
      <alignment horizontal="left" vertical="center"/>
    </xf>
    <xf numFmtId="1" fontId="2" fillId="0" borderId="28" xfId="0" applyNumberFormat="1" applyFont="1" applyFill="1" applyBorder="1" applyAlignment="1">
      <alignment horizontal="center" vertical="center"/>
    </xf>
    <xf numFmtId="1" fontId="2" fillId="0" borderId="75" xfId="0" applyNumberFormat="1" applyFont="1" applyFill="1" applyBorder="1" applyAlignment="1">
      <alignment horizontal="center" vertical="center"/>
    </xf>
    <xf numFmtId="1" fontId="5" fillId="0" borderId="39" xfId="0" applyNumberFormat="1" applyFont="1" applyBorder="1" applyAlignment="1">
      <alignment horizontal="center" vertical="center"/>
    </xf>
    <xf numFmtId="1" fontId="21" fillId="14" borderId="23" xfId="0" applyNumberFormat="1" applyFont="1" applyFill="1" applyBorder="1" applyAlignment="1">
      <alignment horizontal="center" vertical="center"/>
    </xf>
    <xf numFmtId="1" fontId="2" fillId="0" borderId="39" xfId="0" applyNumberFormat="1" applyFont="1" applyBorder="1" applyAlignment="1">
      <alignment horizontal="center" vertical="center"/>
    </xf>
    <xf numFmtId="0" fontId="2" fillId="0" borderId="77" xfId="0" applyFont="1" applyFill="1" applyBorder="1" applyAlignment="1">
      <alignment horizontal="center" vertical="center" shrinkToFit="1"/>
    </xf>
    <xf numFmtId="9" fontId="2" fillId="0" borderId="91" xfId="0" applyNumberFormat="1" applyFont="1" applyFill="1" applyBorder="1" applyAlignment="1">
      <alignment horizontal="center" vertical="center"/>
    </xf>
    <xf numFmtId="1" fontId="2" fillId="0" borderId="95" xfId="0" applyNumberFormat="1" applyFont="1" applyFill="1" applyBorder="1" applyAlignment="1">
      <alignment horizontal="center" vertical="center"/>
    </xf>
    <xf numFmtId="1" fontId="2" fillId="0" borderId="75" xfId="0" applyNumberFormat="1" applyFont="1" applyBorder="1" applyAlignment="1">
      <alignment horizontal="center" vertical="center"/>
    </xf>
    <xf numFmtId="1" fontId="2" fillId="0" borderId="39" xfId="0" applyNumberFormat="1" applyFont="1" applyFill="1" applyBorder="1" applyAlignment="1">
      <alignment horizontal="center" vertical="center"/>
    </xf>
    <xf numFmtId="1" fontId="2" fillId="0" borderId="43"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0" fontId="53" fillId="0" borderId="17" xfId="0" applyFont="1" applyFill="1" applyBorder="1" applyAlignment="1">
      <alignment horizontal="center" vertical="center" wrapText="1"/>
    </xf>
    <xf numFmtId="0" fontId="24" fillId="0" borderId="18" xfId="0" applyNumberFormat="1" applyFont="1" applyFill="1" applyBorder="1" applyAlignment="1">
      <alignment horizontal="center" vertical="center"/>
    </xf>
    <xf numFmtId="0" fontId="39" fillId="0" borderId="37" xfId="0" applyFont="1" applyFill="1" applyBorder="1" applyAlignment="1">
      <alignment horizontal="center" vertical="center" wrapText="1"/>
    </xf>
    <xf numFmtId="0" fontId="23" fillId="6" borderId="18" xfId="0" applyNumberFormat="1" applyFont="1" applyFill="1" applyBorder="1" applyAlignment="1">
      <alignment horizontal="center" vertical="center"/>
    </xf>
    <xf numFmtId="1" fontId="2" fillId="0" borderId="0" xfId="0" applyNumberFormat="1" applyFont="1" applyBorder="1" applyAlignment="1">
      <alignment vertical="center"/>
    </xf>
    <xf numFmtId="0" fontId="2" fillId="0" borderId="32" xfId="0" applyFont="1" applyBorder="1" applyAlignment="1">
      <alignment horizontal="left" vertical="center"/>
    </xf>
    <xf numFmtId="0" fontId="2" fillId="0" borderId="33" xfId="0" applyFont="1" applyBorder="1" applyAlignment="1">
      <alignment horizontal="left" vertical="center" shrinkToFit="1"/>
    </xf>
    <xf numFmtId="164" fontId="2" fillId="0" borderId="87" xfId="0" applyNumberFormat="1" applyFont="1" applyFill="1" applyBorder="1" applyAlignment="1">
      <alignment horizontal="center" vertical="center"/>
    </xf>
    <xf numFmtId="0" fontId="2" fillId="0" borderId="94" xfId="0" quotePrefix="1" applyFont="1" applyFill="1" applyBorder="1" applyAlignment="1">
      <alignment horizontal="center" vertical="center"/>
    </xf>
    <xf numFmtId="1" fontId="7" fillId="0" borderId="72" xfId="0" applyNumberFormat="1" applyFont="1" applyBorder="1" applyAlignment="1">
      <alignment horizontal="centerContinuous" vertical="center"/>
    </xf>
    <xf numFmtId="1" fontId="2" fillId="0" borderId="73" xfId="0" applyNumberFormat="1" applyFont="1" applyBorder="1" applyAlignment="1">
      <alignment horizontal="centerContinuous" vertical="center"/>
    </xf>
    <xf numFmtId="165" fontId="2" fillId="0" borderId="0" xfId="0" applyNumberFormat="1" applyFont="1" applyBorder="1" applyAlignment="1">
      <alignment vertical="center"/>
    </xf>
    <xf numFmtId="0" fontId="7" fillId="6" borderId="19" xfId="0" quotePrefix="1" applyNumberFormat="1" applyFont="1" applyFill="1" applyBorder="1" applyAlignment="1">
      <alignment horizontal="center" vertical="center"/>
    </xf>
    <xf numFmtId="0" fontId="6" fillId="4" borderId="22" xfId="0" applyFont="1" applyFill="1" applyBorder="1" applyAlignment="1">
      <alignment horizontal="right" vertical="center"/>
    </xf>
    <xf numFmtId="3" fontId="7" fillId="0" borderId="7" xfId="0" applyNumberFormat="1" applyFont="1" applyFill="1" applyBorder="1" applyAlignment="1">
      <alignment horizontal="center" vertical="center"/>
    </xf>
    <xf numFmtId="1" fontId="2" fillId="0" borderId="93" xfId="0" applyNumberFormat="1" applyFont="1" applyBorder="1" applyAlignment="1">
      <alignment horizontal="center" vertical="center"/>
    </xf>
    <xf numFmtId="49" fontId="7" fillId="15" borderId="20" xfId="0" applyNumberFormat="1" applyFont="1" applyFill="1" applyBorder="1" applyAlignment="1">
      <alignment horizontal="center" vertical="center"/>
    </xf>
    <xf numFmtId="0" fontId="50" fillId="0" borderId="39" xfId="0" quotePrefix="1" applyFont="1" applyFill="1" applyBorder="1" applyAlignment="1">
      <alignment horizontal="center" vertical="center" shrinkToFit="1"/>
    </xf>
    <xf numFmtId="49" fontId="7" fillId="16" borderId="18" xfId="0" applyNumberFormat="1" applyFont="1" applyFill="1" applyBorder="1" applyAlignment="1">
      <alignment horizontal="center" vertical="center"/>
    </xf>
    <xf numFmtId="1" fontId="2" fillId="0" borderId="69" xfId="0" applyNumberFormat="1" applyFont="1" applyBorder="1" applyAlignment="1">
      <alignment horizontal="center" vertical="center"/>
    </xf>
    <xf numFmtId="49" fontId="2" fillId="0" borderId="87" xfId="2" applyNumberFormat="1" applyFont="1" applyBorder="1" applyAlignment="1">
      <alignment horizontal="center" vertical="center"/>
    </xf>
    <xf numFmtId="49" fontId="2" fillId="0" borderId="87" xfId="2" applyNumberFormat="1" applyFont="1" applyFill="1" applyBorder="1" applyAlignment="1">
      <alignment horizontal="center" vertical="center"/>
    </xf>
    <xf numFmtId="0" fontId="2" fillId="0" borderId="87" xfId="0" applyFont="1" applyFill="1" applyBorder="1" applyAlignment="1">
      <alignment horizontal="center" vertical="center" shrinkToFit="1"/>
    </xf>
    <xf numFmtId="1" fontId="2" fillId="0" borderId="88" xfId="0" applyNumberFormat="1" applyFont="1" applyBorder="1" applyAlignment="1">
      <alignment horizontal="center" vertical="center"/>
    </xf>
    <xf numFmtId="0" fontId="2" fillId="0" borderId="90" xfId="0" applyFont="1" applyFill="1" applyBorder="1" applyAlignment="1">
      <alignment horizontal="center" vertical="center"/>
    </xf>
    <xf numFmtId="0" fontId="2" fillId="0" borderId="76" xfId="0" applyFont="1" applyBorder="1" applyAlignment="1">
      <alignment horizontal="center" vertical="center" shrinkToFit="1"/>
    </xf>
    <xf numFmtId="1" fontId="2" fillId="0" borderId="32" xfId="0" applyNumberFormat="1" applyFont="1" applyBorder="1" applyAlignment="1">
      <alignment horizontal="center" vertical="center" shrinkToFit="1"/>
    </xf>
    <xf numFmtId="0" fontId="2" fillId="0" borderId="68" xfId="0" applyFont="1" applyBorder="1" applyAlignment="1">
      <alignment horizontal="left" vertical="center"/>
    </xf>
    <xf numFmtId="1" fontId="6" fillId="0" borderId="20" xfId="0" applyNumberFormat="1" applyFont="1" applyFill="1" applyBorder="1" applyAlignment="1">
      <alignment horizontal="center" vertical="center"/>
    </xf>
    <xf numFmtId="0" fontId="54" fillId="2" borderId="81" xfId="0" applyFont="1" applyFill="1" applyBorder="1" applyAlignment="1">
      <alignment horizontal="right" vertical="center"/>
    </xf>
    <xf numFmtId="0" fontId="54" fillId="2" borderId="82" xfId="0" quotePrefix="1" applyFont="1" applyFill="1" applyBorder="1" applyAlignment="1">
      <alignment horizontal="left" vertical="center"/>
    </xf>
    <xf numFmtId="0" fontId="6" fillId="0" borderId="0" xfId="0" applyFont="1" applyAlignment="1">
      <alignment horizontal="right" vertical="center"/>
    </xf>
    <xf numFmtId="0" fontId="7" fillId="0" borderId="0" xfId="0" applyFont="1" applyAlignment="1">
      <alignment horizontal="center" vertical="center"/>
    </xf>
    <xf numFmtId="0" fontId="7" fillId="0" borderId="58" xfId="0" applyNumberFormat="1" applyFont="1" applyFill="1" applyBorder="1" applyAlignment="1">
      <alignment horizontal="centerContinuous" vertical="center"/>
    </xf>
    <xf numFmtId="0" fontId="2" fillId="0" borderId="59" xfId="0" applyFont="1" applyFill="1" applyBorder="1" applyAlignment="1">
      <alignment horizontal="centerContinuous" vertical="center"/>
    </xf>
    <xf numFmtId="49" fontId="7" fillId="0" borderId="20" xfId="0" applyNumberFormat="1" applyFont="1" applyFill="1" applyBorder="1" applyAlignment="1">
      <alignment horizontal="center" vertical="center"/>
    </xf>
    <xf numFmtId="49" fontId="4" fillId="0" borderId="0" xfId="0" applyNumberFormat="1" applyFont="1" applyBorder="1" applyAlignment="1">
      <alignment horizontal="center" vertical="center"/>
    </xf>
    <xf numFmtId="0" fontId="14" fillId="2" borderId="8" xfId="0" applyFont="1" applyFill="1" applyBorder="1" applyAlignment="1">
      <alignment horizontal="right" vertical="center"/>
    </xf>
    <xf numFmtId="49" fontId="26" fillId="0" borderId="97" xfId="0" applyNumberFormat="1" applyFont="1" applyBorder="1" applyAlignment="1">
      <alignment horizontal="center" vertical="center"/>
    </xf>
    <xf numFmtId="0" fontId="11" fillId="4" borderId="98" xfId="0" applyFont="1" applyFill="1" applyBorder="1" applyAlignment="1">
      <alignment horizontal="right" vertical="center"/>
    </xf>
    <xf numFmtId="49" fontId="7" fillId="0" borderId="99" xfId="0" applyNumberFormat="1" applyFont="1" applyFill="1" applyBorder="1" applyAlignment="1">
      <alignment horizontal="center" vertical="center"/>
    </xf>
    <xf numFmtId="49" fontId="7" fillId="0" borderId="0" xfId="0" applyNumberFormat="1" applyFont="1" applyBorder="1" applyAlignment="1">
      <alignment horizontal="left" vertical="center"/>
    </xf>
    <xf numFmtId="0" fontId="4" fillId="0" borderId="97" xfId="0" applyFont="1" applyBorder="1" applyAlignment="1">
      <alignment horizontal="right" vertical="center"/>
    </xf>
    <xf numFmtId="0" fontId="5" fillId="0" borderId="100" xfId="0" applyFont="1" applyBorder="1" applyAlignment="1">
      <alignment horizontal="left" vertical="center"/>
    </xf>
    <xf numFmtId="0" fontId="4" fillId="0" borderId="100" xfId="0" applyFont="1" applyBorder="1" applyAlignment="1">
      <alignment horizontal="right" vertical="center"/>
    </xf>
    <xf numFmtId="0" fontId="5" fillId="0" borderId="101" xfId="0" applyFont="1" applyBorder="1" applyAlignment="1">
      <alignment horizontal="left" vertical="center"/>
    </xf>
    <xf numFmtId="0" fontId="4" fillId="0" borderId="18" xfId="0" applyFont="1" applyBorder="1" applyAlignment="1">
      <alignment horizontal="right" vertical="center"/>
    </xf>
    <xf numFmtId="0" fontId="5" fillId="0" borderId="102" xfId="0" applyFont="1" applyBorder="1" applyAlignment="1">
      <alignment horizontal="left" vertical="center"/>
    </xf>
    <xf numFmtId="0" fontId="4" fillId="0" borderId="9" xfId="0" applyFont="1" applyBorder="1" applyAlignment="1">
      <alignment horizontal="right" vertical="center"/>
    </xf>
    <xf numFmtId="0" fontId="5" fillId="0" borderId="96" xfId="0" applyFont="1" applyBorder="1" applyAlignment="1">
      <alignment horizontal="left" vertical="center"/>
    </xf>
    <xf numFmtId="0" fontId="4" fillId="0" borderId="96" xfId="0" applyFont="1" applyBorder="1" applyAlignment="1">
      <alignment horizontal="right" vertical="center"/>
    </xf>
    <xf numFmtId="0" fontId="5" fillId="0" borderId="103" xfId="0" applyFont="1" applyBorder="1" applyAlignment="1">
      <alignment horizontal="left" vertical="center"/>
    </xf>
    <xf numFmtId="1" fontId="46" fillId="12" borderId="36" xfId="0" applyNumberFormat="1" applyFont="1" applyFill="1" applyBorder="1" applyAlignment="1">
      <alignment horizontal="center" vertical="center"/>
    </xf>
    <xf numFmtId="0" fontId="2" fillId="0" borderId="77" xfId="0" applyFont="1" applyFill="1" applyBorder="1" applyAlignment="1">
      <alignment horizontal="center" vertical="center"/>
    </xf>
    <xf numFmtId="0" fontId="2" fillId="0" borderId="78" xfId="0" quotePrefix="1" applyFont="1" applyFill="1" applyBorder="1" applyAlignment="1">
      <alignment horizontal="center" vertical="center" wrapText="1"/>
    </xf>
    <xf numFmtId="0" fontId="2" fillId="0" borderId="78" xfId="0" applyNumberFormat="1" applyFont="1" applyFill="1" applyBorder="1" applyAlignment="1">
      <alignment horizontal="center" vertical="center"/>
    </xf>
    <xf numFmtId="1" fontId="2" fillId="0" borderId="78" xfId="0" applyNumberFormat="1" applyFont="1" applyFill="1" applyBorder="1" applyAlignment="1">
      <alignment horizontal="center" vertical="center"/>
    </xf>
    <xf numFmtId="1" fontId="46" fillId="12" borderId="104" xfId="0" applyNumberFormat="1" applyFont="1" applyFill="1" applyBorder="1" applyAlignment="1">
      <alignment horizontal="center" vertical="center"/>
    </xf>
    <xf numFmtId="0" fontId="2" fillId="0" borderId="105" xfId="0" quotePrefix="1" applyFont="1" applyFill="1" applyBorder="1" applyAlignment="1">
      <alignment horizontal="center" vertical="center"/>
    </xf>
    <xf numFmtId="49" fontId="2" fillId="0" borderId="78" xfId="2" applyNumberFormat="1" applyFont="1" applyBorder="1" applyAlignment="1">
      <alignment horizontal="center" vertical="center"/>
    </xf>
    <xf numFmtId="49" fontId="2" fillId="0" borderId="78" xfId="2" applyNumberFormat="1" applyFont="1" applyFill="1" applyBorder="1" applyAlignment="1">
      <alignment horizontal="center" vertical="center"/>
    </xf>
    <xf numFmtId="0" fontId="2" fillId="0" borderId="78" xfId="0" applyFont="1" applyFill="1" applyBorder="1" applyAlignment="1">
      <alignment horizontal="center" vertical="center" shrinkToFit="1"/>
    </xf>
    <xf numFmtId="1" fontId="2" fillId="0" borderId="79" xfId="0" applyNumberFormat="1" applyFont="1" applyBorder="1" applyAlignment="1">
      <alignment horizontal="center" vertical="center"/>
    </xf>
    <xf numFmtId="1" fontId="2" fillId="0" borderId="80" xfId="0" applyNumberFormat="1" applyFont="1" applyFill="1" applyBorder="1" applyAlignment="1">
      <alignment horizontal="center" vertical="center"/>
    </xf>
    <xf numFmtId="0" fontId="2" fillId="0" borderId="105" xfId="0" applyFont="1" applyFill="1" applyBorder="1" applyAlignment="1">
      <alignment horizontal="center" vertical="center"/>
    </xf>
    <xf numFmtId="164" fontId="2" fillId="0" borderId="84" xfId="0" applyNumberFormat="1" applyFont="1" applyBorder="1" applyAlignment="1">
      <alignment horizontal="center" vertical="center" shrinkToFit="1"/>
    </xf>
    <xf numFmtId="164" fontId="2" fillId="0" borderId="39" xfId="0" applyNumberFormat="1" applyFont="1" applyBorder="1" applyAlignment="1">
      <alignment horizontal="center" vertical="center"/>
    </xf>
    <xf numFmtId="0" fontId="2" fillId="0" borderId="76" xfId="0" applyFont="1" applyFill="1" applyBorder="1" applyAlignment="1">
      <alignment horizontal="center" vertical="center" shrinkToFit="1"/>
    </xf>
    <xf numFmtId="165" fontId="5" fillId="0" borderId="0" xfId="0" applyNumberFormat="1" applyFont="1" applyBorder="1" applyAlignment="1">
      <alignment vertical="center"/>
    </xf>
    <xf numFmtId="164" fontId="2" fillId="0" borderId="75" xfId="0" applyNumberFormat="1" applyFont="1" applyBorder="1" applyAlignment="1">
      <alignment horizontal="center" vertical="center" shrinkToFit="1"/>
    </xf>
    <xf numFmtId="2" fontId="2" fillId="0" borderId="61" xfId="0" applyNumberFormat="1" applyFont="1" applyBorder="1" applyAlignment="1">
      <alignment horizontal="center" vertical="center" shrinkToFit="1"/>
    </xf>
    <xf numFmtId="0" fontId="7" fillId="0" borderId="0" xfId="0" applyFont="1" applyAlignment="1">
      <alignment horizontal="centerContinuous" vertical="center"/>
    </xf>
    <xf numFmtId="0" fontId="55" fillId="2" borderId="4" xfId="0" applyFont="1" applyFill="1" applyBorder="1" applyAlignment="1">
      <alignment horizontal="right" vertical="center"/>
    </xf>
    <xf numFmtId="0" fontId="3" fillId="0" borderId="0" xfId="0" applyFont="1" applyAlignment="1">
      <alignment horizontal="centerContinuous" vertical="center"/>
    </xf>
    <xf numFmtId="0" fontId="50" fillId="17" borderId="9" xfId="0" applyFont="1" applyFill="1" applyBorder="1" applyAlignment="1">
      <alignment horizontal="center" vertical="center"/>
    </xf>
    <xf numFmtId="0" fontId="2" fillId="0" borderId="34" xfId="0" applyFont="1" applyBorder="1" applyAlignment="1">
      <alignment horizontal="left" vertical="center"/>
    </xf>
  </cellXfs>
  <cellStyles count="11">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8" xr:uid="{00000000-0005-0000-0000-000005000000}"/>
    <cellStyle name="Normal 4" xfId="7" xr:uid="{00000000-0005-0000-0000-000006000000}"/>
    <cellStyle name="Normal 5" xfId="9" xr:uid="{00000000-0005-0000-0000-000007000000}"/>
    <cellStyle name="Percent" xfId="2" builtinId="5"/>
    <cellStyle name="Percent 2" xfId="3" xr:uid="{00000000-0005-0000-0000-000009000000}"/>
    <cellStyle name="Percent 2 2" xfId="10" xr:uid="{00000000-0005-0000-0000-00000A000000}"/>
  </cellStyles>
  <dxfs count="13">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9900"/>
      <color rgb="FF9999FF"/>
      <color rgb="FF9966FF"/>
      <color rgb="FF00FFFF"/>
      <color rgb="FF00FF00"/>
      <color rgb="FFCCFF99"/>
      <color rgb="FF0000FF"/>
      <color rgb="FFFF00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204460</xdr:colOff>
      <xdr:row>1</xdr:row>
      <xdr:rowOff>30480</xdr:rowOff>
    </xdr:from>
    <xdr:to>
      <xdr:col>6</xdr:col>
      <xdr:colOff>1127760</xdr:colOff>
      <xdr:row>14</xdr:row>
      <xdr:rowOff>175260</xdr:rowOff>
    </xdr:to>
    <xdr:pic>
      <xdr:nvPicPr>
        <xdr:cNvPr id="5" name="Picture 4">
          <a:extLst>
            <a:ext uri="{FF2B5EF4-FFF2-40B4-BE49-F238E27FC236}">
              <a16:creationId xmlns:a16="http://schemas.microsoft.com/office/drawing/2014/main" id="{3BB049BF-FB4B-4E06-8EE2-73D770D1B4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6940" y="403860"/>
          <a:ext cx="2249180" cy="2956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45720</xdr:colOff>
      <xdr:row>11</xdr:row>
      <xdr:rowOff>91440</xdr:rowOff>
    </xdr:from>
    <xdr:to>
      <xdr:col>6</xdr:col>
      <xdr:colOff>1280160</xdr:colOff>
      <xdr:row>13</xdr:row>
      <xdr:rowOff>190500</xdr:rowOff>
    </xdr:to>
    <xdr:sp macro="" textlink="">
      <xdr:nvSpPr>
        <xdr:cNvPr id="3" name="Text Box 60">
          <a:extLst>
            <a:ext uri="{FF2B5EF4-FFF2-40B4-BE49-F238E27FC236}">
              <a16:creationId xmlns:a16="http://schemas.microsoft.com/office/drawing/2014/main" id="{00000000-0008-0000-0000-000003000000}"/>
            </a:ext>
          </a:extLst>
        </xdr:cNvPr>
        <xdr:cNvSpPr txBox="1">
          <a:spLocks noChangeArrowheads="1"/>
        </xdr:cNvSpPr>
      </xdr:nvSpPr>
      <xdr:spPr bwMode="auto">
        <a:xfrm>
          <a:off x="4648200" y="2636520"/>
          <a:ext cx="2560320" cy="52578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1200" b="1" i="0" u="none" strike="noStrike" baseline="0">
              <a:solidFill>
                <a:sysClr val="windowText" lastClr="000000"/>
              </a:solidFill>
              <a:latin typeface="Times New Roman"/>
              <a:cs typeface="Times New Roman"/>
            </a:rPr>
            <a:t>Current Effects</a:t>
          </a:r>
        </a:p>
      </xdr:txBody>
    </xdr:sp>
    <xdr:clientData/>
  </xdr:twoCellAnchor>
  <xdr:twoCellAnchor>
    <xdr:from>
      <xdr:col>0</xdr:col>
      <xdr:colOff>38100</xdr:colOff>
      <xdr:row>14</xdr:row>
      <xdr:rowOff>45720</xdr:rowOff>
    </xdr:from>
    <xdr:to>
      <xdr:col>6</xdr:col>
      <xdr:colOff>1295400</xdr:colOff>
      <xdr:row>37</xdr:row>
      <xdr:rowOff>167640</xdr:rowOff>
    </xdr:to>
    <xdr:sp macro="" textlink="">
      <xdr:nvSpPr>
        <xdr:cNvPr id="2" name="TextBox 1">
          <a:extLst>
            <a:ext uri="{FF2B5EF4-FFF2-40B4-BE49-F238E27FC236}">
              <a16:creationId xmlns:a16="http://schemas.microsoft.com/office/drawing/2014/main" id="{3BDA78AB-8029-4888-8EFC-9D070EE63C1E}"/>
            </a:ext>
          </a:extLst>
        </xdr:cNvPr>
        <xdr:cNvSpPr txBox="1"/>
      </xdr:nvSpPr>
      <xdr:spPr>
        <a:xfrm>
          <a:off x="38100" y="3230880"/>
          <a:ext cx="7185660" cy="4678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Times New Roman" panose="02020603050405020304" pitchFamily="18" charset="0"/>
              <a:cs typeface="Times New Roman" panose="02020603050405020304" pitchFamily="18" charset="0"/>
            </a:rPr>
            <a:t>Appearance:  </a:t>
          </a:r>
          <a:r>
            <a:rPr lang="en-US" sz="1200">
              <a:latin typeface="Times New Roman" panose="02020603050405020304" pitchFamily="18" charset="0"/>
              <a:cs typeface="Times New Roman" panose="02020603050405020304" pitchFamily="18" charset="0"/>
            </a:rPr>
            <a:t>Lee is tall and muscular.  He keeps his goatee and hair trimmed short.  His eyes have an icy blue tint to them. </a:t>
          </a:r>
        </a:p>
        <a:p>
          <a:endParaRPr lang="en-US" sz="1200">
            <a:latin typeface="Times New Roman" panose="02020603050405020304" pitchFamily="18" charset="0"/>
            <a:cs typeface="Times New Roman" panose="02020603050405020304" pitchFamily="18" charset="0"/>
          </a:endParaRPr>
        </a:p>
        <a:p>
          <a:r>
            <a:rPr lang="en-US" sz="1200" b="1">
              <a:latin typeface="Times New Roman" panose="02020603050405020304" pitchFamily="18" charset="0"/>
              <a:cs typeface="Times New Roman" panose="02020603050405020304" pitchFamily="18" charset="0"/>
            </a:rPr>
            <a:t>History:  </a:t>
          </a:r>
          <a:r>
            <a:rPr lang="en-US" sz="1200">
              <a:latin typeface="Times New Roman" panose="02020603050405020304" pitchFamily="18" charset="0"/>
              <a:cs typeface="Times New Roman" panose="02020603050405020304" pitchFamily="18" charset="0"/>
            </a:rPr>
            <a:t>Lee grew up in the Dalelands and enjoyed the outdoors.  He spent a great deal of his childhood, when not doing his chores, exploring the land around him.  Climbing the trees, swimming in the rivers and streams, trekking through the hills and mountains.  He enjoyed watching the wildlife and beauty of the lands.  </a:t>
          </a:r>
        </a:p>
        <a:p>
          <a:r>
            <a:rPr lang="en-US" sz="1200">
              <a:latin typeface="Times New Roman" panose="02020603050405020304" pitchFamily="18" charset="0"/>
              <a:cs typeface="Times New Roman" panose="02020603050405020304" pitchFamily="18" charset="0"/>
            </a:rPr>
            <a:t>As Lee grew, his talents in the wild were called upon in many ways.  Some just needed a guide to get to their destination.  Other times his help was needed to find and/or rescue someone that had wandered off and got lost or was kidnapped and dragged away.  On a few occasions he was called upon to scout for a local militia or one of the other more powerful rulers looking to keep an eye on enemy forces or to lead their forces to advantageous positions.  </a:t>
          </a:r>
        </a:p>
        <a:p>
          <a:r>
            <a:rPr lang="en-US" sz="1200">
              <a:latin typeface="Times New Roman" panose="02020603050405020304" pitchFamily="18" charset="0"/>
              <a:cs typeface="Times New Roman" panose="02020603050405020304" pitchFamily="18" charset="0"/>
            </a:rPr>
            <a:t>Eventually he started being hired on as a guide, escort or guard for caravans or travelers.  He spent time with merchants, clerics, traveling entertainers and even a couple of wizards over the years.  Eventually, he found himself in Waterdeep, a major trade hub.  He developed a good reputation as a fair and trustworthy guide and guard.  So he was often hired on for many of the better routes and jobs.  He often found himself working alongside a tall (for an elf) and attractive female named Nihm.  The two worked together on many occasions, even helping track down and slay a group of hill giants that had been raiding nearby villages.  </a:t>
          </a:r>
        </a:p>
        <a:p>
          <a:r>
            <a:rPr lang="en-US" sz="1200">
              <a:latin typeface="Times New Roman" panose="02020603050405020304" pitchFamily="18" charset="0"/>
              <a:cs typeface="Times New Roman" panose="02020603050405020304" pitchFamily="18" charset="0"/>
            </a:rPr>
            <a:t>After that, and seeing how well they worked together, Nihm suggested they be a package deal for any future jobs.  Nihm was the ranged specialist while Lee liked to get in close and take the fight to the enemy.  With the agreement settled with a handshake, the two purchased a small storefront near the north gate with a 5 room apartment above it.  In the window, Nihm, an artist by trade, painted a simple sign saying ‘Guides for Hire’. </a:t>
          </a:r>
        </a:p>
        <a:p>
          <a:endParaRPr lang="en-US" sz="1200">
            <a:latin typeface="Times New Roman" panose="02020603050405020304" pitchFamily="18" charset="0"/>
            <a:cs typeface="Times New Roman" panose="02020603050405020304" pitchFamily="18" charset="0"/>
          </a:endParaRPr>
        </a:p>
        <a:p>
          <a:r>
            <a:rPr lang="en-US" sz="1200" b="1">
              <a:latin typeface="Times New Roman" panose="02020603050405020304" pitchFamily="18" charset="0"/>
              <a:cs typeface="Times New Roman" panose="02020603050405020304" pitchFamily="18" charset="0"/>
            </a:rPr>
            <a:t>Personality:  </a:t>
          </a:r>
          <a:r>
            <a:rPr lang="en-US" sz="1200">
              <a:latin typeface="Times New Roman" panose="02020603050405020304" pitchFamily="18" charset="0"/>
              <a:cs typeface="Times New Roman" panose="02020603050405020304" pitchFamily="18" charset="0"/>
            </a:rPr>
            <a:t>Lee is normally calm and a bit outgoing.  At first, after spending so much of his younger years in the woods, he was uncomfortable around people.  However, he overcame that by being a bit more engaging by telling jokes or funny stories.  He found that it won him over many friends.  He was especially glad to see that it eventually worked on Nihm.  She resisted his charm for quite a while.</a:t>
          </a:r>
        </a:p>
        <a:p>
          <a:endParaRPr lang="en-US" sz="12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2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3</xdr:col>
      <xdr:colOff>238125</xdr:colOff>
      <xdr:row>1</xdr:row>
      <xdr:rowOff>123825</xdr:rowOff>
    </xdr:from>
    <xdr:to>
      <xdr:col>4</xdr:col>
      <xdr:colOff>451485</xdr:colOff>
      <xdr:row>2</xdr:row>
      <xdr:rowOff>66675</xdr:rowOff>
    </xdr:to>
    <xdr:sp macro="" textlink="">
      <xdr:nvSpPr>
        <xdr:cNvPr id="3078" name="Text Box 6" hidden="1">
          <a:extLst>
            <a:ext uri="{FF2B5EF4-FFF2-40B4-BE49-F238E27FC236}">
              <a16:creationId xmlns:a16="http://schemas.microsoft.com/office/drawing/2014/main" id="{00000000-0008-0000-03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litz2670@Yaho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8"/>
  <sheetViews>
    <sheetView showGridLines="0" tabSelected="1" zoomScaleNormal="100" workbookViewId="0"/>
  </sheetViews>
  <sheetFormatPr defaultColWidth="13" defaultRowHeight="15.6" x14ac:dyDescent="0.3"/>
  <cols>
    <col min="1" max="1" width="19.69921875" style="39" bestFit="1" customWidth="1"/>
    <col min="2" max="2" width="10.59765625" style="40" customWidth="1"/>
    <col min="3" max="3" width="5.19921875" style="40" customWidth="1"/>
    <col min="4" max="4" width="14" style="39" bestFit="1" customWidth="1"/>
    <col min="5" max="5" width="10.8984375" style="40" bestFit="1" customWidth="1"/>
    <col min="6" max="6" width="17.3984375" style="39" customWidth="1"/>
    <col min="7" max="7" width="17.3984375" style="40" customWidth="1"/>
    <col min="8" max="16384" width="13" style="15"/>
  </cols>
  <sheetData>
    <row r="1" spans="1:7" ht="29.4" thickTop="1" thickBot="1" x14ac:dyDescent="0.35">
      <c r="A1" s="307" t="s">
        <v>120</v>
      </c>
      <c r="B1" s="308" t="s">
        <v>121</v>
      </c>
      <c r="C1" s="214"/>
      <c r="D1" s="215"/>
      <c r="E1" s="216"/>
      <c r="F1" s="215"/>
      <c r="G1" s="217" t="s">
        <v>122</v>
      </c>
    </row>
    <row r="2" spans="1:7" ht="17.399999999999999" thickTop="1" x14ac:dyDescent="0.3">
      <c r="A2" s="16" t="s">
        <v>125</v>
      </c>
      <c r="B2" s="17" t="s">
        <v>88</v>
      </c>
      <c r="C2" s="17"/>
      <c r="D2" s="18" t="s">
        <v>142</v>
      </c>
      <c r="E2" s="19">
        <v>22</v>
      </c>
      <c r="F2" s="20"/>
      <c r="G2" s="21"/>
    </row>
    <row r="3" spans="1:7" ht="16.8" x14ac:dyDescent="0.3">
      <c r="A3" s="16" t="s">
        <v>126</v>
      </c>
      <c r="B3" s="17" t="s">
        <v>95</v>
      </c>
      <c r="C3" s="17"/>
      <c r="D3" s="18" t="s">
        <v>0</v>
      </c>
      <c r="E3" s="19">
        <v>3</v>
      </c>
      <c r="F3" s="18"/>
      <c r="G3" s="21"/>
    </row>
    <row r="4" spans="1:7" ht="16.8" x14ac:dyDescent="0.3">
      <c r="A4" s="16" t="s">
        <v>123</v>
      </c>
      <c r="B4" s="17" t="s">
        <v>145</v>
      </c>
      <c r="C4" s="17"/>
      <c r="D4" s="309" t="s">
        <v>136</v>
      </c>
      <c r="E4" s="310" t="s">
        <v>83</v>
      </c>
      <c r="F4" s="18"/>
      <c r="G4" s="21"/>
    </row>
    <row r="5" spans="1:7" ht="16.8" x14ac:dyDescent="0.3">
      <c r="A5" s="16" t="s">
        <v>124</v>
      </c>
      <c r="B5" s="349" t="s">
        <v>174</v>
      </c>
      <c r="C5" s="17"/>
      <c r="D5" s="309" t="s">
        <v>140</v>
      </c>
      <c r="E5" s="310" t="s">
        <v>143</v>
      </c>
      <c r="F5" s="18"/>
      <c r="G5" s="21"/>
    </row>
    <row r="6" spans="1:7" ht="17.399999999999999" thickBot="1" x14ac:dyDescent="0.35">
      <c r="A6" s="16" t="s">
        <v>127</v>
      </c>
      <c r="B6" s="17" t="s">
        <v>144</v>
      </c>
      <c r="C6" s="17"/>
      <c r="D6" s="309" t="s">
        <v>141</v>
      </c>
      <c r="E6" s="310" t="s">
        <v>156</v>
      </c>
      <c r="F6" s="18"/>
      <c r="G6" s="21"/>
    </row>
    <row r="7" spans="1:7" ht="17.399999999999999" thickTop="1" x14ac:dyDescent="0.3">
      <c r="A7" s="22" t="s">
        <v>128</v>
      </c>
      <c r="B7" s="311">
        <v>2</v>
      </c>
      <c r="C7" s="312"/>
      <c r="D7" s="23" t="s">
        <v>137</v>
      </c>
      <c r="E7" s="24" t="s">
        <v>114</v>
      </c>
      <c r="F7" s="25"/>
      <c r="G7" s="21"/>
    </row>
    <row r="8" spans="1:7" ht="17.399999999999999" thickBot="1" x14ac:dyDescent="0.35">
      <c r="A8" s="26" t="s">
        <v>129</v>
      </c>
      <c r="B8" s="287">
        <f>C10+4</f>
        <v>6</v>
      </c>
      <c r="C8" s="288"/>
      <c r="D8" s="291" t="s">
        <v>139</v>
      </c>
      <c r="E8" s="292" t="str">
        <f>E7</f>
        <v>40’</v>
      </c>
      <c r="F8" s="25"/>
      <c r="G8" s="21"/>
    </row>
    <row r="9" spans="1:7" ht="17.399999999999999" thickTop="1" x14ac:dyDescent="0.3">
      <c r="A9" s="27" t="s">
        <v>130</v>
      </c>
      <c r="B9" s="352">
        <f>13-1</f>
        <v>12</v>
      </c>
      <c r="C9" s="28" t="str">
        <f t="shared" ref="C9:C14" si="0">IF(B9&gt;9.9,CONCATENATE("+",ROUNDDOWN((B9-10)/2,0)),ROUNDUP((B9-10)/2,0))</f>
        <v>+1</v>
      </c>
      <c r="D9" s="29" t="s">
        <v>62</v>
      </c>
      <c r="E9" s="211" t="s">
        <v>146</v>
      </c>
      <c r="F9" s="25"/>
      <c r="G9" s="21"/>
    </row>
    <row r="10" spans="1:7" ht="16.8" x14ac:dyDescent="0.3">
      <c r="A10" s="30" t="s">
        <v>131</v>
      </c>
      <c r="B10" s="34">
        <f>14</f>
        <v>14</v>
      </c>
      <c r="C10" s="35" t="str">
        <f t="shared" si="0"/>
        <v>+2</v>
      </c>
      <c r="D10" s="32" t="s">
        <v>63</v>
      </c>
      <c r="E10" s="33">
        <f>SUM(Martial!G5:G16)+SUM(Equipment!C3:C18)</f>
        <v>85.965000000000003</v>
      </c>
      <c r="F10" s="25"/>
      <c r="G10" s="21"/>
    </row>
    <row r="11" spans="1:7" ht="16.8" x14ac:dyDescent="0.3">
      <c r="A11" s="350" t="s">
        <v>132</v>
      </c>
      <c r="B11" s="34">
        <f>13</f>
        <v>13</v>
      </c>
      <c r="C11" s="35" t="str">
        <f t="shared" si="0"/>
        <v>+1</v>
      </c>
      <c r="D11" s="32" t="s">
        <v>7</v>
      </c>
      <c r="E11" s="306">
        <f>ROUNDUP(((E3*8)*0.75)+(E3*C11),0)</f>
        <v>21</v>
      </c>
      <c r="F11" s="25"/>
      <c r="G11" s="21"/>
    </row>
    <row r="12" spans="1:7" ht="16.8" x14ac:dyDescent="0.3">
      <c r="A12" s="36" t="s">
        <v>133</v>
      </c>
      <c r="B12" s="34">
        <f>12</f>
        <v>12</v>
      </c>
      <c r="C12" s="31" t="str">
        <f t="shared" si="0"/>
        <v>+1</v>
      </c>
      <c r="D12" s="37" t="s">
        <v>75</v>
      </c>
      <c r="E12" s="313">
        <f>10+C10</f>
        <v>12</v>
      </c>
      <c r="F12" s="16"/>
      <c r="G12" s="21"/>
    </row>
    <row r="13" spans="1:7" ht="16.8" x14ac:dyDescent="0.3">
      <c r="A13" s="38" t="s">
        <v>134</v>
      </c>
      <c r="B13" s="34">
        <f>11</f>
        <v>11</v>
      </c>
      <c r="C13" s="31" t="str">
        <f t="shared" si="0"/>
        <v>+0</v>
      </c>
      <c r="D13" s="37" t="s">
        <v>82</v>
      </c>
      <c r="E13" s="294">
        <f>E14-C10</f>
        <v>12</v>
      </c>
      <c r="F13" s="25"/>
      <c r="G13" s="21"/>
    </row>
    <row r="14" spans="1:7" ht="16.8" x14ac:dyDescent="0.3">
      <c r="A14" s="315" t="s">
        <v>135</v>
      </c>
      <c r="B14" s="352">
        <f>11-1</f>
        <v>10</v>
      </c>
      <c r="C14" s="316" t="str">
        <f t="shared" si="0"/>
        <v>+0</v>
      </c>
      <c r="D14" s="317" t="s">
        <v>115</v>
      </c>
      <c r="E14" s="318">
        <f>E12+SUM(Martial!B12:B13)</f>
        <v>14</v>
      </c>
      <c r="F14" s="319"/>
      <c r="G14" s="21"/>
    </row>
    <row r="15" spans="1:7" x14ac:dyDescent="0.3">
      <c r="A15" s="320"/>
      <c r="B15" s="321"/>
      <c r="C15" s="321"/>
      <c r="D15" s="322"/>
      <c r="E15" s="321"/>
      <c r="F15" s="322"/>
      <c r="G15" s="323"/>
    </row>
    <row r="16" spans="1:7" x14ac:dyDescent="0.3">
      <c r="A16" s="324"/>
      <c r="G16" s="325"/>
    </row>
    <row r="17" spans="1:7" x14ac:dyDescent="0.3">
      <c r="A17" s="324"/>
      <c r="G17" s="325"/>
    </row>
    <row r="18" spans="1:7" x14ac:dyDescent="0.3">
      <c r="A18" s="324"/>
      <c r="G18" s="325"/>
    </row>
    <row r="19" spans="1:7" x14ac:dyDescent="0.3">
      <c r="A19" s="324"/>
      <c r="G19" s="325"/>
    </row>
    <row r="20" spans="1:7" x14ac:dyDescent="0.3">
      <c r="A20" s="324"/>
      <c r="G20" s="325"/>
    </row>
    <row r="21" spans="1:7" x14ac:dyDescent="0.3">
      <c r="A21" s="324"/>
      <c r="G21" s="325"/>
    </row>
    <row r="22" spans="1:7" x14ac:dyDescent="0.3">
      <c r="A22" s="324"/>
      <c r="G22" s="325"/>
    </row>
    <row r="23" spans="1:7" x14ac:dyDescent="0.3">
      <c r="A23" s="324"/>
      <c r="G23" s="325"/>
    </row>
    <row r="24" spans="1:7" x14ac:dyDescent="0.3">
      <c r="A24" s="324"/>
      <c r="G24" s="325"/>
    </row>
    <row r="25" spans="1:7" x14ac:dyDescent="0.3">
      <c r="A25" s="324"/>
      <c r="G25" s="325"/>
    </row>
    <row r="26" spans="1:7" x14ac:dyDescent="0.3">
      <c r="A26" s="324"/>
      <c r="G26" s="325"/>
    </row>
    <row r="27" spans="1:7" x14ac:dyDescent="0.3">
      <c r="A27" s="324"/>
      <c r="G27" s="325"/>
    </row>
    <row r="28" spans="1:7" x14ac:dyDescent="0.3">
      <c r="A28" s="324"/>
      <c r="G28" s="325"/>
    </row>
    <row r="29" spans="1:7" x14ac:dyDescent="0.3">
      <c r="A29" s="324"/>
      <c r="G29" s="325"/>
    </row>
    <row r="30" spans="1:7" x14ac:dyDescent="0.3">
      <c r="A30" s="324"/>
      <c r="G30" s="325"/>
    </row>
    <row r="31" spans="1:7" x14ac:dyDescent="0.3">
      <c r="A31" s="324"/>
      <c r="G31" s="325"/>
    </row>
    <row r="32" spans="1:7" x14ac:dyDescent="0.3">
      <c r="A32" s="324"/>
      <c r="G32" s="325"/>
    </row>
    <row r="33" spans="1:7" x14ac:dyDescent="0.3">
      <c r="A33" s="324"/>
      <c r="G33" s="325"/>
    </row>
    <row r="34" spans="1:7" x14ac:dyDescent="0.3">
      <c r="A34" s="324"/>
      <c r="G34" s="325"/>
    </row>
    <row r="35" spans="1:7" x14ac:dyDescent="0.3">
      <c r="A35" s="324"/>
      <c r="G35" s="325"/>
    </row>
    <row r="36" spans="1:7" x14ac:dyDescent="0.3">
      <c r="A36" s="324"/>
      <c r="G36" s="325"/>
    </row>
    <row r="37" spans="1:7" x14ac:dyDescent="0.3">
      <c r="A37" s="324"/>
      <c r="G37" s="325"/>
    </row>
    <row r="38" spans="1:7" x14ac:dyDescent="0.3">
      <c r="A38" s="326"/>
      <c r="B38" s="327"/>
      <c r="C38" s="327"/>
      <c r="D38" s="328"/>
      <c r="E38" s="327"/>
      <c r="F38" s="328"/>
      <c r="G38" s="329"/>
    </row>
  </sheetData>
  <phoneticPr fontId="0" type="noConversion"/>
  <conditionalFormatting sqref="E10">
    <cfRule type="cellIs" dxfId="12" priority="4" stopIfTrue="1" operator="greaterThan">
      <formula>116</formula>
    </cfRule>
    <cfRule type="cellIs" dxfId="11" priority="5" stopIfTrue="1" operator="between">
      <formula>58</formula>
      <formula>116</formula>
    </cfRule>
  </conditionalFormatting>
  <hyperlinks>
    <hyperlink ref="G1" r:id="rId1" xr:uid="{FCEC15E4-B6BA-4BDF-8948-35ECCC670A8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8"/>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27.8984375" style="39" bestFit="1" customWidth="1"/>
    <col min="2" max="2" width="5.8984375" style="39" bestFit="1" customWidth="1"/>
    <col min="3" max="3" width="7.59765625" style="40" hidden="1" customWidth="1"/>
    <col min="4" max="4" width="5.8984375" style="40" hidden="1" customWidth="1"/>
    <col min="5" max="5" width="9.19921875" style="40" bestFit="1" customWidth="1"/>
    <col min="6" max="6" width="6.69921875" style="40" bestFit="1" customWidth="1"/>
    <col min="7" max="7" width="6" style="120" bestFit="1" customWidth="1"/>
    <col min="8" max="8" width="5.19921875" style="120" bestFit="1" customWidth="1"/>
    <col min="9" max="9" width="6.8984375" style="120" bestFit="1" customWidth="1"/>
    <col min="10" max="10" width="20.69921875" style="39" bestFit="1" customWidth="1"/>
    <col min="11" max="11" width="13" style="201"/>
    <col min="12" max="16384" width="13" style="15"/>
  </cols>
  <sheetData>
    <row r="1" spans="1:11" ht="23.4" thickBot="1" x14ac:dyDescent="0.35">
      <c r="A1" s="41" t="s">
        <v>6</v>
      </c>
      <c r="B1" s="42"/>
      <c r="C1" s="42"/>
      <c r="D1" s="42"/>
      <c r="E1" s="42"/>
      <c r="F1" s="42"/>
      <c r="G1" s="43"/>
      <c r="H1" s="43"/>
      <c r="I1" s="43"/>
      <c r="J1" s="42"/>
    </row>
    <row r="2" spans="1:11" s="8" customFormat="1" ht="34.200000000000003" thickBot="1" x14ac:dyDescent="0.35">
      <c r="A2" s="1" t="s">
        <v>81</v>
      </c>
      <c r="B2" s="2" t="s">
        <v>21</v>
      </c>
      <c r="C2" s="2" t="s">
        <v>28</v>
      </c>
      <c r="D2" s="2" t="s">
        <v>20</v>
      </c>
      <c r="E2" s="3" t="s">
        <v>53</v>
      </c>
      <c r="F2" s="3" t="s">
        <v>29</v>
      </c>
      <c r="G2" s="4" t="s">
        <v>55</v>
      </c>
      <c r="H2" s="5" t="s">
        <v>80</v>
      </c>
      <c r="I2" s="6" t="s">
        <v>69</v>
      </c>
      <c r="J2" s="7" t="s">
        <v>68</v>
      </c>
      <c r="K2" s="201"/>
    </row>
    <row r="3" spans="1:11" s="8" customFormat="1" ht="15.75" customHeight="1" x14ac:dyDescent="0.3">
      <c r="A3" s="44" t="s">
        <v>57</v>
      </c>
      <c r="B3" s="45">
        <v>1</v>
      </c>
      <c r="C3" s="46" t="s">
        <v>23</v>
      </c>
      <c r="D3" s="46" t="str">
        <f>IF(C3="Str",'Personal File'!$C$9,IF(C3="Dex",'Personal File'!$C$10,IF(C3="Con",'Personal File'!$C$11,IF(C3="Int",'Personal File'!$C$12,IF(C3="Wis",'Personal File'!$C$13,IF(C3="Cha",'Personal File'!$C$14))))))</f>
        <v>+1</v>
      </c>
      <c r="E3" s="278" t="str">
        <f t="shared" ref="E3:E5" si="0">CONCATENATE(C3," (",D3,")")</f>
        <v>Con (+1)</v>
      </c>
      <c r="F3" s="47">
        <v>0</v>
      </c>
      <c r="G3" s="47">
        <f t="shared" ref="G3:G43" si="1">B3+D3+F3</f>
        <v>2</v>
      </c>
      <c r="H3" s="48">
        <f t="shared" ref="H3:H5" ca="1" si="2">RANDBETWEEN(1,20)</f>
        <v>12</v>
      </c>
      <c r="I3" s="47">
        <f t="shared" ref="I3:I43" ca="1" si="3">SUM(G3:H3)</f>
        <v>14</v>
      </c>
      <c r="J3" s="49"/>
      <c r="K3" s="201"/>
    </row>
    <row r="4" spans="1:11" s="8" customFormat="1" ht="15.75" customHeight="1" x14ac:dyDescent="0.3">
      <c r="A4" s="50" t="s">
        <v>58</v>
      </c>
      <c r="B4" s="45">
        <v>3</v>
      </c>
      <c r="C4" s="46" t="s">
        <v>26</v>
      </c>
      <c r="D4" s="46" t="str">
        <f>IF(C4="Str",'Personal File'!$C$9,IF(C4="Dex",'Personal File'!$C$10,IF(C4="Con",'Personal File'!$C$11,IF(C4="Int",'Personal File'!$C$12,IF(C4="Wis",'Personal File'!$C$13,IF(C4="Cha",'Personal File'!$C$14))))))</f>
        <v>+2</v>
      </c>
      <c r="E4" s="279" t="str">
        <f t="shared" si="0"/>
        <v>Dex (+2)</v>
      </c>
      <c r="F4" s="47">
        <v>0</v>
      </c>
      <c r="G4" s="47">
        <f t="shared" si="1"/>
        <v>5</v>
      </c>
      <c r="H4" s="48">
        <f t="shared" ca="1" si="2"/>
        <v>8</v>
      </c>
      <c r="I4" s="47">
        <f t="shared" ca="1" si="3"/>
        <v>13</v>
      </c>
      <c r="J4" s="84"/>
      <c r="K4" s="255"/>
    </row>
    <row r="5" spans="1:11" s="8" customFormat="1" ht="15.75" customHeight="1" x14ac:dyDescent="0.3">
      <c r="A5" s="51" t="s">
        <v>59</v>
      </c>
      <c r="B5" s="52">
        <v>1</v>
      </c>
      <c r="C5" s="53" t="s">
        <v>25</v>
      </c>
      <c r="D5" s="53" t="str">
        <f>IF(C5="Str",'Personal File'!$C$9,IF(C5="Dex",'Personal File'!$C$10,IF(C5="Con",'Personal File'!$C$11,IF(C5="Int",'Personal File'!$C$12,IF(C5="Wis",'Personal File'!$C$13,IF(C5="Cha",'Personal File'!$C$14))))))</f>
        <v>+0</v>
      </c>
      <c r="E5" s="280" t="str">
        <f t="shared" si="0"/>
        <v>Wis (+0)</v>
      </c>
      <c r="F5" s="54">
        <v>0</v>
      </c>
      <c r="G5" s="54">
        <f t="shared" si="1"/>
        <v>1</v>
      </c>
      <c r="H5" s="55">
        <f t="shared" ca="1" si="2"/>
        <v>20</v>
      </c>
      <c r="I5" s="54">
        <f t="shared" ca="1" si="3"/>
        <v>21</v>
      </c>
      <c r="J5" s="56"/>
      <c r="K5" s="201"/>
    </row>
    <row r="6" spans="1:11" s="64" customFormat="1" ht="16.8" x14ac:dyDescent="0.3">
      <c r="A6" s="57" t="s">
        <v>30</v>
      </c>
      <c r="B6" s="58">
        <v>0</v>
      </c>
      <c r="C6" s="59" t="s">
        <v>24</v>
      </c>
      <c r="D6" s="60" t="str">
        <f>IF(C6="Str",'Personal File'!$C$9,IF(C6="Dex",'Personal File'!$C$10,IF(C6="Con",'Personal File'!$C$11,IF(C6="Int",'Personal File'!$C$12,IF(C6="Wis",'Personal File'!$C$13,IF(C6="Cha",'Personal File'!$C$14))))))</f>
        <v>+1</v>
      </c>
      <c r="E6" s="60" t="str">
        <f t="shared" ref="E6:E43" si="4">CONCATENATE(C6," (",D6,")")</f>
        <v>Int (+1)</v>
      </c>
      <c r="F6" s="61" t="s">
        <v>54</v>
      </c>
      <c r="G6" s="62">
        <f t="shared" si="1"/>
        <v>1</v>
      </c>
      <c r="H6" s="48">
        <f ca="1">RANDBETWEEN(1,20)</f>
        <v>9</v>
      </c>
      <c r="I6" s="62">
        <f t="shared" ca="1" si="3"/>
        <v>10</v>
      </c>
      <c r="J6" s="84"/>
    </row>
    <row r="7" spans="1:11" s="71" customFormat="1" ht="16.8" x14ac:dyDescent="0.3">
      <c r="A7" s="65" t="s">
        <v>31</v>
      </c>
      <c r="B7" s="66">
        <v>3</v>
      </c>
      <c r="C7" s="67" t="s">
        <v>26</v>
      </c>
      <c r="D7" s="68" t="str">
        <f>IF(C7="Str",'Personal File'!$C$9,IF(C7="Dex",'Personal File'!$C$10,IF(C7="Con",'Personal File'!$C$11,IF(C7="Int",'Personal File'!$C$12,IF(C7="Wis",'Personal File'!$C$13,IF(C7="Cha",'Personal File'!$C$14))))))</f>
        <v>+2</v>
      </c>
      <c r="E7" s="68" t="str">
        <f t="shared" si="4"/>
        <v>Dex (+2)</v>
      </c>
      <c r="F7" s="69" t="s">
        <v>54</v>
      </c>
      <c r="G7" s="69">
        <f t="shared" si="1"/>
        <v>5</v>
      </c>
      <c r="H7" s="48">
        <f t="shared" ref="H7:H43" ca="1" si="5">RANDBETWEEN(1,20)</f>
        <v>4</v>
      </c>
      <c r="I7" s="69">
        <f t="shared" ca="1" si="3"/>
        <v>9</v>
      </c>
      <c r="J7" s="224"/>
    </row>
    <row r="8" spans="1:11" s="75" customFormat="1" ht="16.8" x14ac:dyDescent="0.3">
      <c r="A8" s="72" t="s">
        <v>32</v>
      </c>
      <c r="B8" s="58">
        <v>0</v>
      </c>
      <c r="C8" s="73" t="s">
        <v>22</v>
      </c>
      <c r="D8" s="74" t="str">
        <f>IF(C8="Str",'Personal File'!$C$9,IF(C8="Dex",'Personal File'!$C$10,IF(C8="Con",'Personal File'!$C$11,IF(C8="Int",'Personal File'!$C$12,IF(C8="Wis",'Personal File'!$C$13,IF(C8="Cha",'Personal File'!$C$14))))))</f>
        <v>+0</v>
      </c>
      <c r="E8" s="74" t="str">
        <f t="shared" si="4"/>
        <v>Cha (+0)</v>
      </c>
      <c r="F8" s="62" t="s">
        <v>54</v>
      </c>
      <c r="G8" s="62">
        <f t="shared" si="1"/>
        <v>0</v>
      </c>
      <c r="H8" s="48">
        <f t="shared" ca="1" si="5"/>
        <v>19</v>
      </c>
      <c r="I8" s="62">
        <f t="shared" ca="1" si="3"/>
        <v>19</v>
      </c>
      <c r="J8" s="84"/>
    </row>
    <row r="9" spans="1:11" s="76" customFormat="1" ht="16.8" x14ac:dyDescent="0.3">
      <c r="A9" s="233" t="s">
        <v>33</v>
      </c>
      <c r="B9" s="66">
        <v>5</v>
      </c>
      <c r="C9" s="234" t="s">
        <v>27</v>
      </c>
      <c r="D9" s="235" t="str">
        <f>IF(C9="Str",'Personal File'!$C$9,IF(C9="Dex",'Personal File'!$C$10,IF(C9="Con",'Personal File'!$C$11,IF(C9="Int",'Personal File'!$C$12,IF(C9="Wis",'Personal File'!$C$13,IF(C9="Cha",'Personal File'!$C$14))))))</f>
        <v>+1</v>
      </c>
      <c r="E9" s="235" t="str">
        <f t="shared" si="4"/>
        <v>Str (+1)</v>
      </c>
      <c r="F9" s="69" t="s">
        <v>54</v>
      </c>
      <c r="G9" s="69">
        <f t="shared" si="1"/>
        <v>6</v>
      </c>
      <c r="H9" s="48">
        <f t="shared" ca="1" si="5"/>
        <v>18</v>
      </c>
      <c r="I9" s="69">
        <f t="shared" ca="1" si="3"/>
        <v>24</v>
      </c>
      <c r="J9" s="224"/>
    </row>
    <row r="10" spans="1:11" s="76" customFormat="1" ht="16.8" x14ac:dyDescent="0.3">
      <c r="A10" s="218" t="s">
        <v>8</v>
      </c>
      <c r="B10" s="58">
        <v>0</v>
      </c>
      <c r="C10" s="219" t="s">
        <v>23</v>
      </c>
      <c r="D10" s="220" t="str">
        <f>IF(C10="Str",'Personal File'!$C$9,IF(C10="Dex",'Personal File'!$C$10,IF(C10="Con",'Personal File'!$C$11,IF(C10="Int",'Personal File'!$C$12,IF(C10="Wis",'Personal File'!$C$13,IF(C10="Cha",'Personal File'!$C$14))))))</f>
        <v>+1</v>
      </c>
      <c r="E10" s="220" t="str">
        <f t="shared" si="4"/>
        <v>Con (+1)</v>
      </c>
      <c r="F10" s="62" t="s">
        <v>54</v>
      </c>
      <c r="G10" s="62">
        <f t="shared" si="1"/>
        <v>1</v>
      </c>
      <c r="H10" s="48">
        <f t="shared" ca="1" si="5"/>
        <v>13</v>
      </c>
      <c r="I10" s="62">
        <f t="shared" ca="1" si="3"/>
        <v>14</v>
      </c>
      <c r="J10" s="84"/>
    </row>
    <row r="11" spans="1:11" s="64" customFormat="1" ht="16.8" x14ac:dyDescent="0.3">
      <c r="A11" s="85" t="s">
        <v>149</v>
      </c>
      <c r="B11" s="66">
        <v>2</v>
      </c>
      <c r="C11" s="86" t="s">
        <v>24</v>
      </c>
      <c r="D11" s="87" t="str">
        <f>IF(C11="Str",'Personal File'!$C$9,IF(C11="Dex",'Personal File'!$C$10,IF(C11="Con",'Personal File'!$C$11,IF(C11="Int",'Personal File'!$C$12,IF(C11="Wis",'Personal File'!$C$13,IF(C11="Cha",'Personal File'!$C$14))))))</f>
        <v>+1</v>
      </c>
      <c r="E11" s="87" t="str">
        <f t="shared" si="4"/>
        <v>Int (+1)</v>
      </c>
      <c r="F11" s="69" t="s">
        <v>54</v>
      </c>
      <c r="G11" s="69">
        <f t="shared" si="1"/>
        <v>3</v>
      </c>
      <c r="H11" s="48">
        <f t="shared" ca="1" si="5"/>
        <v>3</v>
      </c>
      <c r="I11" s="69">
        <f t="shared" ca="1" si="3"/>
        <v>6</v>
      </c>
      <c r="J11" s="224"/>
    </row>
    <row r="12" spans="1:11" s="83" customFormat="1" ht="16.8" x14ac:dyDescent="0.3">
      <c r="A12" s="77" t="s">
        <v>34</v>
      </c>
      <c r="B12" s="78">
        <v>0</v>
      </c>
      <c r="C12" s="79" t="s">
        <v>24</v>
      </c>
      <c r="D12" s="80" t="str">
        <f>IF(C12="Str",'Personal File'!$C$9,IF(C12="Dex",'Personal File'!$C$10,IF(C12="Con",'Personal File'!$C$11,IF(C12="Int",'Personal File'!$C$12,IF(C12="Wis",'Personal File'!$C$13,IF(C12="Cha",'Personal File'!$C$14))))))</f>
        <v>+1</v>
      </c>
      <c r="E12" s="80" t="str">
        <f t="shared" si="4"/>
        <v>Int (+1)</v>
      </c>
      <c r="F12" s="81" t="s">
        <v>54</v>
      </c>
      <c r="G12" s="81">
        <f t="shared" si="1"/>
        <v>1</v>
      </c>
      <c r="H12" s="48">
        <f t="shared" ca="1" si="5"/>
        <v>12</v>
      </c>
      <c r="I12" s="81">
        <f t="shared" ca="1" si="3"/>
        <v>13</v>
      </c>
      <c r="J12" s="254"/>
    </row>
    <row r="13" spans="1:11" s="71" customFormat="1" ht="16.8" x14ac:dyDescent="0.3">
      <c r="A13" s="72" t="s">
        <v>35</v>
      </c>
      <c r="B13" s="58">
        <v>0</v>
      </c>
      <c r="C13" s="73" t="s">
        <v>22</v>
      </c>
      <c r="D13" s="74" t="str">
        <f>IF(C13="Str",'Personal File'!$C$9,IF(C13="Dex",'Personal File'!$C$10,IF(C13="Con",'Personal File'!$C$11,IF(C13="Int",'Personal File'!$C$12,IF(C13="Wis",'Personal File'!$C$13,IF(C13="Cha",'Personal File'!$C$14))))))</f>
        <v>+0</v>
      </c>
      <c r="E13" s="74" t="str">
        <f t="shared" si="4"/>
        <v>Cha (+0)</v>
      </c>
      <c r="F13" s="62" t="s">
        <v>54</v>
      </c>
      <c r="G13" s="62">
        <f t="shared" si="1"/>
        <v>0</v>
      </c>
      <c r="H13" s="48">
        <f t="shared" ca="1" si="5"/>
        <v>14</v>
      </c>
      <c r="I13" s="62">
        <f t="shared" ca="1" si="3"/>
        <v>14</v>
      </c>
      <c r="J13" s="84"/>
    </row>
    <row r="14" spans="1:11" s="71" customFormat="1" ht="16.8" x14ac:dyDescent="0.3">
      <c r="A14" s="57" t="s">
        <v>36</v>
      </c>
      <c r="B14" s="58">
        <v>0</v>
      </c>
      <c r="C14" s="59" t="s">
        <v>24</v>
      </c>
      <c r="D14" s="60" t="str">
        <f>IF(C14="Str",'Personal File'!$C$9,IF(C14="Dex",'Personal File'!$C$10,IF(C14="Con",'Personal File'!$C$11,IF(C14="Int",'Personal File'!$C$12,IF(C14="Wis",'Personal File'!$C$13,IF(C14="Cha",'Personal File'!$C$14))))))</f>
        <v>+1</v>
      </c>
      <c r="E14" s="60" t="str">
        <f t="shared" si="4"/>
        <v>Int (+1)</v>
      </c>
      <c r="F14" s="62" t="s">
        <v>54</v>
      </c>
      <c r="G14" s="62">
        <f t="shared" si="1"/>
        <v>1</v>
      </c>
      <c r="H14" s="48">
        <f t="shared" ca="1" si="5"/>
        <v>4</v>
      </c>
      <c r="I14" s="62">
        <f t="shared" ca="1" si="3"/>
        <v>5</v>
      </c>
      <c r="J14" s="84"/>
    </row>
    <row r="15" spans="1:11" s="71" customFormat="1" ht="16.8" x14ac:dyDescent="0.3">
      <c r="A15" s="72" t="s">
        <v>37</v>
      </c>
      <c r="B15" s="58">
        <v>0</v>
      </c>
      <c r="C15" s="73" t="s">
        <v>22</v>
      </c>
      <c r="D15" s="74" t="str">
        <f>IF(C15="Str",'Personal File'!$C$9,IF(C15="Dex",'Personal File'!$C$10,IF(C15="Con",'Personal File'!$C$11,IF(C15="Int",'Personal File'!$C$12,IF(C15="Wis",'Personal File'!$C$13,IF(C15="Cha",'Personal File'!$C$14))))))</f>
        <v>+0</v>
      </c>
      <c r="E15" s="74" t="str">
        <f t="shared" si="4"/>
        <v>Cha (+0)</v>
      </c>
      <c r="F15" s="62" t="s">
        <v>54</v>
      </c>
      <c r="G15" s="62">
        <f t="shared" si="1"/>
        <v>0</v>
      </c>
      <c r="H15" s="48">
        <f t="shared" ca="1" si="5"/>
        <v>6</v>
      </c>
      <c r="I15" s="62">
        <f t="shared" ca="1" si="3"/>
        <v>6</v>
      </c>
      <c r="J15" s="84"/>
    </row>
    <row r="16" spans="1:11" s="71" customFormat="1" ht="16.8" x14ac:dyDescent="0.3">
      <c r="A16" s="65" t="s">
        <v>38</v>
      </c>
      <c r="B16" s="66">
        <v>2</v>
      </c>
      <c r="C16" s="67" t="s">
        <v>26</v>
      </c>
      <c r="D16" s="68" t="str">
        <f>IF(C16="Str",'Personal File'!$C$9,IF(C16="Dex",'Personal File'!$C$10,IF(C16="Con",'Personal File'!$C$11,IF(C16="Int",'Personal File'!$C$12,IF(C16="Wis",'Personal File'!$C$13,IF(C16="Cha",'Personal File'!$C$14))))))</f>
        <v>+2</v>
      </c>
      <c r="E16" s="68" t="str">
        <f t="shared" si="4"/>
        <v>Dex (+2)</v>
      </c>
      <c r="F16" s="69" t="s">
        <v>54</v>
      </c>
      <c r="G16" s="69">
        <f t="shared" si="1"/>
        <v>4</v>
      </c>
      <c r="H16" s="48">
        <f t="shared" ca="1" si="5"/>
        <v>6</v>
      </c>
      <c r="I16" s="69">
        <f t="shared" ca="1" si="3"/>
        <v>10</v>
      </c>
      <c r="J16" s="224"/>
    </row>
    <row r="17" spans="1:10" s="71" customFormat="1" ht="16.8" x14ac:dyDescent="0.3">
      <c r="A17" s="88" t="s">
        <v>39</v>
      </c>
      <c r="B17" s="89">
        <v>0</v>
      </c>
      <c r="C17" s="90" t="s">
        <v>24</v>
      </c>
      <c r="D17" s="91" t="str">
        <f>IF(C17="Str",'Personal File'!$C$9,IF(C17="Dex",'Personal File'!$C$10,IF(C17="Con",'Personal File'!$C$11,IF(C17="Int",'Personal File'!$C$12,IF(C17="Wis",'Personal File'!$C$13,IF(C17="Cha",'Personal File'!$C$14))))))</f>
        <v>+1</v>
      </c>
      <c r="E17" s="91" t="str">
        <f t="shared" si="4"/>
        <v>Int (+1)</v>
      </c>
      <c r="F17" s="92" t="s">
        <v>54</v>
      </c>
      <c r="G17" s="92">
        <f t="shared" si="1"/>
        <v>1</v>
      </c>
      <c r="H17" s="48">
        <f t="shared" ca="1" si="5"/>
        <v>18</v>
      </c>
      <c r="I17" s="92">
        <f t="shared" ca="1" si="3"/>
        <v>19</v>
      </c>
      <c r="J17" s="290"/>
    </row>
    <row r="18" spans="1:10" s="71" customFormat="1" ht="16.8" x14ac:dyDescent="0.3">
      <c r="A18" s="72" t="s">
        <v>40</v>
      </c>
      <c r="B18" s="58">
        <v>0</v>
      </c>
      <c r="C18" s="73" t="s">
        <v>22</v>
      </c>
      <c r="D18" s="74" t="str">
        <f>IF(C18="Str",'Personal File'!$C$9,IF(C18="Dex",'Personal File'!$C$10,IF(C18="Con",'Personal File'!$C$11,IF(C18="Int",'Personal File'!$C$12,IF(C18="Wis",'Personal File'!$C$13,IF(C18="Cha",'Personal File'!$C$14))))))</f>
        <v>+0</v>
      </c>
      <c r="E18" s="74" t="str">
        <f t="shared" si="4"/>
        <v>Cha (+0)</v>
      </c>
      <c r="F18" s="62" t="s">
        <v>54</v>
      </c>
      <c r="G18" s="62">
        <f t="shared" si="1"/>
        <v>0</v>
      </c>
      <c r="H18" s="48">
        <f t="shared" ca="1" si="5"/>
        <v>3</v>
      </c>
      <c r="I18" s="62">
        <f t="shared" ca="1" si="3"/>
        <v>3</v>
      </c>
      <c r="J18" s="84"/>
    </row>
    <row r="19" spans="1:10" s="71" customFormat="1" ht="16.8" x14ac:dyDescent="0.3">
      <c r="A19" s="72" t="s">
        <v>10</v>
      </c>
      <c r="B19" s="58">
        <v>0</v>
      </c>
      <c r="C19" s="73" t="s">
        <v>22</v>
      </c>
      <c r="D19" s="74" t="str">
        <f>IF(C19="Str",'Personal File'!$C$9,IF(C19="Dex",'Personal File'!$C$10,IF(C19="Con",'Personal File'!$C$11,IF(C19="Int",'Personal File'!$C$12,IF(C19="Wis",'Personal File'!$C$13,IF(C19="Cha",'Personal File'!$C$14))))))</f>
        <v>+0</v>
      </c>
      <c r="E19" s="74" t="str">
        <f t="shared" si="4"/>
        <v>Cha (+0)</v>
      </c>
      <c r="F19" s="62" t="s">
        <v>54</v>
      </c>
      <c r="G19" s="62">
        <f t="shared" si="1"/>
        <v>0</v>
      </c>
      <c r="H19" s="48">
        <f t="shared" ca="1" si="5"/>
        <v>4</v>
      </c>
      <c r="I19" s="62">
        <f t="shared" ca="1" si="3"/>
        <v>4</v>
      </c>
      <c r="J19" s="84"/>
    </row>
    <row r="20" spans="1:10" s="71" customFormat="1" ht="16.8" x14ac:dyDescent="0.3">
      <c r="A20" s="94" t="s">
        <v>41</v>
      </c>
      <c r="B20" s="58">
        <v>0</v>
      </c>
      <c r="C20" s="95" t="s">
        <v>25</v>
      </c>
      <c r="D20" s="96" t="str">
        <f>IF(C20="Str",'Personal File'!$C$9,IF(C20="Dex",'Personal File'!$C$10,IF(C20="Con",'Personal File'!$C$11,IF(C20="Int",'Personal File'!$C$12,IF(C20="Wis",'Personal File'!$C$13,IF(C20="Cha",'Personal File'!$C$14))))))</f>
        <v>+0</v>
      </c>
      <c r="E20" s="96" t="str">
        <f t="shared" si="4"/>
        <v>Wis (+0)</v>
      </c>
      <c r="F20" s="62" t="s">
        <v>54</v>
      </c>
      <c r="G20" s="62">
        <f t="shared" si="1"/>
        <v>0</v>
      </c>
      <c r="H20" s="48">
        <f t="shared" ca="1" si="5"/>
        <v>4</v>
      </c>
      <c r="I20" s="62">
        <f t="shared" ca="1" si="3"/>
        <v>4</v>
      </c>
      <c r="J20" s="63"/>
    </row>
    <row r="21" spans="1:10" s="71" customFormat="1" ht="16.8" x14ac:dyDescent="0.3">
      <c r="A21" s="65" t="s">
        <v>42</v>
      </c>
      <c r="B21" s="66">
        <v>4</v>
      </c>
      <c r="C21" s="67" t="s">
        <v>26</v>
      </c>
      <c r="D21" s="68" t="str">
        <f>IF(C21="Str",'Personal File'!$C$9,IF(C21="Dex",'Personal File'!$C$10,IF(C21="Con",'Personal File'!$C$11,IF(C21="Int",'Personal File'!$C$12,IF(C21="Wis",'Personal File'!$C$13,IF(C21="Cha",'Personal File'!$C$14))))))</f>
        <v>+2</v>
      </c>
      <c r="E21" s="68" t="str">
        <f t="shared" si="4"/>
        <v>Dex (+2)</v>
      </c>
      <c r="F21" s="69" t="s">
        <v>54</v>
      </c>
      <c r="G21" s="69">
        <f t="shared" si="1"/>
        <v>6</v>
      </c>
      <c r="H21" s="48">
        <f t="shared" ca="1" si="5"/>
        <v>1</v>
      </c>
      <c r="I21" s="69">
        <f t="shared" ca="1" si="3"/>
        <v>7</v>
      </c>
      <c r="J21" s="70"/>
    </row>
    <row r="22" spans="1:10" s="71" customFormat="1" ht="16.8" x14ac:dyDescent="0.3">
      <c r="A22" s="97" t="s">
        <v>43</v>
      </c>
      <c r="B22" s="89">
        <v>0</v>
      </c>
      <c r="C22" s="98" t="s">
        <v>22</v>
      </c>
      <c r="D22" s="99" t="str">
        <f>IF(C22="Str",'Personal File'!$C$9,IF(C22="Dex",'Personal File'!$C$10,IF(C22="Con",'Personal File'!$C$11,IF(C22="Int",'Personal File'!$C$12,IF(C22="Wis",'Personal File'!$C$13,IF(C22="Cha",'Personal File'!$C$14))))))</f>
        <v>+0</v>
      </c>
      <c r="E22" s="281" t="str">
        <f t="shared" si="4"/>
        <v>Cha (+0)</v>
      </c>
      <c r="F22" s="92" t="s">
        <v>54</v>
      </c>
      <c r="G22" s="92">
        <f t="shared" si="1"/>
        <v>0</v>
      </c>
      <c r="H22" s="48">
        <f t="shared" ca="1" si="5"/>
        <v>18</v>
      </c>
      <c r="I22" s="92">
        <f t="shared" ca="1" si="3"/>
        <v>18</v>
      </c>
      <c r="J22" s="93"/>
    </row>
    <row r="23" spans="1:10" s="71" customFormat="1" ht="16.8" x14ac:dyDescent="0.3">
      <c r="A23" s="233" t="s">
        <v>44</v>
      </c>
      <c r="B23" s="66">
        <v>4</v>
      </c>
      <c r="C23" s="234" t="s">
        <v>27</v>
      </c>
      <c r="D23" s="235" t="str">
        <f>IF(C23="Str",'Personal File'!$C$9,IF(C23="Dex",'Personal File'!$C$10,IF(C23="Con",'Personal File'!$C$11,IF(C23="Int",'Personal File'!$C$12,IF(C23="Wis",'Personal File'!$C$13,IF(C23="Cha",'Personal File'!$C$14))))))</f>
        <v>+1</v>
      </c>
      <c r="E23" s="235" t="str">
        <f t="shared" si="4"/>
        <v>Str (+1)</v>
      </c>
      <c r="F23" s="69" t="s">
        <v>54</v>
      </c>
      <c r="G23" s="69">
        <f t="shared" si="1"/>
        <v>5</v>
      </c>
      <c r="H23" s="48">
        <f t="shared" ca="1" si="5"/>
        <v>9</v>
      </c>
      <c r="I23" s="69">
        <f t="shared" ca="1" si="3"/>
        <v>14</v>
      </c>
      <c r="J23" s="70"/>
    </row>
    <row r="24" spans="1:10" s="71" customFormat="1" ht="16.8" x14ac:dyDescent="0.3">
      <c r="A24" s="85" t="s">
        <v>108</v>
      </c>
      <c r="B24" s="66">
        <v>2</v>
      </c>
      <c r="C24" s="86" t="s">
        <v>24</v>
      </c>
      <c r="D24" s="87" t="str">
        <f>IF(C24="Str",'Personal File'!$C$9,IF(C24="Dex",'Personal File'!$C$10,IF(C24="Con",'Personal File'!$C$11,IF(C24="Int",'Personal File'!$C$12,IF(C24="Wis",'Personal File'!$C$13,IF(C24="Cha",'Personal File'!$C$14))))))</f>
        <v>+1</v>
      </c>
      <c r="E24" s="87" t="str">
        <f>CONCATENATE(C24," (",D24,")")</f>
        <v>Int (+1)</v>
      </c>
      <c r="F24" s="69" t="s">
        <v>54</v>
      </c>
      <c r="G24" s="69">
        <f t="shared" si="1"/>
        <v>3</v>
      </c>
      <c r="H24" s="48">
        <f t="shared" ca="1" si="5"/>
        <v>5</v>
      </c>
      <c r="I24" s="69">
        <f t="shared" ca="1" si="3"/>
        <v>8</v>
      </c>
      <c r="J24" s="70"/>
    </row>
    <row r="25" spans="1:10" s="71" customFormat="1" ht="16.8" x14ac:dyDescent="0.3">
      <c r="A25" s="85" t="s">
        <v>175</v>
      </c>
      <c r="B25" s="66">
        <v>2</v>
      </c>
      <c r="C25" s="86" t="s">
        <v>24</v>
      </c>
      <c r="D25" s="87" t="str">
        <f>IF(C25="Str",'Personal File'!$C$9,IF(C25="Dex",'Personal File'!$C$10,IF(C25="Con",'Personal File'!$C$11,IF(C25="Int",'Personal File'!$C$12,IF(C25="Wis",'Personal File'!$C$13,IF(C25="Cha",'Personal File'!$C$14))))))</f>
        <v>+1</v>
      </c>
      <c r="E25" s="87" t="str">
        <f>CONCATENATE(C25," (",D25,")")</f>
        <v>Int (+1)</v>
      </c>
      <c r="F25" s="69" t="s">
        <v>54</v>
      </c>
      <c r="G25" s="69">
        <f t="shared" ref="G25" si="6">B25+D25+F25</f>
        <v>3</v>
      </c>
      <c r="H25" s="48">
        <f t="shared" ca="1" si="5"/>
        <v>5</v>
      </c>
      <c r="I25" s="69">
        <f t="shared" ref="I25" ca="1" si="7">SUM(G25:H25)</f>
        <v>8</v>
      </c>
      <c r="J25" s="70"/>
    </row>
    <row r="26" spans="1:10" s="71" customFormat="1" ht="16.8" x14ac:dyDescent="0.3">
      <c r="A26" s="85" t="s">
        <v>110</v>
      </c>
      <c r="B26" s="66">
        <v>4</v>
      </c>
      <c r="C26" s="86" t="s">
        <v>24</v>
      </c>
      <c r="D26" s="87" t="str">
        <f>IF(C26="Str",'Personal File'!$C$9,IF(C26="Dex",'Personal File'!$C$10,IF(C26="Con",'Personal File'!$C$11,IF(C26="Int",'Personal File'!$C$12,IF(C26="Wis",'Personal File'!$C$13,IF(C26="Cha",'Personal File'!$C$14))))))</f>
        <v>+1</v>
      </c>
      <c r="E26" s="87" t="str">
        <f>CONCATENATE(C26," (",D26,")")</f>
        <v>Int (+1)</v>
      </c>
      <c r="F26" s="236">
        <f>2</f>
        <v>2</v>
      </c>
      <c r="G26" s="69">
        <f t="shared" ref="G26" si="8">B26+D26+F26</f>
        <v>7</v>
      </c>
      <c r="H26" s="48">
        <f t="shared" ca="1" si="5"/>
        <v>13</v>
      </c>
      <c r="I26" s="69">
        <f t="shared" ref="I26" ca="1" si="9">SUM(G26:H26)</f>
        <v>20</v>
      </c>
      <c r="J26" s="70"/>
    </row>
    <row r="27" spans="1:10" s="71" customFormat="1" ht="16.8" x14ac:dyDescent="0.3">
      <c r="A27" s="221" t="s">
        <v>45</v>
      </c>
      <c r="B27" s="66">
        <v>4</v>
      </c>
      <c r="C27" s="222" t="s">
        <v>25</v>
      </c>
      <c r="D27" s="223" t="str">
        <f>IF(C27="Str",'Personal File'!$C$9,IF(C27="Dex",'Personal File'!$C$10,IF(C27="Con",'Personal File'!$C$11,IF(C27="Int",'Personal File'!$C$12,IF(C27="Wis",'Personal File'!$C$13,IF(C27="Cha",'Personal File'!$C$14))))))</f>
        <v>+0</v>
      </c>
      <c r="E27" s="223" t="str">
        <f t="shared" si="4"/>
        <v>Wis (+0)</v>
      </c>
      <c r="F27" s="69" t="s">
        <v>54</v>
      </c>
      <c r="G27" s="69">
        <f t="shared" si="1"/>
        <v>4</v>
      </c>
      <c r="H27" s="48">
        <f t="shared" ca="1" si="5"/>
        <v>20</v>
      </c>
      <c r="I27" s="69">
        <f t="shared" ca="1" si="3"/>
        <v>24</v>
      </c>
      <c r="J27" s="70"/>
    </row>
    <row r="28" spans="1:10" s="71" customFormat="1" ht="16.8" x14ac:dyDescent="0.3">
      <c r="A28" s="65" t="s">
        <v>11</v>
      </c>
      <c r="B28" s="66">
        <v>4</v>
      </c>
      <c r="C28" s="67" t="s">
        <v>26</v>
      </c>
      <c r="D28" s="68" t="str">
        <f>IF(C28="Str",'Personal File'!$C$9,IF(C28="Dex",'Personal File'!$C$10,IF(C28="Con",'Personal File'!$C$11,IF(C28="Int",'Personal File'!$C$12,IF(C28="Wis",'Personal File'!$C$13,IF(C28="Cha",'Personal File'!$C$14))))))</f>
        <v>+2</v>
      </c>
      <c r="E28" s="68" t="str">
        <f t="shared" si="4"/>
        <v>Dex (+2)</v>
      </c>
      <c r="F28" s="69" t="s">
        <v>54</v>
      </c>
      <c r="G28" s="69">
        <f t="shared" si="1"/>
        <v>6</v>
      </c>
      <c r="H28" s="48">
        <f t="shared" ca="1" si="5"/>
        <v>16</v>
      </c>
      <c r="I28" s="69">
        <f t="shared" ca="1" si="3"/>
        <v>22</v>
      </c>
      <c r="J28" s="70"/>
    </row>
    <row r="29" spans="1:10" s="71" customFormat="1" ht="16.8" x14ac:dyDescent="0.3">
      <c r="A29" s="106" t="s">
        <v>46</v>
      </c>
      <c r="B29" s="78">
        <v>0</v>
      </c>
      <c r="C29" s="107" t="s">
        <v>26</v>
      </c>
      <c r="D29" s="108" t="str">
        <f>IF(C29="Str",'Personal File'!$C$9,IF(C29="Dex",'Personal File'!$C$10,IF(C29="Con",'Personal File'!$C$11,IF(C29="Int",'Personal File'!$C$12,IF(C29="Wis",'Personal File'!$C$13,IF(C29="Cha",'Personal File'!$C$14))))))</f>
        <v>+2</v>
      </c>
      <c r="E29" s="108" t="str">
        <f t="shared" si="4"/>
        <v>Dex (+2)</v>
      </c>
      <c r="F29" s="81" t="s">
        <v>54</v>
      </c>
      <c r="G29" s="81">
        <f t="shared" si="1"/>
        <v>2</v>
      </c>
      <c r="H29" s="48">
        <f t="shared" ca="1" si="5"/>
        <v>9</v>
      </c>
      <c r="I29" s="81">
        <f t="shared" ca="1" si="3"/>
        <v>11</v>
      </c>
      <c r="J29" s="82"/>
    </row>
    <row r="30" spans="1:10" ht="16.8" x14ac:dyDescent="0.3">
      <c r="A30" s="72" t="s">
        <v>84</v>
      </c>
      <c r="B30" s="58">
        <v>0</v>
      </c>
      <c r="C30" s="73" t="s">
        <v>22</v>
      </c>
      <c r="D30" s="74" t="str">
        <f>IF(C30="Str",'Personal File'!$C$9,IF(C30="Dex",'Personal File'!$C$10,IF(C30="Con",'Personal File'!$C$11,IF(C30="Int",'Personal File'!$C$12,IF(C30="Wis",'Personal File'!$C$13,IF(C30="Cha",'Personal File'!$C$14))))))</f>
        <v>+0</v>
      </c>
      <c r="E30" s="74" t="str">
        <f t="shared" si="4"/>
        <v>Cha (+0)</v>
      </c>
      <c r="F30" s="62" t="s">
        <v>54</v>
      </c>
      <c r="G30" s="62">
        <f t="shared" si="1"/>
        <v>0</v>
      </c>
      <c r="H30" s="48">
        <f t="shared" ca="1" si="5"/>
        <v>12</v>
      </c>
      <c r="I30" s="62">
        <f t="shared" ca="1" si="3"/>
        <v>12</v>
      </c>
      <c r="J30" s="63"/>
    </row>
    <row r="31" spans="1:10" ht="16.8" x14ac:dyDescent="0.3">
      <c r="A31" s="109" t="s">
        <v>85</v>
      </c>
      <c r="B31" s="101">
        <v>0</v>
      </c>
      <c r="C31" s="110" t="s">
        <v>25</v>
      </c>
      <c r="D31" s="111" t="str">
        <f>IF(C31="Str",'Personal File'!$C$9,IF(C31="Dex",'Personal File'!$C$10,IF(C31="Con",'Personal File'!$C$11,IF(C31="Int",'Personal File'!$C$12,IF(C31="Wis",'Personal File'!$C$13,IF(C31="Cha",'Personal File'!$C$14))))))</f>
        <v>+0</v>
      </c>
      <c r="E31" s="111" t="str">
        <f t="shared" ref="E31" si="10">CONCATENATE(C31," (",D31,")")</f>
        <v>Wis (+0)</v>
      </c>
      <c r="F31" s="104" t="s">
        <v>54</v>
      </c>
      <c r="G31" s="112">
        <f t="shared" si="1"/>
        <v>0</v>
      </c>
      <c r="H31" s="48">
        <f t="shared" ca="1" si="5"/>
        <v>19</v>
      </c>
      <c r="I31" s="112">
        <f t="shared" ca="1" si="3"/>
        <v>19</v>
      </c>
      <c r="J31" s="105"/>
    </row>
    <row r="32" spans="1:10" ht="16.8" x14ac:dyDescent="0.3">
      <c r="A32" s="65" t="s">
        <v>12</v>
      </c>
      <c r="B32" s="66">
        <v>2</v>
      </c>
      <c r="C32" s="67" t="s">
        <v>26</v>
      </c>
      <c r="D32" s="68" t="str">
        <f>IF(C32="Str",'Personal File'!$C$9,IF(C32="Dex",'Personal File'!$C$10,IF(C32="Con",'Personal File'!$C$11,IF(C32="Int",'Personal File'!$C$12,IF(C32="Wis",'Personal File'!$C$13,IF(C32="Cha",'Personal File'!$C$14))))))</f>
        <v>+2</v>
      </c>
      <c r="E32" s="68" t="str">
        <f t="shared" si="4"/>
        <v>Dex (+2)</v>
      </c>
      <c r="F32" s="69" t="s">
        <v>54</v>
      </c>
      <c r="G32" s="69">
        <f t="shared" si="1"/>
        <v>4</v>
      </c>
      <c r="H32" s="48">
        <f t="shared" ca="1" si="5"/>
        <v>7</v>
      </c>
      <c r="I32" s="69">
        <f t="shared" ca="1" si="3"/>
        <v>11</v>
      </c>
      <c r="J32" s="70"/>
    </row>
    <row r="33" spans="1:11" ht="16.8" x14ac:dyDescent="0.3">
      <c r="A33" s="85" t="s">
        <v>13</v>
      </c>
      <c r="B33" s="66">
        <v>2</v>
      </c>
      <c r="C33" s="86" t="s">
        <v>24</v>
      </c>
      <c r="D33" s="87" t="str">
        <f>IF(C33="Str",'Personal File'!$C$9,IF(C33="Dex",'Personal File'!$C$10,IF(C33="Con",'Personal File'!$C$11,IF(C33="Int",'Personal File'!$C$12,IF(C33="Wis",'Personal File'!$C$13,IF(C33="Cha",'Personal File'!$C$14))))))</f>
        <v>+1</v>
      </c>
      <c r="E33" s="87" t="str">
        <f t="shared" si="4"/>
        <v>Int (+1)</v>
      </c>
      <c r="F33" s="69" t="s">
        <v>54</v>
      </c>
      <c r="G33" s="69">
        <f t="shared" si="1"/>
        <v>3</v>
      </c>
      <c r="H33" s="48">
        <f t="shared" ca="1" si="5"/>
        <v>15</v>
      </c>
      <c r="I33" s="69">
        <f t="shared" ca="1" si="3"/>
        <v>18</v>
      </c>
      <c r="J33" s="70"/>
    </row>
    <row r="34" spans="1:11" ht="16.8" x14ac:dyDescent="0.3">
      <c r="A34" s="221" t="s">
        <v>47</v>
      </c>
      <c r="B34" s="66">
        <v>2</v>
      </c>
      <c r="C34" s="222" t="s">
        <v>25</v>
      </c>
      <c r="D34" s="223" t="str">
        <f>IF(C34="Str",'Personal File'!$C$9,IF(C34="Dex",'Personal File'!$C$10,IF(C34="Con",'Personal File'!$C$11,IF(C34="Int",'Personal File'!$C$12,IF(C34="Wis",'Personal File'!$C$13,IF(C34="Cha",'Personal File'!$C$14))))))</f>
        <v>+0</v>
      </c>
      <c r="E34" s="223" t="str">
        <f t="shared" si="4"/>
        <v>Wis (+0)</v>
      </c>
      <c r="F34" s="69" t="s">
        <v>54</v>
      </c>
      <c r="G34" s="69">
        <f t="shared" si="1"/>
        <v>2</v>
      </c>
      <c r="H34" s="48">
        <f t="shared" ca="1" si="5"/>
        <v>7</v>
      </c>
      <c r="I34" s="69">
        <f t="shared" ca="1" si="3"/>
        <v>9</v>
      </c>
      <c r="J34" s="70"/>
    </row>
    <row r="35" spans="1:11" ht="16.8" x14ac:dyDescent="0.3">
      <c r="A35" s="106" t="s">
        <v>72</v>
      </c>
      <c r="B35" s="78">
        <v>0</v>
      </c>
      <c r="C35" s="107" t="s">
        <v>26</v>
      </c>
      <c r="D35" s="108" t="str">
        <f>IF(C35="Str",'Personal File'!$C$9,IF(C35="Dex",'Personal File'!$C$10,IF(C35="Con",'Personal File'!$C$11,IF(C35="Int",'Personal File'!$C$12,IF(C35="Wis",'Personal File'!$C$13,IF(C35="Cha",'Personal File'!$C$14))))))</f>
        <v>+2</v>
      </c>
      <c r="E35" s="108" t="str">
        <f t="shared" si="4"/>
        <v>Dex (+2)</v>
      </c>
      <c r="F35" s="104" t="s">
        <v>54</v>
      </c>
      <c r="G35" s="81">
        <f t="shared" si="1"/>
        <v>2</v>
      </c>
      <c r="H35" s="48">
        <f t="shared" ca="1" si="5"/>
        <v>13</v>
      </c>
      <c r="I35" s="81">
        <f t="shared" ca="1" si="3"/>
        <v>15</v>
      </c>
      <c r="J35" s="82"/>
    </row>
    <row r="36" spans="1:11" ht="16.8" x14ac:dyDescent="0.3">
      <c r="A36" s="85" t="s">
        <v>150</v>
      </c>
      <c r="B36" s="66">
        <v>3</v>
      </c>
      <c r="C36" s="86" t="s">
        <v>24</v>
      </c>
      <c r="D36" s="87" t="str">
        <f>IF(C36="Str",'Personal File'!$C$9,IF(C36="Dex",'Personal File'!$C$10,IF(C36="Con",'Personal File'!$C$11,IF(C36="Int",'Personal File'!$C$12,IF(C36="Wis",'Personal File'!$C$13,IF(C36="Cha",'Personal File'!$C$14))))))</f>
        <v>+1</v>
      </c>
      <c r="E36" s="87" t="str">
        <f t="shared" si="4"/>
        <v>Int (+1)</v>
      </c>
      <c r="F36" s="69" t="s">
        <v>54</v>
      </c>
      <c r="G36" s="296">
        <f t="shared" si="1"/>
        <v>4</v>
      </c>
      <c r="H36" s="48">
        <f t="shared" ca="1" si="5"/>
        <v>4</v>
      </c>
      <c r="I36" s="296">
        <f t="shared" ca="1" si="3"/>
        <v>8</v>
      </c>
      <c r="J36" s="224"/>
    </row>
    <row r="37" spans="1:11" ht="16.8" x14ac:dyDescent="0.3">
      <c r="A37" s="100" t="s">
        <v>48</v>
      </c>
      <c r="B37" s="101">
        <v>0</v>
      </c>
      <c r="C37" s="102" t="s">
        <v>24</v>
      </c>
      <c r="D37" s="103" t="str">
        <f>IF(C37="Str",'Personal File'!$C$9,IF(C37="Dex",'Personal File'!$C$10,IF(C37="Con",'Personal File'!$C$11,IF(C37="Int",'Personal File'!$C$12,IF(C37="Wis",'Personal File'!$C$13,IF(C37="Cha",'Personal File'!$C$14))))))</f>
        <v>+1</v>
      </c>
      <c r="E37" s="103" t="str">
        <f t="shared" si="4"/>
        <v>Int (+1)</v>
      </c>
      <c r="F37" s="104" t="s">
        <v>54</v>
      </c>
      <c r="G37" s="104">
        <f t="shared" si="1"/>
        <v>1</v>
      </c>
      <c r="H37" s="48">
        <f t="shared" ca="1" si="5"/>
        <v>9</v>
      </c>
      <c r="I37" s="104">
        <f t="shared" ca="1" si="3"/>
        <v>10</v>
      </c>
      <c r="J37" s="113"/>
    </row>
    <row r="38" spans="1:11" ht="16.8" x14ac:dyDescent="0.3">
      <c r="A38" s="221" t="s">
        <v>49</v>
      </c>
      <c r="B38" s="66">
        <v>4</v>
      </c>
      <c r="C38" s="222" t="s">
        <v>25</v>
      </c>
      <c r="D38" s="223" t="str">
        <f>IF(C38="Str",'Personal File'!$C$9,IF(C38="Dex",'Personal File'!$C$10,IF(C38="Con",'Personal File'!$C$11,IF(C38="Int",'Personal File'!$C$12,IF(C38="Wis",'Personal File'!$C$13,IF(C38="Cha",'Personal File'!$C$14))))))</f>
        <v>+0</v>
      </c>
      <c r="E38" s="223" t="str">
        <f t="shared" si="4"/>
        <v>Wis (+0)</v>
      </c>
      <c r="F38" s="69" t="s">
        <v>112</v>
      </c>
      <c r="G38" s="69">
        <f t="shared" si="1"/>
        <v>6</v>
      </c>
      <c r="H38" s="48">
        <f t="shared" ca="1" si="5"/>
        <v>4</v>
      </c>
      <c r="I38" s="69">
        <f t="shared" ca="1" si="3"/>
        <v>10</v>
      </c>
      <c r="J38" s="70"/>
    </row>
    <row r="39" spans="1:11" ht="16.8" x14ac:dyDescent="0.3">
      <c r="A39" s="221" t="s">
        <v>73</v>
      </c>
      <c r="B39" s="66">
        <v>5</v>
      </c>
      <c r="C39" s="222" t="s">
        <v>25</v>
      </c>
      <c r="D39" s="223" t="str">
        <f>IF(C39="Str",'Personal File'!$C$9,IF(C39="Dex",'Personal File'!$C$10,IF(C39="Con",'Personal File'!$C$11,IF(C39="Int",'Personal File'!$C$12,IF(C39="Wis",'Personal File'!$C$13,IF(C39="Cha",'Personal File'!$C$14))))))</f>
        <v>+0</v>
      </c>
      <c r="E39" s="223" t="str">
        <f t="shared" si="4"/>
        <v>Wis (+0)</v>
      </c>
      <c r="F39" s="69" t="s">
        <v>54</v>
      </c>
      <c r="G39" s="69">
        <f t="shared" si="1"/>
        <v>5</v>
      </c>
      <c r="H39" s="48">
        <f t="shared" ca="1" si="5"/>
        <v>18</v>
      </c>
      <c r="I39" s="69">
        <f t="shared" ca="1" si="3"/>
        <v>23</v>
      </c>
      <c r="J39" s="70"/>
    </row>
    <row r="40" spans="1:11" ht="16.8" x14ac:dyDescent="0.3">
      <c r="A40" s="233" t="s">
        <v>14</v>
      </c>
      <c r="B40" s="66">
        <v>2</v>
      </c>
      <c r="C40" s="234" t="s">
        <v>27</v>
      </c>
      <c r="D40" s="235" t="str">
        <f>IF(C40="Str",'Personal File'!$C$9,IF(C40="Dex",'Personal File'!$C$10,IF(C40="Con",'Personal File'!$C$11,IF(C40="Int",'Personal File'!$C$12,IF(C40="Wis",'Personal File'!$C$13,IF(C40="Cha",'Personal File'!$C$14))))))</f>
        <v>+1</v>
      </c>
      <c r="E40" s="235" t="str">
        <f t="shared" si="4"/>
        <v>Str (+1)</v>
      </c>
      <c r="F40" s="69" t="s">
        <v>54</v>
      </c>
      <c r="G40" s="69">
        <f t="shared" si="1"/>
        <v>3</v>
      </c>
      <c r="H40" s="48">
        <f t="shared" ca="1" si="5"/>
        <v>2</v>
      </c>
      <c r="I40" s="69">
        <f t="shared" ca="1" si="3"/>
        <v>5</v>
      </c>
      <c r="J40" s="224"/>
    </row>
    <row r="41" spans="1:11" ht="16.8" x14ac:dyDescent="0.3">
      <c r="A41" s="65" t="s">
        <v>50</v>
      </c>
      <c r="B41" s="66">
        <v>2</v>
      </c>
      <c r="C41" s="67" t="s">
        <v>26</v>
      </c>
      <c r="D41" s="68" t="str">
        <f>IF(C41="Str",'Personal File'!$C$9,IF(C41="Dex",'Personal File'!$C$10,IF(C41="Con",'Personal File'!$C$11,IF(C41="Int",'Personal File'!$C$12,IF(C41="Wis",'Personal File'!$C$13,IF(C41="Cha",'Personal File'!$C$14))))))</f>
        <v>+2</v>
      </c>
      <c r="E41" s="68" t="str">
        <f t="shared" si="4"/>
        <v>Dex (+2)</v>
      </c>
      <c r="F41" s="69" t="s">
        <v>54</v>
      </c>
      <c r="G41" s="69">
        <f t="shared" si="1"/>
        <v>4</v>
      </c>
      <c r="H41" s="48">
        <f t="shared" ca="1" si="5"/>
        <v>7</v>
      </c>
      <c r="I41" s="69">
        <f t="shared" ca="1" si="3"/>
        <v>11</v>
      </c>
      <c r="J41" s="70"/>
    </row>
    <row r="42" spans="1:11" ht="16.8" x14ac:dyDescent="0.3">
      <c r="A42" s="114" t="s">
        <v>51</v>
      </c>
      <c r="B42" s="78">
        <v>0</v>
      </c>
      <c r="C42" s="115" t="s">
        <v>22</v>
      </c>
      <c r="D42" s="116" t="str">
        <f>IF(C42="Str",'Personal File'!$C$9,IF(C42="Dex",'Personal File'!$C$10,IF(C42="Con",'Personal File'!$C$11,IF(C42="Int",'Personal File'!$C$12,IF(C42="Wis",'Personal File'!$C$13,IF(C42="Cha",'Personal File'!$C$14))))))</f>
        <v>+0</v>
      </c>
      <c r="E42" s="116" t="str">
        <f t="shared" si="4"/>
        <v>Cha (+0)</v>
      </c>
      <c r="F42" s="81" t="s">
        <v>54</v>
      </c>
      <c r="G42" s="81">
        <f t="shared" si="1"/>
        <v>0</v>
      </c>
      <c r="H42" s="48">
        <f t="shared" ca="1" si="5"/>
        <v>11</v>
      </c>
      <c r="I42" s="81">
        <f t="shared" ca="1" si="3"/>
        <v>11</v>
      </c>
      <c r="J42" s="82"/>
    </row>
    <row r="43" spans="1:11" ht="17.399999999999999" thickBot="1" x14ac:dyDescent="0.35">
      <c r="A43" s="237" t="s">
        <v>52</v>
      </c>
      <c r="B43" s="238">
        <v>2</v>
      </c>
      <c r="C43" s="239" t="s">
        <v>26</v>
      </c>
      <c r="D43" s="240" t="str">
        <f>IF(C43="Str",'Personal File'!$C$9,IF(C43="Dex",'Personal File'!$C$10,IF(C43="Con",'Personal File'!$C$11,IF(C43="Int",'Personal File'!$C$12,IF(C43="Wis",'Personal File'!$C$13,IF(C43="Cha",'Personal File'!$C$14))))))</f>
        <v>+2</v>
      </c>
      <c r="E43" s="240" t="str">
        <f t="shared" si="4"/>
        <v>Dex (+2)</v>
      </c>
      <c r="F43" s="241" t="s">
        <v>54</v>
      </c>
      <c r="G43" s="241">
        <f t="shared" si="1"/>
        <v>4</v>
      </c>
      <c r="H43" s="117">
        <f t="shared" ca="1" si="5"/>
        <v>18</v>
      </c>
      <c r="I43" s="241">
        <f t="shared" ca="1" si="3"/>
        <v>22</v>
      </c>
      <c r="J43" s="242"/>
    </row>
    <row r="44" spans="1:11" ht="16.2" thickTop="1" x14ac:dyDescent="0.3">
      <c r="A44" s="118"/>
      <c r="B44" s="118">
        <f>SUM(B6:B43)</f>
        <v>60</v>
      </c>
      <c r="E44" s="118">
        <f>SUM(E45:E48)</f>
        <v>60</v>
      </c>
      <c r="F44" s="119" t="s">
        <v>55</v>
      </c>
    </row>
    <row r="45" spans="1:11" x14ac:dyDescent="0.3">
      <c r="B45" s="118"/>
      <c r="E45" s="314">
        <f>(4*(8+'Personal File'!$C$12))</f>
        <v>36</v>
      </c>
      <c r="F45" s="121" t="s">
        <v>99</v>
      </c>
    </row>
    <row r="46" spans="1:11" x14ac:dyDescent="0.3">
      <c r="E46" s="314">
        <f>8+'Personal File'!$C$12</f>
        <v>9</v>
      </c>
      <c r="F46" s="121" t="s">
        <v>100</v>
      </c>
    </row>
    <row r="47" spans="1:11" x14ac:dyDescent="0.3">
      <c r="E47" s="314">
        <f>8+'Personal File'!$C$12</f>
        <v>9</v>
      </c>
      <c r="F47" s="121" t="s">
        <v>101</v>
      </c>
    </row>
    <row r="48" spans="1:11" x14ac:dyDescent="0.3">
      <c r="A48" s="15"/>
      <c r="B48" s="15"/>
      <c r="C48" s="15"/>
      <c r="D48" s="15"/>
      <c r="E48" s="118">
        <f>3+'Personal File'!E3</f>
        <v>6</v>
      </c>
      <c r="F48" s="121" t="s">
        <v>90</v>
      </c>
      <c r="G48" s="15"/>
      <c r="H48" s="15"/>
      <c r="I48" s="15"/>
      <c r="J48" s="15"/>
      <c r="K48" s="15"/>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2"/>
  <sheetViews>
    <sheetView showGridLines="0" workbookViewId="0"/>
  </sheetViews>
  <sheetFormatPr defaultColWidth="10.8984375" defaultRowHeight="16.8" x14ac:dyDescent="0.3"/>
  <cols>
    <col min="1" max="1" width="28.5" style="126" bestFit="1" customWidth="1"/>
    <col min="2" max="2" width="2.69921875" style="130" customWidth="1"/>
    <col min="3" max="3" width="24.296875" style="123" bestFit="1" customWidth="1"/>
    <col min="4" max="16384" width="10.8984375" style="123"/>
  </cols>
  <sheetData>
    <row r="1" spans="1:3" ht="24" thickTop="1" thickBot="1" x14ac:dyDescent="0.35">
      <c r="A1" s="122" t="s">
        <v>78</v>
      </c>
      <c r="B1" s="123"/>
      <c r="C1" s="122" t="s">
        <v>74</v>
      </c>
    </row>
    <row r="2" spans="1:3" x14ac:dyDescent="0.3">
      <c r="A2" s="125" t="s">
        <v>153</v>
      </c>
      <c r="B2" s="123"/>
      <c r="C2" s="124" t="s">
        <v>147</v>
      </c>
    </row>
    <row r="3" spans="1:3" x14ac:dyDescent="0.3">
      <c r="A3" s="125" t="s">
        <v>152</v>
      </c>
      <c r="B3" s="123"/>
      <c r="C3" s="129" t="s">
        <v>89</v>
      </c>
    </row>
    <row r="4" spans="1:3" x14ac:dyDescent="0.3">
      <c r="A4" s="125" t="s">
        <v>154</v>
      </c>
      <c r="B4" s="123"/>
      <c r="C4" s="124" t="s">
        <v>113</v>
      </c>
    </row>
    <row r="5" spans="1:3" ht="17.399999999999999" thickBot="1" x14ac:dyDescent="0.35">
      <c r="A5" s="295" t="s">
        <v>155</v>
      </c>
      <c r="B5" s="123"/>
      <c r="C5" s="124" t="s">
        <v>102</v>
      </c>
    </row>
    <row r="6" spans="1:3" ht="18" thickTop="1" thickBot="1" x14ac:dyDescent="0.35">
      <c r="B6" s="123"/>
      <c r="C6" s="127" t="s">
        <v>148</v>
      </c>
    </row>
    <row r="7" spans="1:3" ht="24" thickTop="1" thickBot="1" x14ac:dyDescent="0.35">
      <c r="A7" s="9" t="s">
        <v>76</v>
      </c>
      <c r="C7" s="243" t="s">
        <v>103</v>
      </c>
    </row>
    <row r="8" spans="1:3" ht="17.399999999999999" thickBot="1" x14ac:dyDescent="0.35">
      <c r="A8" s="225" t="s">
        <v>104</v>
      </c>
    </row>
    <row r="9" spans="1:3" ht="24" thickTop="1" thickBot="1" x14ac:dyDescent="0.35">
      <c r="A9" s="128" t="s">
        <v>105</v>
      </c>
      <c r="B9" s="123"/>
      <c r="C9" s="10" t="s">
        <v>64</v>
      </c>
    </row>
    <row r="10" spans="1:3" ht="18" thickTop="1" thickBot="1" x14ac:dyDescent="0.35">
      <c r="B10" s="123"/>
      <c r="C10" s="131" t="s">
        <v>151</v>
      </c>
    </row>
    <row r="11" spans="1:3" ht="17.399999999999999" thickTop="1" x14ac:dyDescent="0.3">
      <c r="B11" s="123"/>
    </row>
    <row r="12" spans="1:3" x14ac:dyDescent="0.3">
      <c r="B12" s="123"/>
    </row>
  </sheetData>
  <sortState xmlns:xlrd2="http://schemas.microsoft.com/office/spreadsheetml/2017/richdata2"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5"/>
  <sheetViews>
    <sheetView showGridLines="0" workbookViewId="0"/>
  </sheetViews>
  <sheetFormatPr defaultColWidth="13" defaultRowHeight="15.6" x14ac:dyDescent="0.3"/>
  <cols>
    <col min="1" max="1" width="15.09765625" style="141" bestFit="1" customWidth="1"/>
    <col min="2" max="2" width="8.5" style="141" bestFit="1" customWidth="1"/>
    <col min="3" max="3" width="5.796875" style="141" bestFit="1" customWidth="1"/>
    <col min="4" max="4" width="6.296875" style="141" bestFit="1" customWidth="1"/>
    <col min="5" max="5" width="8.09765625" style="141" bestFit="1" customWidth="1"/>
    <col min="6" max="6" width="7.59765625" style="141" bestFit="1" customWidth="1"/>
    <col min="7" max="7" width="4.69921875" style="141" bestFit="1" customWidth="1"/>
    <col min="8" max="8" width="5.69921875" style="141" bestFit="1" customWidth="1"/>
    <col min="9" max="9" width="5.59765625" style="141" bestFit="1" customWidth="1"/>
    <col min="10" max="10" width="6.296875" style="141" bestFit="1" customWidth="1"/>
    <col min="11" max="11" width="17.796875" style="141" bestFit="1" customWidth="1"/>
    <col min="12" max="12" width="2.3984375" style="15" customWidth="1"/>
    <col min="13" max="13" width="7.296875" style="15" bestFit="1" customWidth="1"/>
    <col min="14" max="14" width="7.69921875" style="141" bestFit="1" customWidth="1"/>
    <col min="15" max="16384" width="13" style="15"/>
  </cols>
  <sheetData>
    <row r="1" spans="1:14" ht="23.4" thickBot="1" x14ac:dyDescent="0.35">
      <c r="A1" s="132" t="s">
        <v>15</v>
      </c>
      <c r="B1" s="132"/>
      <c r="C1" s="132"/>
      <c r="D1" s="132"/>
      <c r="E1" s="132"/>
      <c r="F1" s="132"/>
      <c r="G1" s="132"/>
      <c r="H1" s="132"/>
      <c r="I1" s="132"/>
      <c r="J1" s="132"/>
      <c r="K1" s="132"/>
    </row>
    <row r="2" spans="1:14" ht="16.8" thickTop="1" thickBot="1" x14ac:dyDescent="0.35">
      <c r="A2" s="133" t="s">
        <v>1</v>
      </c>
      <c r="B2" s="134" t="s">
        <v>4</v>
      </c>
      <c r="C2" s="134" t="s">
        <v>17</v>
      </c>
      <c r="D2" s="134" t="s">
        <v>18</v>
      </c>
      <c r="E2" s="135" t="s">
        <v>56</v>
      </c>
      <c r="F2" s="134" t="s">
        <v>16</v>
      </c>
      <c r="G2" s="134" t="s">
        <v>19</v>
      </c>
      <c r="H2" s="136" t="s">
        <v>77</v>
      </c>
      <c r="I2" s="137" t="s">
        <v>80</v>
      </c>
      <c r="J2" s="138" t="s">
        <v>69</v>
      </c>
      <c r="K2" s="139" t="s">
        <v>68</v>
      </c>
      <c r="M2" s="140" t="s">
        <v>92</v>
      </c>
    </row>
    <row r="3" spans="1:14" x14ac:dyDescent="0.3">
      <c r="A3" s="331" t="s">
        <v>159</v>
      </c>
      <c r="B3" s="191" t="s">
        <v>79</v>
      </c>
      <c r="C3" s="332">
        <v>0</v>
      </c>
      <c r="D3" s="337" t="s">
        <v>91</v>
      </c>
      <c r="E3" s="338" t="s">
        <v>160</v>
      </c>
      <c r="F3" s="339" t="s">
        <v>161</v>
      </c>
      <c r="G3" s="189">
        <v>3</v>
      </c>
      <c r="H3" s="340" t="str">
        <f>CONCATENATE("+",'Personal File'!$B$7+'Personal File'!$C$9+D3)</f>
        <v>+4</v>
      </c>
      <c r="I3" s="335">
        <f ca="1">RANDBETWEEN(1,20)</f>
        <v>2</v>
      </c>
      <c r="J3" s="341">
        <f ca="1">(I3+H3)</f>
        <v>6</v>
      </c>
      <c r="K3" s="342"/>
      <c r="M3" s="267">
        <v>306</v>
      </c>
      <c r="N3" s="156"/>
    </row>
    <row r="4" spans="1:14" x14ac:dyDescent="0.3">
      <c r="A4" s="258" t="s">
        <v>181</v>
      </c>
      <c r="B4" s="230" t="s">
        <v>79</v>
      </c>
      <c r="C4" s="260">
        <v>0</v>
      </c>
      <c r="D4" s="298" t="s">
        <v>91</v>
      </c>
      <c r="E4" s="299" t="s">
        <v>96</v>
      </c>
      <c r="F4" s="300" t="s">
        <v>182</v>
      </c>
      <c r="G4" s="285">
        <v>2</v>
      </c>
      <c r="H4" s="301" t="str">
        <f>CONCATENATE("+",'Personal File'!$B$7+'Personal File'!$C$9+D4)</f>
        <v>+4</v>
      </c>
      <c r="I4" s="259">
        <f ca="1">RANDBETWEEN(1,20)</f>
        <v>11</v>
      </c>
      <c r="J4" s="253">
        <f ca="1">(I4+H4)</f>
        <v>15</v>
      </c>
      <c r="K4" s="302"/>
      <c r="M4" s="267">
        <v>310</v>
      </c>
      <c r="N4" s="156"/>
    </row>
    <row r="5" spans="1:14" ht="16.2" thickBot="1" x14ac:dyDescent="0.35">
      <c r="A5" s="205" t="s">
        <v>176</v>
      </c>
      <c r="B5" s="206" t="s">
        <v>177</v>
      </c>
      <c r="C5" s="244" t="s">
        <v>107</v>
      </c>
      <c r="D5" s="244">
        <v>0</v>
      </c>
      <c r="E5" s="244" t="s">
        <v>107</v>
      </c>
      <c r="F5" s="244" t="s">
        <v>107</v>
      </c>
      <c r="G5" s="190" t="s">
        <v>107</v>
      </c>
      <c r="H5" s="297" t="str">
        <f>CONCATENATE("+",'Personal File'!$B$7+'Personal File'!$C$9+D5)</f>
        <v>+3</v>
      </c>
      <c r="I5" s="12">
        <f ca="1">RANDBETWEEN(1,20)</f>
        <v>5</v>
      </c>
      <c r="J5" s="231">
        <f ca="1">(I5+H5)</f>
        <v>8</v>
      </c>
      <c r="K5" s="245"/>
      <c r="M5" s="270" t="s">
        <v>107</v>
      </c>
      <c r="N5" s="156"/>
    </row>
    <row r="6" spans="1:14" ht="16.8" thickTop="1" thickBot="1" x14ac:dyDescent="0.35">
      <c r="M6" s="141"/>
    </row>
    <row r="7" spans="1:14" ht="16.8" thickTop="1" thickBot="1" x14ac:dyDescent="0.35">
      <c r="A7" s="133" t="s">
        <v>3</v>
      </c>
      <c r="B7" s="134" t="s">
        <v>4</v>
      </c>
      <c r="C7" s="134" t="s">
        <v>17</v>
      </c>
      <c r="D7" s="134" t="s">
        <v>18</v>
      </c>
      <c r="E7" s="135" t="s">
        <v>56</v>
      </c>
      <c r="F7" s="134" t="s">
        <v>5</v>
      </c>
      <c r="G7" s="134" t="s">
        <v>19</v>
      </c>
      <c r="H7" s="136" t="s">
        <v>77</v>
      </c>
      <c r="I7" s="137" t="s">
        <v>80</v>
      </c>
      <c r="J7" s="136" t="s">
        <v>69</v>
      </c>
      <c r="K7" s="139" t="s">
        <v>68</v>
      </c>
      <c r="M7" s="140" t="s">
        <v>92</v>
      </c>
    </row>
    <row r="8" spans="1:14" x14ac:dyDescent="0.3">
      <c r="A8" s="331" t="s">
        <v>158</v>
      </c>
      <c r="B8" s="191" t="s">
        <v>79</v>
      </c>
      <c r="C8" s="332">
        <v>0</v>
      </c>
      <c r="D8" s="333">
        <v>1</v>
      </c>
      <c r="E8" s="333" t="s">
        <v>160</v>
      </c>
      <c r="F8" s="194" t="s">
        <v>162</v>
      </c>
      <c r="G8" s="189">
        <v>2</v>
      </c>
      <c r="H8" s="334" t="str">
        <f>CONCATENATE("+",'Personal File'!$B$7+'Personal File'!$C$10+D8)</f>
        <v>+5</v>
      </c>
      <c r="I8" s="335">
        <f t="shared" ref="I8:I9" ca="1" si="0">RANDBETWEEN(1,20)</f>
        <v>13</v>
      </c>
      <c r="J8" s="334">
        <f t="shared" ref="J8:J9" ca="1" si="1">(I8+H8)</f>
        <v>18</v>
      </c>
      <c r="K8" s="336" t="s">
        <v>109</v>
      </c>
      <c r="L8" s="204"/>
      <c r="M8" s="267">
        <v>330</v>
      </c>
      <c r="N8" s="156"/>
    </row>
    <row r="9" spans="1:14" ht="16.2" thickBot="1" x14ac:dyDescent="0.35">
      <c r="A9" s="261" t="s">
        <v>116</v>
      </c>
      <c r="B9" s="262" t="s">
        <v>117</v>
      </c>
      <c r="C9" s="262" t="s">
        <v>117</v>
      </c>
      <c r="D9" s="262">
        <v>0</v>
      </c>
      <c r="E9" s="262" t="s">
        <v>107</v>
      </c>
      <c r="F9" s="262" t="s">
        <v>118</v>
      </c>
      <c r="G9" s="262" t="s">
        <v>107</v>
      </c>
      <c r="H9" s="293" t="str">
        <f>CONCATENATE("+",'Personal File'!$B$7+'Personal File'!$C$10+D9)</f>
        <v>+4</v>
      </c>
      <c r="I9" s="330">
        <f t="shared" ca="1" si="0"/>
        <v>12</v>
      </c>
      <c r="J9" s="293">
        <f t="shared" ca="1" si="1"/>
        <v>16</v>
      </c>
      <c r="K9" s="286" t="s">
        <v>109</v>
      </c>
      <c r="M9" s="275" t="s">
        <v>107</v>
      </c>
      <c r="N9" s="156"/>
    </row>
    <row r="10" spans="1:14" ht="16.8" thickTop="1" thickBot="1" x14ac:dyDescent="0.35"/>
    <row r="11" spans="1:14" ht="16.8" thickTop="1" thickBot="1" x14ac:dyDescent="0.35">
      <c r="A11" s="133" t="s">
        <v>60</v>
      </c>
      <c r="B11" s="134" t="s">
        <v>9</v>
      </c>
      <c r="C11" s="134" t="s">
        <v>26</v>
      </c>
      <c r="D11" s="134" t="s">
        <v>69</v>
      </c>
      <c r="E11" s="134" t="s">
        <v>70</v>
      </c>
      <c r="F11" s="134" t="s">
        <v>71</v>
      </c>
      <c r="G11" s="134" t="s">
        <v>19</v>
      </c>
      <c r="H11" s="143" t="s">
        <v>68</v>
      </c>
      <c r="I11" s="144"/>
      <c r="J11" s="144"/>
      <c r="K11" s="145"/>
      <c r="M11" s="140" t="s">
        <v>92</v>
      </c>
    </row>
    <row r="12" spans="1:14" x14ac:dyDescent="0.3">
      <c r="A12" s="271" t="s">
        <v>157</v>
      </c>
      <c r="B12" s="256">
        <v>2</v>
      </c>
      <c r="C12" s="256">
        <v>6</v>
      </c>
      <c r="D12" s="256">
        <v>0</v>
      </c>
      <c r="E12" s="272">
        <v>0.1</v>
      </c>
      <c r="F12" s="256" t="s">
        <v>138</v>
      </c>
      <c r="G12" s="257">
        <v>15</v>
      </c>
      <c r="H12" s="146"/>
      <c r="I12" s="146"/>
      <c r="J12" s="146"/>
      <c r="K12" s="147"/>
      <c r="M12" s="273">
        <v>10</v>
      </c>
      <c r="N12" s="156"/>
    </row>
    <row r="13" spans="1:14" ht="16.2" thickBot="1" x14ac:dyDescent="0.35">
      <c r="A13" s="205"/>
      <c r="B13" s="206"/>
      <c r="C13" s="207"/>
      <c r="D13" s="206"/>
      <c r="E13" s="208"/>
      <c r="F13" s="206"/>
      <c r="G13" s="190"/>
      <c r="H13" s="209"/>
      <c r="I13" s="210"/>
      <c r="J13" s="210"/>
      <c r="K13" s="148"/>
      <c r="L13" s="204"/>
      <c r="M13" s="275"/>
      <c r="N13" s="156"/>
    </row>
    <row r="14" spans="1:14" ht="16.8" thickTop="1" thickBot="1" x14ac:dyDescent="0.35">
      <c r="M14" s="141"/>
    </row>
    <row r="15" spans="1:14" ht="16.8" thickTop="1" thickBot="1" x14ac:dyDescent="0.35">
      <c r="A15" s="149"/>
      <c r="B15" s="142"/>
      <c r="C15" s="150" t="s">
        <v>61</v>
      </c>
      <c r="D15" s="144"/>
      <c r="E15" s="151"/>
      <c r="F15" s="143" t="s">
        <v>2</v>
      </c>
      <c r="G15" s="134" t="s">
        <v>19</v>
      </c>
      <c r="H15" s="136" t="s">
        <v>77</v>
      </c>
      <c r="I15" s="143" t="s">
        <v>68</v>
      </c>
      <c r="J15" s="144"/>
      <c r="K15" s="145"/>
      <c r="M15" s="140" t="s">
        <v>92</v>
      </c>
    </row>
    <row r="16" spans="1:14" x14ac:dyDescent="0.3">
      <c r="A16" s="149"/>
      <c r="B16" s="142"/>
      <c r="C16" s="152" t="s">
        <v>106</v>
      </c>
      <c r="D16" s="153"/>
      <c r="E16" s="200"/>
      <c r="F16" s="193">
        <v>100</v>
      </c>
      <c r="G16" s="189">
        <f t="shared" ref="G16" si="2">(F16*3)/20</f>
        <v>15</v>
      </c>
      <c r="H16" s="194" t="s">
        <v>54</v>
      </c>
      <c r="I16" s="195"/>
      <c r="J16" s="154"/>
      <c r="K16" s="155"/>
      <c r="L16" s="156"/>
      <c r="M16" s="276">
        <f t="shared" ref="M16" si="3">(L16*3)/20</f>
        <v>0</v>
      </c>
      <c r="N16" s="156"/>
    </row>
    <row r="17" spans="1:14" x14ac:dyDescent="0.3">
      <c r="A17" s="149"/>
      <c r="B17" s="142"/>
      <c r="C17" s="246"/>
      <c r="D17" s="247"/>
      <c r="E17" s="248"/>
      <c r="F17" s="249"/>
      <c r="G17" s="14"/>
      <c r="H17" s="250"/>
      <c r="I17" s="197"/>
      <c r="J17" s="251"/>
      <c r="K17" s="252"/>
      <c r="L17" s="156"/>
      <c r="M17" s="266"/>
      <c r="N17" s="156"/>
    </row>
    <row r="18" spans="1:14" ht="16.2" thickBot="1" x14ac:dyDescent="0.35">
      <c r="A18" s="156"/>
      <c r="C18" s="157"/>
      <c r="D18" s="158"/>
      <c r="E18" s="228"/>
      <c r="F18" s="232"/>
      <c r="G18" s="190"/>
      <c r="H18" s="192"/>
      <c r="I18" s="196"/>
      <c r="J18" s="159"/>
      <c r="K18" s="160"/>
      <c r="L18" s="156"/>
      <c r="M18" s="275"/>
      <c r="N18" s="156"/>
    </row>
    <row r="19" spans="1:14" ht="16.8" thickTop="1" thickBot="1" x14ac:dyDescent="0.35"/>
    <row r="20" spans="1:14" ht="16.8" thickTop="1" thickBot="1" x14ac:dyDescent="0.35">
      <c r="C20" s="150" t="s">
        <v>86</v>
      </c>
      <c r="D20" s="144"/>
      <c r="E20" s="144"/>
      <c r="F20" s="144"/>
      <c r="G20" s="161" t="s">
        <v>2</v>
      </c>
      <c r="H20" s="161" t="s">
        <v>0</v>
      </c>
      <c r="I20" s="161" t="s">
        <v>87</v>
      </c>
      <c r="J20" s="143" t="s">
        <v>68</v>
      </c>
      <c r="K20" s="145"/>
      <c r="M20" s="140" t="s">
        <v>92</v>
      </c>
    </row>
    <row r="21" spans="1:14" x14ac:dyDescent="0.3">
      <c r="C21" s="162" t="s">
        <v>179</v>
      </c>
      <c r="D21" s="163"/>
      <c r="E21" s="163"/>
      <c r="F21" s="226"/>
      <c r="G21" s="198">
        <v>1</v>
      </c>
      <c r="H21" s="191">
        <v>1</v>
      </c>
      <c r="I21" s="191">
        <v>1</v>
      </c>
      <c r="J21" s="195"/>
      <c r="K21" s="164"/>
      <c r="M21" s="276">
        <v>50</v>
      </c>
      <c r="N21" s="156"/>
    </row>
    <row r="22" spans="1:14" x14ac:dyDescent="0.3">
      <c r="C22" s="165" t="s">
        <v>179</v>
      </c>
      <c r="D22" s="166"/>
      <c r="E22" s="166"/>
      <c r="F22" s="227"/>
      <c r="G22" s="199">
        <v>1</v>
      </c>
      <c r="H22" s="13">
        <v>1</v>
      </c>
      <c r="I22" s="13">
        <v>1</v>
      </c>
      <c r="J22" s="197"/>
      <c r="K22" s="167"/>
      <c r="M22" s="274">
        <v>50</v>
      </c>
      <c r="N22" s="156"/>
    </row>
    <row r="23" spans="1:14" ht="16.2" thickBot="1" x14ac:dyDescent="0.35">
      <c r="C23" s="212" t="s">
        <v>180</v>
      </c>
      <c r="D23" s="158"/>
      <c r="E23" s="158"/>
      <c r="F23" s="228"/>
      <c r="G23" s="213">
        <v>1</v>
      </c>
      <c r="H23" s="192">
        <v>2</v>
      </c>
      <c r="I23" s="192">
        <v>3</v>
      </c>
      <c r="J23" s="196"/>
      <c r="K23" s="148"/>
      <c r="L23" s="204"/>
      <c r="M23" s="270">
        <v>100</v>
      </c>
      <c r="N23" s="156"/>
    </row>
    <row r="24" spans="1:14" ht="16.2" thickTop="1" x14ac:dyDescent="0.3"/>
    <row r="25" spans="1:14" x14ac:dyDescent="0.3">
      <c r="K25" s="39" t="s">
        <v>93</v>
      </c>
      <c r="M25" s="289">
        <f>SUM(M3:M23,Equipment!B3:B18)</f>
        <v>2524</v>
      </c>
    </row>
  </sheetData>
  <sortState xmlns:xlrd2="http://schemas.microsoft.com/office/spreadsheetml/2017/richdata2" ref="A3:K4">
    <sortCondition ref="A3:A4"/>
  </sortState>
  <phoneticPr fontId="0" type="noConversion"/>
  <conditionalFormatting sqref="B13">
    <cfRule type="cellIs" dxfId="10" priority="71" operator="equal">
      <formula>2</formula>
    </cfRule>
  </conditionalFormatting>
  <conditionalFormatting sqref="I5">
    <cfRule type="cellIs" dxfId="9" priority="67" operator="equal">
      <formula>20</formula>
    </cfRule>
    <cfRule type="cellIs" dxfId="8" priority="68" operator="equal">
      <formula>1</formula>
    </cfRule>
  </conditionalFormatting>
  <conditionalFormatting sqref="I8">
    <cfRule type="cellIs" dxfId="7" priority="33" operator="equal">
      <formula>20</formula>
    </cfRule>
    <cfRule type="cellIs" dxfId="6" priority="34" operator="equal">
      <formula>1</formula>
    </cfRule>
  </conditionalFormatting>
  <conditionalFormatting sqref="I3">
    <cfRule type="cellIs" dxfId="5" priority="31" operator="equal">
      <formula>20</formula>
    </cfRule>
    <cfRule type="cellIs" dxfId="4" priority="32" operator="equal">
      <formula>1</formula>
    </cfRule>
  </conditionalFormatting>
  <conditionalFormatting sqref="I9">
    <cfRule type="cellIs" dxfId="3" priority="13" operator="equal">
      <formula>20</formula>
    </cfRule>
    <cfRule type="cellIs" dxfId="2" priority="14" operator="equal">
      <formula>1</formula>
    </cfRule>
  </conditionalFormatting>
  <conditionalFormatting sqref="I4">
    <cfRule type="cellIs" dxfId="1" priority="11" operator="equal">
      <formula>20</formula>
    </cfRule>
    <cfRule type="cellIs" dxfId="0" priority="1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1"/>
  <sheetViews>
    <sheetView showGridLines="0" workbookViewId="0"/>
  </sheetViews>
  <sheetFormatPr defaultColWidth="13" defaultRowHeight="15.6" x14ac:dyDescent="0.3"/>
  <cols>
    <col min="1" max="1" width="17.09765625" style="141" bestFit="1" customWidth="1"/>
    <col min="2" max="2" width="6.8984375" style="141" bestFit="1" customWidth="1"/>
    <col min="3" max="3" width="4.3984375" style="142" bestFit="1" customWidth="1"/>
    <col min="4" max="4" width="7.59765625" style="15" bestFit="1" customWidth="1"/>
    <col min="5" max="5" width="12.09765625" style="15" bestFit="1" customWidth="1"/>
    <col min="6" max="6" width="1.69921875" style="141" bestFit="1" customWidth="1"/>
    <col min="7" max="7" width="7.296875" style="15" bestFit="1" customWidth="1"/>
    <col min="8" max="16384" width="13" style="15"/>
  </cols>
  <sheetData>
    <row r="1" spans="1:7" ht="23.4" thickBot="1" x14ac:dyDescent="0.35">
      <c r="A1" s="132" t="s">
        <v>65</v>
      </c>
      <c r="B1" s="132"/>
      <c r="C1" s="168"/>
      <c r="D1" s="132"/>
      <c r="E1" s="132"/>
    </row>
    <row r="2" spans="1:7" s="141" customFormat="1" ht="16.8" thickTop="1" thickBot="1" x14ac:dyDescent="0.35">
      <c r="A2" s="169" t="s">
        <v>66</v>
      </c>
      <c r="B2" s="169" t="s">
        <v>2</v>
      </c>
      <c r="C2" s="170" t="s">
        <v>19</v>
      </c>
      <c r="D2" s="171" t="s">
        <v>67</v>
      </c>
      <c r="E2" s="172" t="s">
        <v>68</v>
      </c>
      <c r="G2" s="203" t="s">
        <v>92</v>
      </c>
    </row>
    <row r="3" spans="1:7" x14ac:dyDescent="0.3">
      <c r="A3" s="173" t="s">
        <v>97</v>
      </c>
      <c r="B3" s="174">
        <v>1</v>
      </c>
      <c r="C3" s="175">
        <v>2</v>
      </c>
      <c r="D3" s="265"/>
      <c r="E3" s="176"/>
      <c r="F3" s="156"/>
      <c r="G3" s="266">
        <v>2</v>
      </c>
    </row>
    <row r="4" spans="1:7" x14ac:dyDescent="0.3">
      <c r="A4" s="186" t="s">
        <v>163</v>
      </c>
      <c r="B4" s="174">
        <v>1</v>
      </c>
      <c r="C4" s="175" t="s">
        <v>171</v>
      </c>
      <c r="D4" s="229"/>
      <c r="E4" s="176"/>
      <c r="F4" s="156"/>
      <c r="G4" s="267" t="s">
        <v>107</v>
      </c>
    </row>
    <row r="5" spans="1:7" ht="16.2" thickBot="1" x14ac:dyDescent="0.35">
      <c r="A5" s="177" t="s">
        <v>98</v>
      </c>
      <c r="B5" s="11">
        <v>1</v>
      </c>
      <c r="C5" s="178">
        <v>0.5</v>
      </c>
      <c r="D5" s="179" t="s">
        <v>185</v>
      </c>
      <c r="E5" s="180"/>
      <c r="G5" s="268">
        <v>1</v>
      </c>
    </row>
    <row r="6" spans="1:7" ht="24" thickTop="1" thickBot="1" x14ac:dyDescent="0.35">
      <c r="A6" s="351" t="s">
        <v>178</v>
      </c>
      <c r="B6" s="132"/>
      <c r="C6" s="181"/>
      <c r="D6" s="132"/>
      <c r="E6" s="182"/>
      <c r="F6" s="156"/>
      <c r="G6" s="282"/>
    </row>
    <row r="7" spans="1:7" ht="16.8" thickTop="1" thickBot="1" x14ac:dyDescent="0.35">
      <c r="A7" s="169" t="s">
        <v>66</v>
      </c>
      <c r="B7" s="169" t="s">
        <v>2</v>
      </c>
      <c r="C7" s="170" t="s">
        <v>19</v>
      </c>
      <c r="D7" s="171" t="s">
        <v>67</v>
      </c>
      <c r="E7" s="172" t="s">
        <v>68</v>
      </c>
      <c r="F7" s="156"/>
      <c r="G7" s="269" t="s">
        <v>92</v>
      </c>
    </row>
    <row r="8" spans="1:7" x14ac:dyDescent="0.3">
      <c r="A8" s="183" t="s">
        <v>164</v>
      </c>
      <c r="B8" s="184">
        <v>1</v>
      </c>
      <c r="C8" s="185">
        <v>0</v>
      </c>
      <c r="D8" s="283" t="s">
        <v>184</v>
      </c>
      <c r="E8" s="284"/>
      <c r="F8" s="156"/>
      <c r="G8" s="266">
        <v>1</v>
      </c>
    </row>
    <row r="9" spans="1:7" x14ac:dyDescent="0.3">
      <c r="A9" s="345" t="s">
        <v>168</v>
      </c>
      <c r="B9" s="184">
        <v>1</v>
      </c>
      <c r="C9" s="185">
        <v>3</v>
      </c>
      <c r="D9" s="305" t="s">
        <v>184</v>
      </c>
      <c r="E9" s="284"/>
      <c r="F9" s="156"/>
      <c r="G9" s="343">
        <v>0.5</v>
      </c>
    </row>
    <row r="10" spans="1:7" x14ac:dyDescent="0.3">
      <c r="A10" s="345" t="s">
        <v>169</v>
      </c>
      <c r="B10" s="184">
        <v>2</v>
      </c>
      <c r="C10" s="185">
        <f>B10*8</f>
        <v>16</v>
      </c>
      <c r="D10" s="305"/>
      <c r="E10" s="284"/>
      <c r="F10" s="156"/>
      <c r="G10" s="343">
        <v>10</v>
      </c>
    </row>
    <row r="11" spans="1:7" x14ac:dyDescent="0.3">
      <c r="A11" s="303" t="s">
        <v>170</v>
      </c>
      <c r="B11" s="304">
        <v>1</v>
      </c>
      <c r="C11" s="185">
        <v>7</v>
      </c>
      <c r="D11" s="305"/>
      <c r="E11" s="284"/>
      <c r="F11" s="156"/>
      <c r="G11" s="343">
        <v>8</v>
      </c>
    </row>
    <row r="12" spans="1:7" x14ac:dyDescent="0.3">
      <c r="A12" s="186" t="s">
        <v>172</v>
      </c>
      <c r="B12" s="184">
        <v>5</v>
      </c>
      <c r="C12" s="185">
        <f>B12*0.5</f>
        <v>2.5</v>
      </c>
      <c r="D12" s="283"/>
      <c r="E12" s="284"/>
      <c r="F12" s="156"/>
      <c r="G12" s="343">
        <f>B12*0.1</f>
        <v>0.5</v>
      </c>
    </row>
    <row r="13" spans="1:7" x14ac:dyDescent="0.3">
      <c r="A13" s="186" t="s">
        <v>119</v>
      </c>
      <c r="B13" s="184">
        <v>1</v>
      </c>
      <c r="C13" s="175">
        <v>6</v>
      </c>
      <c r="D13" s="283" t="s">
        <v>184</v>
      </c>
      <c r="E13" s="284"/>
      <c r="F13" s="156"/>
      <c r="G13" s="266">
        <v>500</v>
      </c>
    </row>
    <row r="14" spans="1:7" x14ac:dyDescent="0.3">
      <c r="A14" s="186" t="s">
        <v>165</v>
      </c>
      <c r="B14" s="184">
        <v>1</v>
      </c>
      <c r="C14" s="175">
        <v>0</v>
      </c>
      <c r="D14" s="283"/>
      <c r="E14" s="284"/>
      <c r="F14" s="156"/>
      <c r="G14" s="266">
        <v>200</v>
      </c>
    </row>
    <row r="15" spans="1:7" x14ac:dyDescent="0.3">
      <c r="A15" s="186" t="s">
        <v>167</v>
      </c>
      <c r="B15" s="184">
        <v>1</v>
      </c>
      <c r="C15" s="175">
        <v>0.5</v>
      </c>
      <c r="D15" s="283" t="s">
        <v>183</v>
      </c>
      <c r="E15" s="284"/>
      <c r="F15" s="156"/>
      <c r="G15" s="266">
        <v>10</v>
      </c>
    </row>
    <row r="16" spans="1:7" x14ac:dyDescent="0.3">
      <c r="A16" s="186" t="s">
        <v>111</v>
      </c>
      <c r="B16" s="184">
        <v>1344</v>
      </c>
      <c r="C16" s="175">
        <f>B16/100</f>
        <v>13.44</v>
      </c>
      <c r="D16" s="263"/>
      <c r="E16" s="264"/>
      <c r="F16" s="201"/>
      <c r="G16" s="347">
        <f>B16</f>
        <v>1344</v>
      </c>
    </row>
    <row r="17" spans="1:7" x14ac:dyDescent="0.3">
      <c r="A17" s="186" t="s">
        <v>173</v>
      </c>
      <c r="B17" s="184">
        <v>5</v>
      </c>
      <c r="C17" s="348">
        <f>B17/200</f>
        <v>2.5000000000000001E-2</v>
      </c>
      <c r="D17" s="263"/>
      <c r="E17" s="264"/>
      <c r="F17" s="201"/>
      <c r="G17" s="347">
        <f>B17*0.1</f>
        <v>0.5</v>
      </c>
    </row>
    <row r="18" spans="1:7" ht="16.2" thickBot="1" x14ac:dyDescent="0.35">
      <c r="A18" s="187" t="s">
        <v>166</v>
      </c>
      <c r="B18" s="11">
        <v>3</v>
      </c>
      <c r="C18" s="188">
        <f>B18</f>
        <v>3</v>
      </c>
      <c r="D18" s="353"/>
      <c r="E18" s="180"/>
      <c r="F18" s="156"/>
      <c r="G18" s="344">
        <f>B18*0.5</f>
        <v>1.5</v>
      </c>
    </row>
    <row r="19" spans="1:7" ht="16.2" thickTop="1" x14ac:dyDescent="0.3">
      <c r="B19" s="277"/>
      <c r="F19" s="15"/>
    </row>
    <row r="20" spans="1:7" x14ac:dyDescent="0.3">
      <c r="E20" s="202" t="s">
        <v>94</v>
      </c>
      <c r="F20" s="201"/>
      <c r="G20" s="289">
        <f>SUM(G3:G18,Martial!M3:M23)</f>
        <v>3235</v>
      </c>
    </row>
    <row r="21" spans="1:7" x14ac:dyDescent="0.3">
      <c r="G21" s="346"/>
    </row>
  </sheetData>
  <sortState xmlns:xlrd2="http://schemas.microsoft.com/office/spreadsheetml/2017/richdata2" ref="A5:E22">
    <sortCondition ref="A5:A22"/>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D&amp;D 3.5 PC file</dc:title>
  <dc:creator>© Alexis A. Álvarez 2022</dc:creator>
  <cp:lastModifiedBy>Alexis Álvarez</cp:lastModifiedBy>
  <cp:lastPrinted>2013-04-30T13:47:22Z</cp:lastPrinted>
  <dcterms:created xsi:type="dcterms:W3CDTF">2000-10-24T15:39:59Z</dcterms:created>
  <dcterms:modified xsi:type="dcterms:W3CDTF">2022-08-28T16:45:55Z</dcterms:modified>
</cp:coreProperties>
</file>