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A\Juegos\FoL\NPCs\"/>
    </mc:Choice>
  </mc:AlternateContent>
  <xr:revisionPtr revIDLastSave="0" documentId="13_ncr:1_{8D8CCC56-EA5A-44F3-86DF-70CA0B2CB1C9}"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pells" sheetId="25" r:id="rId3"/>
    <sheet name="Feats" sheetId="20" r:id="rId4"/>
    <sheet name="Martial" sheetId="6" r:id="rId5"/>
    <sheet name="Equipment" sheetId="19" r:id="rId6"/>
  </sheets>
  <definedNames>
    <definedName name="OLE_LINK1" localSheetId="3">Feats!#REF!</definedName>
    <definedName name="_xlnm.Print_Area" localSheetId="5">Equipment!#REF!</definedName>
    <definedName name="_xlnm.Print_Area" localSheetId="3">Feats!#REF!</definedName>
    <definedName name="_xlnm.Print_Area" localSheetId="4">Martial!#REF!</definedName>
    <definedName name="_xlnm.Print_Area" localSheetId="0">'Personal File'!$A$1:$H$41</definedName>
    <definedName name="_xlnm.Print_Area" localSheetId="1">Skills!$A$1:$K$30</definedName>
    <definedName name="_xlnm.Print_Area" localSheetId="2">Spells!$A$1:$I$8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0" i="6" l="1"/>
  <c r="I20" i="6"/>
  <c r="B8" i="4"/>
  <c r="E11" i="4"/>
  <c r="H44" i="15"/>
  <c r="H43" i="15"/>
  <c r="H41" i="15"/>
  <c r="H40" i="15"/>
  <c r="H39" i="15"/>
  <c r="H38" i="15"/>
  <c r="H37"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K20" i="6" l="1"/>
  <c r="J23" i="6"/>
  <c r="J22" i="6"/>
  <c r="D22" i="6"/>
  <c r="I22" i="6" s="1"/>
  <c r="J21" i="6"/>
  <c r="I21" i="6"/>
  <c r="J19" i="6"/>
  <c r="G15" i="19"/>
  <c r="G14" i="19"/>
  <c r="G12" i="19"/>
  <c r="C12" i="19"/>
  <c r="C11" i="19"/>
  <c r="J12" i="6"/>
  <c r="J10" i="6"/>
  <c r="J11" i="6"/>
  <c r="J9" i="6"/>
  <c r="J8" i="6"/>
  <c r="J7" i="6"/>
  <c r="J6" i="6"/>
  <c r="J4" i="6"/>
  <c r="K21" i="6" l="1"/>
  <c r="K22" i="6"/>
  <c r="B5" i="15"/>
  <c r="B4" i="15"/>
  <c r="B3" i="15"/>
  <c r="H42" i="15"/>
  <c r="B46" i="15"/>
  <c r="G5" i="20"/>
  <c r="B15" i="4"/>
  <c r="B14" i="4"/>
  <c r="B13" i="4"/>
  <c r="B11" i="4"/>
  <c r="B12" i="4"/>
  <c r="B10" i="4"/>
  <c r="G19" i="19" l="1"/>
  <c r="C19" i="19"/>
  <c r="G21" i="19" l="1"/>
  <c r="J3" i="6" l="1"/>
  <c r="J5" i="6"/>
  <c r="J13" i="6"/>
  <c r="J14" i="6"/>
  <c r="J15" i="6"/>
  <c r="J16" i="6"/>
  <c r="N34" i="6" l="1"/>
  <c r="H3" i="15" l="1"/>
  <c r="H4" i="15"/>
  <c r="H5" i="15"/>
  <c r="G22" i="19" l="1"/>
  <c r="H10" i="20" l="1"/>
  <c r="F10" i="20"/>
  <c r="F5" i="20"/>
  <c r="H45" i="15" l="1"/>
  <c r="H6" i="15" l="1"/>
  <c r="C10" i="4" l="1"/>
  <c r="C12" i="6" l="1"/>
  <c r="C9" i="6"/>
  <c r="C7" i="6"/>
  <c r="C10" i="6"/>
  <c r="C8" i="6"/>
  <c r="C11" i="6"/>
  <c r="C6" i="6"/>
  <c r="I9" i="6"/>
  <c r="K9" i="6" s="1"/>
  <c r="I7" i="6"/>
  <c r="K7" i="6" s="1"/>
  <c r="I6" i="6"/>
  <c r="K6" i="6" s="1"/>
  <c r="I12" i="6"/>
  <c r="K12" i="6" s="1"/>
  <c r="I10" i="6"/>
  <c r="K10" i="6" s="1"/>
  <c r="I11" i="6"/>
  <c r="K11" i="6" s="1"/>
  <c r="I8" i="6"/>
  <c r="K8" i="6" s="1"/>
  <c r="D9" i="15"/>
  <c r="E9" i="15" s="1"/>
  <c r="D23" i="15"/>
  <c r="E23" i="15" s="1"/>
  <c r="D42" i="15"/>
  <c r="E42" i="15" s="1"/>
  <c r="C4" i="6"/>
  <c r="I4" i="6"/>
  <c r="K4" i="6" s="1"/>
  <c r="C5" i="6"/>
  <c r="I3" i="6"/>
  <c r="K3" i="6" s="1"/>
  <c r="C3" i="6"/>
  <c r="I5" i="6"/>
  <c r="K5" i="6" s="1"/>
  <c r="I15" i="6"/>
  <c r="K15" i="6" s="1"/>
  <c r="C15" i="6"/>
  <c r="I14" i="6"/>
  <c r="K14" i="6" s="1"/>
  <c r="I13" i="6"/>
  <c r="K13" i="6" s="1"/>
  <c r="C13" i="6"/>
  <c r="I16" i="6"/>
  <c r="C16" i="6"/>
  <c r="K16" i="6" l="1"/>
  <c r="G23" i="15"/>
  <c r="I23" i="15" s="1"/>
  <c r="G9" i="15"/>
  <c r="I9" i="15" s="1"/>
  <c r="C15" i="4"/>
  <c r="C14" i="4"/>
  <c r="C13" i="4"/>
  <c r="C12" i="4"/>
  <c r="E12" i="4" s="1"/>
  <c r="I23" i="6" s="1"/>
  <c r="K23" i="6" s="1"/>
  <c r="C11" i="4"/>
  <c r="E13" i="4" l="1"/>
  <c r="E15" i="4" s="1"/>
  <c r="E14" i="4" s="1"/>
  <c r="B9" i="4"/>
  <c r="I19" i="6"/>
  <c r="K19" i="6" s="1"/>
  <c r="D8" i="15"/>
  <c r="E8" i="15" s="1"/>
  <c r="D19" i="15"/>
  <c r="E19" i="15" s="1"/>
  <c r="D44" i="15"/>
  <c r="E44" i="15" s="1"/>
  <c r="D13" i="15"/>
  <c r="E13" i="15" s="1"/>
  <c r="D22" i="15"/>
  <c r="E22" i="15" s="1"/>
  <c r="D15" i="15"/>
  <c r="E15" i="15" s="1"/>
  <c r="D31" i="15"/>
  <c r="E31" i="15" s="1"/>
  <c r="D18" i="15"/>
  <c r="E18" i="15" s="1"/>
  <c r="D5" i="15"/>
  <c r="D41" i="15"/>
  <c r="E41" i="15" s="1"/>
  <c r="D28" i="15"/>
  <c r="E28" i="15" s="1"/>
  <c r="D20" i="15"/>
  <c r="E20" i="15" s="1"/>
  <c r="D32" i="15"/>
  <c r="E32" i="15" s="1"/>
  <c r="D35" i="15"/>
  <c r="E35" i="15" s="1"/>
  <c r="D40" i="15"/>
  <c r="E40" i="15" s="1"/>
  <c r="D12" i="15"/>
  <c r="E12" i="15" s="1"/>
  <c r="D17" i="15"/>
  <c r="E17" i="15" s="1"/>
  <c r="D38" i="15"/>
  <c r="E38" i="15" s="1"/>
  <c r="D6" i="15"/>
  <c r="E6" i="15" s="1"/>
  <c r="D24" i="15"/>
  <c r="E24" i="15" s="1"/>
  <c r="D26" i="15"/>
  <c r="E26" i="15" s="1"/>
  <c r="D39" i="15"/>
  <c r="E39" i="15" s="1"/>
  <c r="D11" i="15"/>
  <c r="E11" i="15" s="1"/>
  <c r="D14" i="15"/>
  <c r="E14" i="15" s="1"/>
  <c r="D25" i="15"/>
  <c r="E25" i="15" s="1"/>
  <c r="D27" i="15"/>
  <c r="E27" i="15" s="1"/>
  <c r="D34" i="15"/>
  <c r="E34" i="15" s="1"/>
  <c r="I6" i="20"/>
  <c r="F6" i="20"/>
  <c r="J6" i="20"/>
  <c r="G6" i="20"/>
  <c r="K6" i="20"/>
  <c r="H6" i="20"/>
  <c r="F14" i="20"/>
  <c r="F15" i="20" s="1"/>
  <c r="F16" i="20" s="1"/>
  <c r="F18" i="20" s="1"/>
  <c r="E47" i="15"/>
  <c r="E50" i="15"/>
  <c r="E49" i="15"/>
  <c r="E48" i="15"/>
  <c r="D3" i="15"/>
  <c r="D10" i="15"/>
  <c r="E10" i="15" s="1"/>
  <c r="D7" i="15"/>
  <c r="E7" i="15" s="1"/>
  <c r="D16" i="15"/>
  <c r="E16" i="15" s="1"/>
  <c r="D45" i="15"/>
  <c r="E45" i="15" s="1"/>
  <c r="D30" i="15"/>
  <c r="E30" i="15" s="1"/>
  <c r="D4" i="15"/>
  <c r="D21" i="15"/>
  <c r="E21" i="15" s="1"/>
  <c r="D37" i="15"/>
  <c r="E37" i="15" s="1"/>
  <c r="D29" i="15"/>
  <c r="E29" i="15" s="1"/>
  <c r="D33" i="15"/>
  <c r="E33" i="15" s="1"/>
  <c r="D43" i="15"/>
  <c r="E43" i="15" s="1"/>
  <c r="E46" i="15" l="1"/>
  <c r="G24" i="15"/>
  <c r="I24" i="15" s="1"/>
  <c r="F19" i="20"/>
  <c r="G18" i="20"/>
  <c r="E5" i="15"/>
  <c r="G5" i="15"/>
  <c r="I5" i="15" s="1"/>
  <c r="E3" i="15"/>
  <c r="G3" i="15"/>
  <c r="I3" i="15" s="1"/>
  <c r="E4" i="15"/>
  <c r="G4" i="15"/>
  <c r="I4" i="15" s="1"/>
  <c r="G25" i="15"/>
  <c r="I25" i="15" s="1"/>
  <c r="G26" i="15"/>
  <c r="I26" i="15" s="1"/>
  <c r="G18" i="15"/>
  <c r="I18" i="15" s="1"/>
  <c r="G21" i="15"/>
  <c r="I21" i="15" s="1"/>
  <c r="G22" i="15"/>
  <c r="I22" i="15" s="1"/>
  <c r="G15" i="15"/>
  <c r="I15" i="15" s="1"/>
  <c r="G20" i="15"/>
  <c r="I20" i="15" s="1"/>
  <c r="G38" i="15"/>
  <c r="I38" i="15" s="1"/>
  <c r="G14" i="15"/>
  <c r="I14" i="15" s="1"/>
  <c r="G10" i="15"/>
  <c r="I10" i="15" s="1"/>
  <c r="G13" i="15"/>
  <c r="I13" i="15" s="1"/>
  <c r="G8" i="15"/>
  <c r="I8" i="15" s="1"/>
  <c r="G7" i="15"/>
  <c r="I7" i="15" s="1"/>
  <c r="G17" i="15"/>
  <c r="I17" i="15" s="1"/>
  <c r="G19" i="15"/>
  <c r="I19" i="15" s="1"/>
  <c r="G16" i="15"/>
  <c r="I16" i="15" s="1"/>
  <c r="G12" i="15"/>
  <c r="I12" i="15" s="1"/>
  <c r="G11" i="15"/>
  <c r="I11" i="15" s="1"/>
  <c r="G6" i="15"/>
  <c r="I6" i="15" s="1"/>
  <c r="F20" i="20" l="1"/>
  <c r="G19" i="20"/>
  <c r="G32" i="15"/>
  <c r="G39" i="15"/>
  <c r="I39" i="15" s="1"/>
  <c r="G44" i="15"/>
  <c r="I44" i="15" s="1"/>
  <c r="G27" i="15"/>
  <c r="I27" i="15" s="1"/>
  <c r="F21" i="20" l="1"/>
  <c r="G20" i="20"/>
  <c r="I32" i="15"/>
  <c r="G28" i="15"/>
  <c r="G31" i="15"/>
  <c r="G35" i="15"/>
  <c r="G30" i="15"/>
  <c r="G34" i="15"/>
  <c r="G40" i="15"/>
  <c r="G41" i="15"/>
  <c r="G29" i="15"/>
  <c r="G33" i="15"/>
  <c r="G45" i="15"/>
  <c r="G37" i="15"/>
  <c r="G42" i="15"/>
  <c r="G43" i="15"/>
  <c r="F22" i="20" l="1"/>
  <c r="G21" i="20"/>
  <c r="H21" i="20" s="1"/>
  <c r="I43" i="15"/>
  <c r="I42" i="15"/>
  <c r="I37" i="15"/>
  <c r="I45" i="15"/>
  <c r="I33" i="15"/>
  <c r="I29" i="15"/>
  <c r="I41" i="15"/>
  <c r="I40" i="15"/>
  <c r="I34" i="15"/>
  <c r="I30" i="15"/>
  <c r="I35" i="15"/>
  <c r="I31" i="15"/>
  <c r="I28" i="15"/>
  <c r="F23" i="20" l="1"/>
  <c r="G22" i="20"/>
  <c r="H22" i="20" s="1"/>
  <c r="F24" i="20" l="1"/>
  <c r="G23" i="20"/>
  <c r="H23" i="20" s="1"/>
  <c r="F25" i="20" l="1"/>
  <c r="G24" i="20"/>
  <c r="H24" i="20" s="1"/>
  <c r="F26" i="20" l="1"/>
  <c r="G25" i="20"/>
  <c r="H25" i="20" s="1"/>
  <c r="I25" i="20" s="1"/>
  <c r="F27" i="20" l="1"/>
  <c r="G26" i="20"/>
  <c r="H26" i="20" s="1"/>
  <c r="I26" i="20" s="1"/>
  <c r="G27" i="20" l="1"/>
  <c r="H27" i="20" s="1"/>
  <c r="I27" i="20" s="1"/>
  <c r="F28" i="20"/>
  <c r="F33" i="20"/>
  <c r="G33" i="20" s="1"/>
  <c r="H33" i="20" s="1"/>
  <c r="I33" i="20" s="1"/>
  <c r="J33" i="20" s="1"/>
  <c r="K33" i="20" s="1"/>
  <c r="F29" i="20" l="1"/>
  <c r="F30" i="20" s="1"/>
  <c r="G30" i="20" s="1"/>
  <c r="H30" i="20" s="1"/>
  <c r="I30" i="20" s="1"/>
  <c r="J30" i="20" s="1"/>
  <c r="G28" i="20"/>
  <c r="H28" i="20" s="1"/>
  <c r="I28" i="20" s="1"/>
  <c r="G29" i="20" l="1"/>
  <c r="H29" i="20" s="1"/>
  <c r="I29" i="20" s="1"/>
  <c r="J29" i="20" s="1"/>
  <c r="F31" i="20" l="1"/>
  <c r="F32" i="20" l="1"/>
  <c r="G32" i="20" s="1"/>
  <c r="H32" i="20" s="1"/>
  <c r="I32" i="20" s="1"/>
  <c r="J32" i="20" s="1"/>
  <c r="G31" i="20"/>
  <c r="H31" i="20" s="1"/>
  <c r="I31" i="20" s="1"/>
  <c r="J3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E10" authorId="0" shapeId="0" xr:uid="{669FA604-DF41-4BA0-A2D2-C030A40A4FAD}">
      <text>
        <r>
          <rPr>
            <sz val="12"/>
            <color indexed="81"/>
            <rFont val="Times New Roman"/>
            <family val="1"/>
          </rPr>
          <t>See PHB 162</t>
        </r>
      </text>
    </comment>
    <comment ref="E12" authorId="0" shapeId="0" xr:uid="{00000000-0006-0000-0000-000009000000}">
      <text>
        <r>
          <rPr>
            <sz val="12"/>
            <color indexed="81"/>
            <rFont val="Times New Roman"/>
            <family val="1"/>
          </rPr>
          <t>[(4 * 8 Duskblade) * 75%]
+ (4 * 1 Con)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3" authorId="0" shapeId="0" xr:uid="{64DEBE80-66E1-4C1B-8F19-D64A81882F13}">
      <text>
        <r>
          <rPr>
            <sz val="12"/>
            <color indexed="81"/>
            <rFont val="Times New Roman"/>
            <family val="1"/>
          </rPr>
          <t xml:space="preserve">The souls of your people are hard to separate from their bodies.
</t>
        </r>
        <r>
          <rPr>
            <b/>
            <sz val="12"/>
            <color indexed="81"/>
            <rFont val="Times New Roman"/>
            <family val="1"/>
          </rPr>
          <t xml:space="preserve">Regions: </t>
        </r>
        <r>
          <rPr>
            <sz val="12"/>
            <color indexed="81"/>
            <rFont val="Times New Roman"/>
            <family val="1"/>
          </rPr>
          <t xml:space="preserve">Dalelands, Moonshaes, deep gnome, ghostwise halfling, lightfoot halfling, moon elf, rock gnome, strongheart halfling, sun elf, wild elf, wood elf.
</t>
        </r>
        <r>
          <rPr>
            <b/>
            <sz val="12"/>
            <color indexed="81"/>
            <rFont val="Times New Roman"/>
            <family val="1"/>
          </rPr>
          <t xml:space="preserve">Benefit: </t>
        </r>
        <r>
          <rPr>
            <sz val="12"/>
            <color indexed="81"/>
            <rFont val="Times New Roman"/>
            <family val="1"/>
          </rPr>
          <t>You get a +1 bonus on all Fortitude and Will saves and
an additional +1 bonus on saving throws against energy draining and death effects.
FRCS 39</t>
        </r>
      </text>
    </comment>
    <comment ref="F5" authorId="0" shapeId="0" xr:uid="{B8B53BA5-F306-4E38-9393-9A6511BC9E9D}">
      <text>
        <r>
          <rPr>
            <sz val="12"/>
            <color indexed="81"/>
            <rFont val="Times New Roman"/>
            <family val="1"/>
          </rPr>
          <t xml:space="preserve">The souls of your people are hard to separate from their bodies.
</t>
        </r>
        <r>
          <rPr>
            <b/>
            <sz val="12"/>
            <color indexed="81"/>
            <rFont val="Times New Roman"/>
            <family val="1"/>
          </rPr>
          <t xml:space="preserve">Regions: </t>
        </r>
        <r>
          <rPr>
            <sz val="12"/>
            <color indexed="81"/>
            <rFont val="Times New Roman"/>
            <family val="1"/>
          </rPr>
          <t xml:space="preserve">Dalelands, Moonshaes, deep gnome, ghostwise halfling, lightfoot halfling, moon elf, rock gnome, strongheart halfling, sun elf, wild elf, wood elf.
</t>
        </r>
        <r>
          <rPr>
            <b/>
            <sz val="12"/>
            <color indexed="81"/>
            <rFont val="Times New Roman"/>
            <family val="1"/>
          </rPr>
          <t xml:space="preserve">Benefit: </t>
        </r>
        <r>
          <rPr>
            <sz val="12"/>
            <color indexed="81"/>
            <rFont val="Times New Roman"/>
            <family val="1"/>
          </rPr>
          <t>You get a +1 bonus on all Fortitude and Will saves and
an additional +1 bonus on saving throws against energy draining and death effects.
FRCS 39</t>
        </r>
      </text>
    </comment>
    <comment ref="F7" authorId="0" shapeId="0" xr:uid="{0968FB4D-05AB-488B-8D26-9F67857DC11E}">
      <text>
        <r>
          <rPr>
            <sz val="12"/>
            <color indexed="81"/>
            <rFont val="Times New Roman"/>
            <family val="1"/>
          </rPr>
          <t>-1 MW Chain Shirt</t>
        </r>
      </text>
    </comment>
    <comment ref="F9" authorId="0" shapeId="0" xr:uid="{1F039D4D-DE42-4592-9369-78476FD84144}">
      <text>
        <r>
          <rPr>
            <sz val="12"/>
            <color indexed="81"/>
            <rFont val="Times New Roman"/>
            <family val="1"/>
          </rPr>
          <t>-1 MW Chain Shirt</t>
        </r>
      </text>
    </comment>
    <comment ref="F16" authorId="0" shapeId="0" xr:uid="{45912BFF-42CF-4C4D-B1E9-9AA761C6EC6A}">
      <text>
        <r>
          <rPr>
            <sz val="12"/>
            <color indexed="81"/>
            <rFont val="Times New Roman"/>
            <family val="1"/>
          </rPr>
          <t>-1 MW Chain Shirt</t>
        </r>
      </text>
    </comment>
    <comment ref="F21" authorId="0" shapeId="0" xr:uid="{285405BB-F86A-4D30-8913-C685B151A91D}">
      <text>
        <r>
          <rPr>
            <sz val="12"/>
            <color indexed="81"/>
            <rFont val="Times New Roman"/>
            <family val="1"/>
          </rPr>
          <t>-1 MW Chain Shirt</t>
        </r>
      </text>
    </comment>
    <comment ref="F23" authorId="0" shapeId="0" xr:uid="{04EAC339-2D31-49A9-9449-33F111564752}">
      <text>
        <r>
          <rPr>
            <sz val="12"/>
            <color indexed="81"/>
            <rFont val="Times New Roman"/>
            <family val="1"/>
          </rPr>
          <t>-1 MW Chain Shirt</t>
        </r>
      </text>
    </comment>
    <comment ref="F28" authorId="0" shapeId="0" xr:uid="{00000000-0006-0000-0100-00000B000000}">
      <text>
        <r>
          <rPr>
            <sz val="12"/>
            <color indexed="81"/>
            <rFont val="Times New Roman"/>
            <family val="1"/>
          </rPr>
          <t>+2 Elf</t>
        </r>
      </text>
    </comment>
    <comment ref="F29" authorId="0" shapeId="0" xr:uid="{19832E88-D067-4C46-A803-3727A48DE0A4}">
      <text>
        <r>
          <rPr>
            <sz val="12"/>
            <color indexed="81"/>
            <rFont val="Times New Roman"/>
            <family val="1"/>
          </rPr>
          <t>-1 MW Chain Shirt</t>
        </r>
      </text>
    </comment>
    <comment ref="F37" authorId="0" shapeId="0" xr:uid="{43424C1D-53E4-44A3-A568-BB50004B44D8}">
      <text>
        <r>
          <rPr>
            <sz val="12"/>
            <color indexed="81"/>
            <rFont val="Times New Roman"/>
            <family val="1"/>
          </rPr>
          <t>-1 MW Chain Shirt</t>
        </r>
      </text>
    </comment>
    <comment ref="F40" authorId="0" shapeId="0" xr:uid="{04644AD9-58D6-4636-BAA1-7DBEBEF2AA54}">
      <text>
        <r>
          <rPr>
            <sz val="12"/>
            <color indexed="81"/>
            <rFont val="Times New Roman"/>
            <family val="1"/>
          </rPr>
          <t>+2 Elf</t>
        </r>
      </text>
    </comment>
    <comment ref="F43" authorId="0" shapeId="0" xr:uid="{798B9365-1FD1-456B-8F1E-B298FFB0E4F0}">
      <text>
        <r>
          <rPr>
            <sz val="12"/>
            <color indexed="81"/>
            <rFont val="Times New Roman"/>
            <family val="1"/>
          </rPr>
          <t>-1 Chain Shirt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2" authorId="0" shapeId="0" xr:uid="{5A9B2E21-DC1B-4156-969B-E4AEDEA8E692}">
      <text>
        <r>
          <rPr>
            <sz val="12"/>
            <color indexed="81"/>
            <rFont val="Times New Roman"/>
            <family val="1"/>
          </rPr>
          <t xml:space="preserve">The souls of your people are hard to separate from their bodies.
</t>
        </r>
        <r>
          <rPr>
            <b/>
            <sz val="12"/>
            <color indexed="81"/>
            <rFont val="Times New Roman"/>
            <family val="1"/>
          </rPr>
          <t xml:space="preserve">Regions: </t>
        </r>
        <r>
          <rPr>
            <sz val="12"/>
            <color indexed="81"/>
            <rFont val="Times New Roman"/>
            <family val="1"/>
          </rPr>
          <t xml:space="preserve">Dalelands, Moonshaes, deep gnome, ghostwise halfling, lightfoot halfling, moon elf, rock gnome, strongheart halfling, sun elf, wild elf, wood elf.
</t>
        </r>
        <r>
          <rPr>
            <b/>
            <sz val="12"/>
            <color indexed="81"/>
            <rFont val="Times New Roman"/>
            <family val="1"/>
          </rPr>
          <t xml:space="preserve">Benefit: </t>
        </r>
        <r>
          <rPr>
            <sz val="12"/>
            <color indexed="81"/>
            <rFont val="Times New Roman"/>
            <family val="1"/>
          </rPr>
          <t>You get a +1 bonus on all Fortitude and Will saves and
an additional +1 bonus on saving throws against energy draining and death effects.
FRCS 39</t>
        </r>
      </text>
    </comment>
    <comment ref="A3" authorId="0" shapeId="0" xr:uid="{75F38FB4-E912-4C19-8382-1ADD64274929}">
      <text>
        <r>
          <rPr>
            <sz val="12"/>
            <color indexed="81"/>
            <rFont val="Times New Roman"/>
            <family val="1"/>
          </rPr>
          <t xml:space="preserve">You have an exceptional gift for magic.
</t>
        </r>
        <r>
          <rPr>
            <b/>
            <sz val="12"/>
            <color indexed="81"/>
            <rFont val="Times New Roman"/>
            <family val="1"/>
          </rPr>
          <t xml:space="preserve">Benefit: </t>
        </r>
        <r>
          <rPr>
            <sz val="12"/>
            <color indexed="81"/>
            <rFont val="Times New Roman"/>
            <family val="1"/>
          </rPr>
          <t xml:space="preserve">For the purpose of determining bonus spells and the saving throw DCs of spells you cast, treat your primary spellcasting ability score (Charisma for bards and sorcerers. Wisdom for divine spellcasters. Intelligence for wizards) as 2 points higher than its actual value. If you have more than one spellcasting class, the bonus applies to only one of those classes.
</t>
        </r>
        <r>
          <rPr>
            <b/>
            <sz val="12"/>
            <color indexed="81"/>
            <rFont val="Times New Roman"/>
            <family val="1"/>
          </rPr>
          <t xml:space="preserve">Special: </t>
        </r>
        <r>
          <rPr>
            <sz val="12"/>
            <color indexed="81"/>
            <rFont val="Times New Roman"/>
            <family val="1"/>
          </rPr>
          <t>You may only take this feat as a 1st-level character. If you take this feat more than once (for example, if you are a human or another type of creature that gets more than one feat at 1st level), it applies to a different spellcasting class each time. You can take this feat even if you don't have any spellcasting classes yet.
FRCS 39</t>
        </r>
      </text>
    </comment>
    <comment ref="A4" authorId="0" shapeId="0" xr:uid="{A8C5916B-5EF3-4F92-B2F0-A9E262536C14}">
      <text>
        <r>
          <rPr>
            <sz val="12"/>
            <color indexed="81"/>
            <rFont val="Times New Roman"/>
            <family val="1"/>
          </rPr>
          <t xml:space="preserve">You can fight with a weapon in each hand. You can make one extra attack each round with the second weapon.
</t>
        </r>
        <r>
          <rPr>
            <b/>
            <sz val="12"/>
            <color indexed="81"/>
            <rFont val="Times New Roman"/>
            <family val="1"/>
          </rPr>
          <t xml:space="preserve">Prerequisite: </t>
        </r>
        <r>
          <rPr>
            <sz val="12"/>
            <color indexed="81"/>
            <rFont val="Times New Roman"/>
            <family val="1"/>
          </rPr>
          <t xml:space="preserve">Dex 15.
</t>
        </r>
        <r>
          <rPr>
            <b/>
            <sz val="12"/>
            <color indexed="81"/>
            <rFont val="Times New Roman"/>
            <family val="1"/>
          </rPr>
          <t xml:space="preserve">Benefit: </t>
        </r>
        <r>
          <rPr>
            <sz val="12"/>
            <color indexed="81"/>
            <rFont val="Times New Roman"/>
            <family val="1"/>
          </rPr>
          <t xml:space="preserve">Your penalties on attack rolls for fighting with two weapons are reduced. The penalty for your primary hand lessens by 2 and the one for your off hand lessens by 6.
</t>
        </r>
        <r>
          <rPr>
            <b/>
            <sz val="12"/>
            <color indexed="81"/>
            <rFont val="Times New Roman"/>
            <family val="1"/>
          </rPr>
          <t xml:space="preserve">Normal: </t>
        </r>
        <r>
          <rPr>
            <sz val="12"/>
            <color indexed="81"/>
            <rFont val="Times New Roman"/>
            <family val="1"/>
          </rPr>
          <t xml:space="preserve">See Two-Weapon Fighting, page 160, and Table 8–10:
Two-Weapon Fighting Penalties, page 160.
</t>
        </r>
        <r>
          <rPr>
            <b/>
            <sz val="12"/>
            <color indexed="81"/>
            <rFont val="Times New Roman"/>
            <family val="1"/>
          </rPr>
          <t xml:space="preserve">Special: </t>
        </r>
        <r>
          <rPr>
            <sz val="12"/>
            <color indexed="81"/>
            <rFont val="Times New Roman"/>
            <family val="1"/>
          </rPr>
          <t>A 2nd-level ranger who has chosen the two-weapon combat style is treated as having Two-Weapon Fighting, even if he does not have the prerequisite for it, but only when he is wearing light or no armor (see page 48).
A fighter may select Two-Weapon Fighting as one of his fighter bonus feats (see page 38).
PHB 102</t>
        </r>
      </text>
    </comment>
    <comment ref="A7" authorId="0" shapeId="0" xr:uid="{00000000-0006-0000-0300-000008000000}">
      <text>
        <r>
          <rPr>
            <sz val="12"/>
            <color indexed="81"/>
            <rFont val="Times New Roman"/>
            <family val="1"/>
          </rPr>
          <t>Dancing Lights, Detect Magic, Flare, Ghost Sound, Read Magic a combined total of times per day equal to 3 + Int modifier.  These do not count against your total of spells known or spells per day.</t>
        </r>
      </text>
    </comment>
    <comment ref="A9" authorId="0" shapeId="0" xr:uid="{00000000-0006-0000-0300-00000B000000}">
      <text>
        <r>
          <rPr>
            <sz val="12"/>
            <color indexed="81"/>
            <rFont val="Times New Roman"/>
            <family val="1"/>
          </rPr>
          <t>You can use a standard action to cast any touch spell you know and deliver the spell through your weapon with a melee attack.  Casting a spell in this manner does not provoke attacks of opportunity.  The spell must have a casting time of 1 standard action or less.  If the melee attack is successful, the attack deals damage normally; then the effect of the spell is resolved.</t>
        </r>
      </text>
    </comment>
    <comment ref="A10" authorId="0" shapeId="0" xr:uid="{00000000-0006-0000-0300-000009000000}">
      <text>
        <r>
          <rPr>
            <sz val="12"/>
            <color indexed="81"/>
            <rFont val="Times New Roman"/>
            <family val="1"/>
          </rPr>
          <t>Avoid arcane spell failure so long as you stick to medium armor and light shields.</t>
        </r>
      </text>
    </comment>
    <comment ref="A11" authorId="0" shapeId="0" xr:uid="{00000000-0006-0000-0300-00000C000000}">
      <text>
        <r>
          <rPr>
            <sz val="12"/>
            <color indexed="81"/>
            <rFont val="Times New Roman"/>
            <family val="1"/>
          </rPr>
          <t xml:space="preserve">You are adept at casting spells in combat.
</t>
        </r>
        <r>
          <rPr>
            <b/>
            <sz val="12"/>
            <color indexed="81"/>
            <rFont val="Times New Roman"/>
            <family val="1"/>
          </rPr>
          <t xml:space="preserve">Benefit:  </t>
        </r>
        <r>
          <rPr>
            <sz val="12"/>
            <color indexed="81"/>
            <rFont val="Times New Roman"/>
            <family val="1"/>
          </rPr>
          <t>You get a +4 bonus on Concentration checks made to cast a spell or use a spell-like ability while on the defensive (see Casting on the Defensive, page 140) or while you are grappling or pinned.
PHB 92</t>
        </r>
      </text>
    </comment>
    <comment ref="A12" authorId="0" shapeId="0" xr:uid="{00000000-0006-0000-0300-00000E000000}">
      <text>
        <r>
          <rPr>
            <sz val="12"/>
            <color indexed="81"/>
            <rFont val="Times New Roman"/>
            <family val="1"/>
          </rPr>
          <t>You can cast one spell as a swift action, so long as the casting time of the spell is 1 standard action or less.</t>
        </r>
      </text>
    </comment>
    <comment ref="A13" authorId="0" shapeId="0" xr:uid="{00000000-0006-0000-0300-00000D000000}">
      <text>
        <r>
          <rPr>
            <sz val="12"/>
            <color indexed="81"/>
            <rFont val="Times New Roman"/>
            <family val="1"/>
          </rPr>
          <t>Starting at 6th level, you can more easily overcome the spell resistance of any opponent you successfully injure
with a melee attack.
If you have injured an opponent with a melee attack, you gain a +2 bonus on your caster level check to overcome spell resistance for the remainder of the encounter.  This bonus increases to +3 at 11th level, to +4 at 16th level, and to +5 at 18th level.
PHB II 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21" authorId="0" shapeId="0" xr:uid="{413DA5B4-9BDC-457F-8B59-8468133CD89F}">
      <text>
        <r>
          <rPr>
            <sz val="12"/>
            <rFont val="Times New Roman"/>
            <family val="1"/>
          </rPr>
          <t xml:space="preserve">Your spells are especially potent, breaking through spell resistance more readily than normal.
</t>
        </r>
        <r>
          <rPr>
            <b/>
            <sz val="12"/>
            <color indexed="81"/>
            <rFont val="Times New Roman"/>
            <family val="1"/>
          </rPr>
          <t xml:space="preserve">Benefit:  </t>
        </r>
        <r>
          <rPr>
            <sz val="12"/>
            <rFont val="Times New Roman"/>
            <family val="1"/>
          </rPr>
          <t>You get a +2 bonus on caster level checks (1d20 + caster level) made to overcome a creature’s spell resistance.
PHB 97</t>
        </r>
      </text>
    </comment>
    <comment ref="D22" authorId="0" shapeId="0" xr:uid="{8A46874A-2974-44FF-B289-E6B5215CAEDF}">
      <text>
        <r>
          <rPr>
            <sz val="12"/>
            <color indexed="81"/>
            <rFont val="Times New Roman"/>
            <family val="1"/>
          </rPr>
          <t>Starting at 6th level, you can more easily overcome the spell resistance of any opponent you successfully injure
with a melee attack.
If you have injured an opponent with a melee attack, you gain a +2 bonus on your caster level check to overcome spell resistance for the remainder of the encounter.  This
bonus increases to +3 at 11th level, to +4 at 16th level, and to +5 at 18th level.
PHB II 20</t>
        </r>
      </text>
    </comment>
    <comment ref="D25" authorId="0" shapeId="0" xr:uid="{00000000-0006-0000-0400-000004000000}">
      <text>
        <r>
          <rPr>
            <sz val="12"/>
            <color indexed="81"/>
            <rFont val="Times New Roman"/>
            <family val="1"/>
          </rPr>
          <t>Balance, Climb, Escape Artist, Hide, Jump, Move Silently, Sleight of Hand, Tumble.</t>
        </r>
      </text>
    </comment>
  </commentList>
</comments>
</file>

<file path=xl/sharedStrings.xml><?xml version="1.0" encoding="utf-8"?>
<sst xmlns="http://schemas.openxmlformats.org/spreadsheetml/2006/main" count="539" uniqueCount="260">
  <si>
    <t>Properties</t>
  </si>
  <si>
    <t>Melee Weapon</t>
  </si>
  <si>
    <t>Dmg</t>
  </si>
  <si>
    <t>Qty.</t>
  </si>
  <si>
    <t>Ranged Weapon</t>
  </si>
  <si>
    <t>Dmg.</t>
  </si>
  <si>
    <t>Rng.</t>
  </si>
  <si>
    <t>Skills</t>
  </si>
  <si>
    <t>Concentration</t>
  </si>
  <si>
    <t>AC Mod.</t>
  </si>
  <si>
    <t>Handle Animal</t>
  </si>
  <si>
    <t>Move Silently</t>
  </si>
  <si>
    <t>Ride</t>
  </si>
  <si>
    <t>Search</t>
  </si>
  <si>
    <t>Swim</t>
  </si>
  <si>
    <t>Weapons and Armor</t>
  </si>
  <si>
    <t>Type</t>
  </si>
  <si>
    <t>Personality, History, and Notes</t>
  </si>
  <si>
    <t>D+</t>
  </si>
  <si>
    <t>TH+</t>
  </si>
  <si>
    <t>Wt.</t>
  </si>
  <si>
    <t>Mod.</t>
  </si>
  <si>
    <t>Rank</t>
  </si>
  <si>
    <t>Dex</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</si>
  <si>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</si>
  <si>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</si>
  <si>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</si>
  <si>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</si>
  <si>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</si>
  <si>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</si>
  <si>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</si>
  <si>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</si>
  <si>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</si>
  <si>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</si>
  <si>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</si>
  <si>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</si>
  <si>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</si>
  <si>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</si>
  <si>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</si>
  <si>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</si>
  <si>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</si>
  <si>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</si>
  <si>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</si>
  <si>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</si>
  <si>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</si>
  <si>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</si>
  <si>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</si>
  <si>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</si>
  <si>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</si>
  <si>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</si>
  <si>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</si>
  <si>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</si>
  <si>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Fortitude</t>
  </si>
  <si>
    <t>Reflex</t>
  </si>
  <si>
    <t>Will</t>
  </si>
  <si>
    <t>Armor &amp; Shield</t>
  </si>
  <si>
    <t>Missiles</t>
  </si>
  <si>
    <t>Languages</t>
  </si>
  <si>
    <t>Equipment Worn</t>
  </si>
  <si>
    <t>Item</t>
  </si>
  <si>
    <t>Effects/</t>
  </si>
  <si>
    <t>Notes</t>
  </si>
  <si>
    <t>Equipment Carried</t>
  </si>
  <si>
    <t>Check</t>
  </si>
  <si>
    <t>Arcane</t>
  </si>
  <si>
    <t>Speed</t>
  </si>
  <si>
    <t>Sleight of Hand</t>
  </si>
  <si>
    <t>Survival</t>
  </si>
  <si>
    <t>Atk</t>
  </si>
  <si>
    <t>Feats</t>
  </si>
  <si>
    <t>Simple &amp; Martial Weapons</t>
  </si>
  <si>
    <t>2</t>
  </si>
  <si>
    <t>1</t>
  </si>
  <si>
    <t>Backpack</t>
  </si>
  <si>
    <t>Roll</t>
  </si>
  <si>
    <t>Perform:  [type]</t>
  </si>
  <si>
    <t>Knowledge:  Arcana</t>
  </si>
  <si>
    <t>Explorer’s Outfit</t>
  </si>
  <si>
    <t>Flint and Steel</t>
  </si>
  <si>
    <t>eight</t>
  </si>
  <si>
    <t>30’</t>
  </si>
  <si>
    <t>Value</t>
  </si>
  <si>
    <t>Class Features</t>
  </si>
  <si>
    <t>Level</t>
  </si>
  <si>
    <t>-</t>
  </si>
  <si>
    <t>Duskblade</t>
  </si>
  <si>
    <t>Female</t>
  </si>
  <si>
    <t>Knowledge:  Nature</t>
  </si>
  <si>
    <t>Speak Language</t>
  </si>
  <si>
    <t>Duskblade 1</t>
  </si>
  <si>
    <t>Duskblade 2</t>
  </si>
  <si>
    <t>Duskblade 3</t>
  </si>
  <si>
    <t>Duskblade 4</t>
  </si>
  <si>
    <t>Racial Abilities</t>
  </si>
  <si>
    <t>Arcane Attunement, 6/day</t>
  </si>
  <si>
    <t>Armored Mage (Medium)</t>
  </si>
  <si>
    <t>Proficiencies</t>
  </si>
  <si>
    <t>Shields (not tower)</t>
  </si>
  <si>
    <t>Armor (all)</t>
  </si>
  <si>
    <t>DC</t>
  </si>
  <si>
    <t>Cast?</t>
  </si>
  <si>
    <t>Instant</t>
  </si>
  <si>
    <t>100’ + 10’/lvl</t>
  </si>
  <si>
    <t>1 SA</t>
  </si>
  <si>
    <t>V S</t>
  </si>
  <si>
    <t>Evocation</t>
  </si>
  <si>
    <t>Swift</t>
  </si>
  <si>
    <t>1 rnd/lvl</t>
  </si>
  <si>
    <t>Touch</t>
  </si>
  <si>
    <t>25’ + 2½’/lvl</t>
  </si>
  <si>
    <t>Conjuration</t>
  </si>
  <si>
    <t>Duration</t>
  </si>
  <si>
    <t>Range</t>
  </si>
  <si>
    <t>Casting</t>
  </si>
  <si>
    <t>Components</t>
  </si>
  <si>
    <t>School</t>
  </si>
  <si>
    <t>Spell</t>
  </si>
  <si>
    <t>Spells</t>
  </si>
  <si>
    <t>PHB</t>
  </si>
  <si>
    <t>PHB II</t>
  </si>
  <si>
    <t>Reference</t>
  </si>
  <si>
    <t>Page</t>
  </si>
  <si>
    <t>Transmutation</t>
  </si>
  <si>
    <t>V</t>
  </si>
  <si>
    <t>Ranged Touch Attack</t>
  </si>
  <si>
    <t>varies</t>
  </si>
  <si>
    <t>Necromancy</t>
  </si>
  <si>
    <t>Grapple</t>
  </si>
  <si>
    <t>Total Equity:</t>
  </si>
  <si>
    <t>1st</t>
  </si>
  <si>
    <t>2nd</t>
  </si>
  <si>
    <t>3rd</t>
  </si>
  <si>
    <t>4th</t>
  </si>
  <si>
    <t>5th</t>
  </si>
  <si>
    <t>Acid Splash</t>
  </si>
  <si>
    <t>1 min/lvl</t>
  </si>
  <si>
    <t>Personal</t>
  </si>
  <si>
    <t>V S M/DF</t>
  </si>
  <si>
    <t>10 min/lvl</t>
  </si>
  <si>
    <t>Abjuration</t>
  </si>
  <si>
    <t>Unarmed Punch/Kick</t>
  </si>
  <si>
    <t>1d4</t>
  </si>
  <si>
    <t>Bludgeon</t>
  </si>
  <si>
    <t>+5</t>
  </si>
  <si>
    <t>Unarmed, 2nd Attack</t>
  </si>
  <si>
    <r>
      <t xml:space="preserve">Unarmed, </t>
    </r>
    <r>
      <rPr>
        <i/>
        <sz val="12"/>
        <rFont val="Times New Roman"/>
        <family val="1"/>
      </rPr>
      <t>haste</t>
    </r>
  </si>
  <si>
    <t>Dispel Magic</t>
  </si>
  <si>
    <t>V S F</t>
  </si>
  <si>
    <t>0th</t>
  </si>
  <si>
    <t>Total Daily Spells</t>
  </si>
  <si>
    <t>Caster Class</t>
  </si>
  <si>
    <t>CL</t>
  </si>
  <si>
    <t>Spell Effects</t>
  </si>
  <si>
    <t>Intelligence Bonus</t>
  </si>
  <si>
    <t>Daily Duskblade Spells</t>
  </si>
  <si>
    <t>Spell Penetration</t>
  </si>
  <si>
    <t>Scrolls and Potions</t>
  </si>
  <si>
    <t>CLev</t>
  </si>
  <si>
    <t>Duskblade Spells</t>
  </si>
  <si>
    <t>Prcg/Slash</t>
  </si>
  <si>
    <t>Skill/Save</t>
  </si>
  <si>
    <t>Arcane Channeling (full attack)</t>
  </si>
  <si>
    <t>Race</t>
  </si>
  <si>
    <t>Class</t>
  </si>
  <si>
    <t>Deity</t>
  </si>
  <si>
    <t>Alignment</t>
  </si>
  <si>
    <t>Attack Bonus</t>
  </si>
  <si>
    <t>Initiative</t>
  </si>
  <si>
    <t>Strength</t>
  </si>
  <si>
    <t>Dexterity</t>
  </si>
  <si>
    <t>Constitution</t>
  </si>
  <si>
    <t>Intelligence</t>
  </si>
  <si>
    <t>Wisdom</t>
  </si>
  <si>
    <t>Charisma</t>
  </si>
  <si>
    <t>Sex</t>
  </si>
  <si>
    <t>Age</t>
  </si>
  <si>
    <t>Height</t>
  </si>
  <si>
    <t>Weight</t>
  </si>
  <si>
    <t>Base Speed</t>
  </si>
  <si>
    <t>Actual Speed</t>
  </si>
  <si>
    <t>Lb. Capacity</t>
  </si>
  <si>
    <t>Lb. Carried</t>
  </si>
  <si>
    <t>Hit Points</t>
  </si>
  <si>
    <t>Touch AC</t>
  </si>
  <si>
    <t>FF AC</t>
  </si>
  <si>
    <t>AC</t>
  </si>
  <si>
    <t>Bypass Spell Resistance</t>
  </si>
  <si>
    <t>Bypass SR (Spell Power)</t>
  </si>
  <si>
    <t>ü</t>
  </si>
  <si>
    <t>Traveler’s Outfit</t>
  </si>
  <si>
    <r>
      <rPr>
        <b/>
        <i/>
        <sz val="18"/>
        <color rgb="FF9966FF"/>
        <rFont val="Times New Roman"/>
        <family val="1"/>
      </rPr>
      <t xml:space="preserve">Minimum </t>
    </r>
    <r>
      <rPr>
        <i/>
        <sz val="18"/>
        <color rgb="FF9966FF"/>
        <rFont val="Times New Roman"/>
        <family val="1"/>
      </rPr>
      <t>Known Spells</t>
    </r>
  </si>
  <si>
    <t>x</t>
  </si>
  <si>
    <t>19</t>
  </si>
  <si>
    <t>20</t>
  </si>
  <si>
    <t>Crit</t>
  </si>
  <si>
    <t>Silk Rope</t>
  </si>
  <si>
    <t>Common, Draconic</t>
  </si>
  <si>
    <t>Current Limit:</t>
  </si>
  <si>
    <t>Equity on this page:</t>
  </si>
  <si>
    <t>Region</t>
  </si>
  <si>
    <t>Gold Coins</t>
  </si>
  <si>
    <t>Ranged 2nd Attack</t>
  </si>
  <si>
    <t>Played by Brenda</t>
  </si>
  <si>
    <t>5’ 4”</t>
  </si>
  <si>
    <t>Chaotic Good</t>
  </si>
  <si>
    <t>Llewyrr Elf</t>
  </si>
  <si>
    <t>Synorria</t>
  </si>
  <si>
    <t>Elven, Gnoll</t>
  </si>
  <si>
    <t>Regional:  Strong Soul</t>
  </si>
  <si>
    <t>1st:  Spellcasting Prodigy</t>
  </si>
  <si>
    <t>3rd:  Two-Weapon Fighting</t>
  </si>
  <si>
    <t>Combat Casting</t>
  </si>
  <si>
    <t>Craft:  Blacksmithing</t>
  </si>
  <si>
    <t>Knowledge:  Geography</t>
  </si>
  <si>
    <t>Knowledge:  Nobility/Royalty</t>
  </si>
  <si>
    <t>Magic Missile &amp; Mage Armor</t>
  </si>
  <si>
    <t>@6th:  Spell Power +2</t>
  </si>
  <si>
    <t>@ 5th:  Quick Cast 4/day</t>
  </si>
  <si>
    <t>-1</t>
  </si>
  <si>
    <t>Read Magic</t>
  </si>
  <si>
    <t>Detect Magic</t>
  </si>
  <si>
    <t>Flare</t>
  </si>
  <si>
    <t>Message</t>
  </si>
  <si>
    <t>Resistance</t>
  </si>
  <si>
    <t>Blade of Blood</t>
  </si>
  <si>
    <t>Universal</t>
  </si>
  <si>
    <t>60’</t>
  </si>
  <si>
    <t>1 minute</t>
  </si>
  <si>
    <t>Scimitar +1</t>
  </si>
  <si>
    <t>Scimitar, 2nd Attack</t>
  </si>
  <si>
    <r>
      <t xml:space="preserve">Scimitar, </t>
    </r>
    <r>
      <rPr>
        <i/>
        <sz val="12"/>
        <rFont val="Times New Roman"/>
        <family val="1"/>
      </rPr>
      <t>haste</t>
    </r>
  </si>
  <si>
    <t>Dagger +1</t>
  </si>
  <si>
    <r>
      <t xml:space="preserve">Dagger, </t>
    </r>
    <r>
      <rPr>
        <i/>
        <sz val="12"/>
        <rFont val="Times New Roman"/>
        <family val="1"/>
      </rPr>
      <t>haste</t>
    </r>
  </si>
  <si>
    <t>1d6+1</t>
  </si>
  <si>
    <t>1d4+1</t>
  </si>
  <si>
    <r>
      <t xml:space="preserve">Potion of </t>
    </r>
    <r>
      <rPr>
        <i/>
        <sz val="12"/>
        <rFont val="Times New Roman"/>
        <family val="1"/>
      </rPr>
      <t>Cure Light Wounds</t>
    </r>
  </si>
  <si>
    <t>Ink</t>
  </si>
  <si>
    <t>Whetstone</t>
  </si>
  <si>
    <t>Small, Metal Mirror</t>
  </si>
  <si>
    <t>Flasks</t>
  </si>
  <si>
    <t>Scroll Cases</t>
  </si>
  <si>
    <t>Parchment</t>
  </si>
  <si>
    <t>Inkpen</t>
  </si>
  <si>
    <t>50’</t>
  </si>
  <si>
    <t>Serasande</t>
  </si>
  <si>
    <t>Featherstone</t>
  </si>
  <si>
    <t>+2 versus Enchantments</t>
  </si>
  <si>
    <t>Immunity to Sleep</t>
  </si>
  <si>
    <t>Low-light Vision</t>
  </si>
  <si>
    <r>
      <t>58</t>
    </r>
    <r>
      <rPr>
        <sz val="13"/>
        <rFont val="Times New Roman"/>
        <family val="1"/>
      </rPr>
      <t>/</t>
    </r>
    <r>
      <rPr>
        <sz val="13"/>
        <color indexed="51"/>
        <rFont val="Times New Roman"/>
        <family val="1"/>
      </rPr>
      <t>116</t>
    </r>
    <r>
      <rPr>
        <sz val="13"/>
        <rFont val="Times New Roman"/>
        <family val="1"/>
      </rPr>
      <t>/</t>
    </r>
    <r>
      <rPr>
        <sz val="13"/>
        <color indexed="10"/>
        <rFont val="Times New Roman"/>
        <family val="1"/>
      </rPr>
      <t>175</t>
    </r>
  </si>
  <si>
    <t>125 lbs.</t>
  </si>
  <si>
    <t>18</t>
  </si>
  <si>
    <t>MW Chain Shirt</t>
  </si>
  <si>
    <t>Profession:  [type]</t>
  </si>
  <si>
    <t>Mage Armor</t>
  </si>
  <si>
    <t>Shocking Grasp</t>
  </si>
  <si>
    <t>True Strike</t>
  </si>
  <si>
    <t>Divination</t>
  </si>
  <si>
    <t>V F</t>
  </si>
  <si>
    <t>special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</si>
</sst>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 [$₲-474]"/>
  </numFmts>
  <fonts count="67" x14ac:knownFonts="1">
    <font>
      <sz val="12"/>
      <name val="Times New Roman"/>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sz val="18"/>
      <name val="Times New Roman"/>
      <family val="1"/>
    </font>
    <font>
      <b/>
      <sz val="18"/>
      <name val="Times New Roman"/>
      <family val="1"/>
    </font>
    <font>
      <sz val="13"/>
      <color indexed="17"/>
      <name val="Times New Roman"/>
      <family val="1"/>
    </font>
    <font>
      <sz val="13"/>
      <color indexed="10"/>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sz val="10"/>
      <name val="Arial"/>
      <family val="2"/>
    </font>
    <font>
      <sz val="12"/>
      <name val="Times New Roman"/>
      <family val="1"/>
      <charset val="1"/>
    </font>
    <font>
      <b/>
      <sz val="13"/>
      <color rgb="FF00CC00"/>
      <name val="Times New Roman"/>
      <family val="1"/>
    </font>
    <font>
      <b/>
      <sz val="12"/>
      <color indexed="81"/>
      <name val="Times New Roman"/>
      <family val="1"/>
    </font>
    <font>
      <b/>
      <sz val="13"/>
      <color rgb="FFFF0000"/>
      <name val="Times New Roman"/>
      <family val="1"/>
    </font>
    <font>
      <b/>
      <sz val="13"/>
      <color rgb="FF0000FF"/>
      <name val="Times New Roman"/>
      <family val="1"/>
    </font>
    <font>
      <sz val="13"/>
      <color rgb="FFFFC000"/>
      <name val="Times New Roman"/>
      <family val="1"/>
    </font>
    <font>
      <b/>
      <sz val="13"/>
      <color rgb="FF7030A0"/>
      <name val="Times New Roman"/>
      <family val="1"/>
    </font>
    <font>
      <b/>
      <sz val="13"/>
      <color rgb="FFFFC000"/>
      <name val="Times New Roman"/>
      <family val="1"/>
    </font>
    <font>
      <b/>
      <sz val="12"/>
      <color rgb="FFFFC000"/>
      <name val="Times New Roman"/>
      <family val="1"/>
    </font>
    <font>
      <sz val="12"/>
      <color rgb="FFFFC000"/>
      <name val="Times New Roman"/>
      <family val="1"/>
    </font>
    <font>
      <i/>
      <sz val="18"/>
      <color rgb="FF0000FF"/>
      <name val="Times New Roman"/>
      <family val="1"/>
    </font>
    <font>
      <b/>
      <sz val="12"/>
      <color theme="1"/>
      <name val="Times New Roman"/>
      <family val="1"/>
    </font>
    <font>
      <i/>
      <sz val="16"/>
      <color indexed="53"/>
      <name val="Times New Roman"/>
      <family val="1"/>
    </font>
    <font>
      <i/>
      <sz val="16"/>
      <color indexed="17"/>
      <name val="Times New Roman"/>
      <family val="1"/>
    </font>
    <font>
      <i/>
      <sz val="16"/>
      <color indexed="10"/>
      <name val="Times New Roman"/>
      <family val="1"/>
    </font>
    <font>
      <i/>
      <sz val="16"/>
      <color indexed="57"/>
      <name val="Times New Roman"/>
      <family val="1"/>
    </font>
    <font>
      <b/>
      <sz val="12"/>
      <color rgb="FFFF0000"/>
      <name val="Times New Roman"/>
      <family val="1"/>
    </font>
    <font>
      <i/>
      <sz val="12"/>
      <name val="Times New Roman"/>
      <family val="1"/>
    </font>
    <font>
      <b/>
      <sz val="12"/>
      <color theme="0"/>
      <name val="Times New Roman"/>
      <family val="1"/>
    </font>
    <font>
      <i/>
      <sz val="18"/>
      <color rgb="FF7030A0"/>
      <name val="Times New Roman"/>
      <family val="1"/>
    </font>
    <font>
      <sz val="13"/>
      <color rgb="FF7030A0"/>
      <name val="Times New Roman"/>
      <family val="1"/>
    </font>
    <font>
      <i/>
      <sz val="22"/>
      <color rgb="FF9966FF"/>
      <name val="Times New Roman"/>
      <family val="1"/>
    </font>
    <font>
      <i/>
      <sz val="12"/>
      <color rgb="FF00FFFF"/>
      <name val="Times New Roman"/>
      <family val="1"/>
    </font>
    <font>
      <sz val="12"/>
      <name val="Wingdings"/>
      <charset val="2"/>
    </font>
    <font>
      <i/>
      <sz val="18"/>
      <color rgb="FF9966FF"/>
      <name val="Times New Roman"/>
      <family val="1"/>
    </font>
    <font>
      <b/>
      <i/>
      <sz val="18"/>
      <color rgb="FF9966FF"/>
      <name val="Times New Roman"/>
      <family val="1"/>
    </font>
    <font>
      <sz val="12"/>
      <color rgb="FF9966FF"/>
      <name val="Times New Roman"/>
      <family val="1"/>
    </font>
    <font>
      <sz val="13"/>
      <color theme="2" tint="-0.499984740745262"/>
      <name val="Times New Roman"/>
      <family val="1"/>
    </font>
    <font>
      <i/>
      <sz val="11"/>
      <name val="Times New Roman"/>
      <family val="1"/>
    </font>
    <font>
      <b/>
      <sz val="13"/>
      <color rgb="FF00B0F0"/>
      <name val="Times New Roman"/>
      <family val="1"/>
    </font>
    <font>
      <i/>
      <sz val="17"/>
      <name val="Times New Roman"/>
      <family val="1"/>
    </font>
    <font>
      <b/>
      <sz val="12"/>
      <color rgb="FF9966FF"/>
      <name val="Times New Roman"/>
      <family val="1"/>
    </font>
  </fonts>
  <fills count="12">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rgb="FF9966FF"/>
        <bgColor indexed="64"/>
      </patternFill>
    </fill>
    <fill>
      <patternFill patternType="solid">
        <fgColor rgb="FF9900FF"/>
        <bgColor indexed="64"/>
      </patternFill>
    </fill>
  </fills>
  <borders count="134">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double">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style="double">
        <color indexed="64"/>
      </right>
      <top/>
      <bottom style="thin">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top style="double">
        <color indexed="64"/>
      </top>
      <bottom style="medium">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style="medium">
        <color indexed="64"/>
      </top>
      <bottom style="hair">
        <color indexed="64"/>
      </bottom>
      <diagonal/>
    </border>
    <border>
      <left style="double">
        <color indexed="64"/>
      </left>
      <right/>
      <top style="double">
        <color indexed="64"/>
      </top>
      <bottom style="thick">
        <color rgb="FF00B0F0"/>
      </bottom>
      <diagonal/>
    </border>
    <border>
      <left/>
      <right/>
      <top style="double">
        <color indexed="64"/>
      </top>
      <bottom style="thick">
        <color rgb="FF00B0F0"/>
      </bottom>
      <diagonal/>
    </border>
    <border>
      <left/>
      <right style="double">
        <color indexed="64"/>
      </right>
      <top style="double">
        <color indexed="64"/>
      </top>
      <bottom style="thick">
        <color rgb="FF00B0F0"/>
      </bottom>
      <diagonal/>
    </border>
    <border>
      <left/>
      <right style="double">
        <color indexed="64"/>
      </right>
      <top style="thin">
        <color indexed="64"/>
      </top>
      <bottom style="double">
        <color indexed="64"/>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indexed="64"/>
      </right>
      <top style="double">
        <color auto="1"/>
      </top>
      <bottom style="thin">
        <color auto="1"/>
      </bottom>
      <diagonal/>
    </border>
    <border>
      <left/>
      <right/>
      <top style="thin">
        <color auto="1"/>
      </top>
      <bottom style="double">
        <color indexed="64"/>
      </bottom>
      <diagonal/>
    </border>
    <border>
      <left style="double">
        <color indexed="64"/>
      </left>
      <right style="double">
        <color indexed="64"/>
      </right>
      <top/>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hair">
        <color indexed="64"/>
      </top>
      <bottom/>
      <diagonal/>
    </border>
    <border>
      <left/>
      <right style="hair">
        <color auto="1"/>
      </right>
      <top style="double">
        <color auto="1"/>
      </top>
      <bottom style="medium">
        <color indexed="64"/>
      </bottom>
      <diagonal/>
    </border>
    <border>
      <left style="hair">
        <color auto="1"/>
      </left>
      <right style="hair">
        <color auto="1"/>
      </right>
      <top style="double">
        <color auto="1"/>
      </top>
      <bottom style="medium">
        <color indexed="64"/>
      </bottom>
      <diagonal/>
    </border>
    <border>
      <left style="hair">
        <color auto="1"/>
      </left>
      <right style="double">
        <color auto="1"/>
      </right>
      <top style="double">
        <color auto="1"/>
      </top>
      <bottom style="medium">
        <color indexed="64"/>
      </bottom>
      <diagonal/>
    </border>
    <border>
      <left style="double">
        <color auto="1"/>
      </left>
      <right style="medium">
        <color auto="1"/>
      </right>
      <top/>
      <bottom style="hair">
        <color indexed="64"/>
      </bottom>
      <diagonal/>
    </border>
    <border>
      <left/>
      <right style="hair">
        <color indexed="64"/>
      </right>
      <top/>
      <bottom style="hair">
        <color indexed="64"/>
      </bottom>
      <diagonal/>
    </border>
    <border>
      <left style="double">
        <color auto="1"/>
      </left>
      <right style="medium">
        <color auto="1"/>
      </right>
      <top style="hair">
        <color indexed="64"/>
      </top>
      <bottom style="hair">
        <color indexed="64"/>
      </bottom>
      <diagonal/>
    </border>
    <border>
      <left/>
      <right style="hair">
        <color indexed="64"/>
      </right>
      <top style="hair">
        <color indexed="64"/>
      </top>
      <bottom style="hair">
        <color indexed="64"/>
      </bottom>
      <diagonal/>
    </border>
    <border>
      <left style="double">
        <color auto="1"/>
      </left>
      <right style="medium">
        <color auto="1"/>
      </right>
      <top style="hair">
        <color indexed="64"/>
      </top>
      <bottom style="double">
        <color indexed="64"/>
      </bottom>
      <diagonal/>
    </border>
    <border>
      <left/>
      <right style="hair">
        <color indexed="64"/>
      </right>
      <top style="hair">
        <color indexed="64"/>
      </top>
      <bottom style="double">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double">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double">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hair">
        <color indexed="64"/>
      </top>
      <bottom style="thin">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thin">
        <color indexed="64"/>
      </right>
      <top style="medium">
        <color indexed="64"/>
      </top>
      <bottom style="hair">
        <color indexed="64"/>
      </bottom>
      <diagonal/>
    </border>
    <border>
      <left style="double">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medium">
        <color auto="1"/>
      </right>
      <top style="thin">
        <color auto="1"/>
      </top>
      <bottom style="medium">
        <color indexed="64"/>
      </bottom>
      <diagonal/>
    </border>
    <border>
      <left/>
      <right style="thin">
        <color auto="1"/>
      </right>
      <top style="thin">
        <color auto="1"/>
      </top>
      <bottom style="medium">
        <color indexed="64"/>
      </bottom>
      <diagonal/>
    </border>
    <border>
      <left style="thin">
        <color indexed="64"/>
      </left>
      <right style="double">
        <color indexed="64"/>
      </right>
      <top style="thin">
        <color auto="1"/>
      </top>
      <bottom style="medium">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0">
    <xf numFmtId="0" fontId="0" fillId="0" borderId="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9" fontId="4" fillId="0" borderId="0" applyFont="0" applyFill="0" applyBorder="0" applyAlignment="0" applyProtection="0"/>
    <xf numFmtId="0" fontId="34" fillId="0" borderId="0"/>
    <xf numFmtId="0" fontId="1" fillId="0" borderId="0"/>
    <xf numFmtId="0" fontId="35"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485">
    <xf numFmtId="0" fontId="0" fillId="0" borderId="0" xfId="0"/>
    <xf numFmtId="0" fontId="11" fillId="3" borderId="55" xfId="0" applyFont="1" applyFill="1" applyBorder="1" applyAlignment="1">
      <alignment horizontal="centerContinuous" vertical="center"/>
    </xf>
    <xf numFmtId="0" fontId="11" fillId="3" borderId="32" xfId="0" applyFont="1" applyFill="1" applyBorder="1" applyAlignment="1">
      <alignment horizontal="center" vertical="center"/>
    </xf>
    <xf numFmtId="0" fontId="11" fillId="3" borderId="32" xfId="0" applyFont="1" applyFill="1" applyBorder="1" applyAlignment="1">
      <alignment horizontal="center" vertical="center" wrapText="1"/>
    </xf>
    <xf numFmtId="0" fontId="11" fillId="3" borderId="56" xfId="0" applyFont="1" applyFill="1" applyBorder="1" applyAlignment="1">
      <alignment horizontal="center" vertical="center"/>
    </xf>
    <xf numFmtId="1" fontId="1" fillId="0" borderId="65" xfId="0" applyNumberFormat="1" applyFont="1" applyBorder="1" applyAlignment="1">
      <alignment horizontal="center" vertical="center"/>
    </xf>
    <xf numFmtId="0" fontId="1" fillId="0" borderId="65" xfId="0" applyFont="1" applyBorder="1" applyAlignment="1">
      <alignment horizontal="center" vertical="center"/>
    </xf>
    <xf numFmtId="0" fontId="1" fillId="0" borderId="65" xfId="0" quotePrefix="1" applyFont="1" applyBorder="1" applyAlignment="1">
      <alignment horizontal="center" vertical="center" wrapText="1"/>
    </xf>
    <xf numFmtId="49" fontId="1" fillId="0" borderId="65" xfId="2" applyNumberFormat="1" applyFont="1" applyFill="1" applyBorder="1" applyAlignment="1">
      <alignment horizontal="center" vertical="center"/>
    </xf>
    <xf numFmtId="0" fontId="1" fillId="0" borderId="65" xfId="0" applyFont="1" applyBorder="1" applyAlignment="1">
      <alignment horizontal="center" vertical="center" shrinkToFit="1"/>
    </xf>
    <xf numFmtId="164" fontId="4" fillId="0" borderId="67" xfId="0" applyNumberFormat="1" applyFont="1" applyBorder="1" applyAlignment="1">
      <alignment horizontal="center" vertical="center"/>
    </xf>
    <xf numFmtId="0" fontId="4" fillId="0" borderId="0" xfId="0" applyFont="1" applyAlignment="1">
      <alignment vertical="center"/>
    </xf>
    <xf numFmtId="0" fontId="5" fillId="0" borderId="1" xfId="0" applyFont="1" applyBorder="1" applyAlignment="1">
      <alignment horizontal="right" vertical="center"/>
    </xf>
    <xf numFmtId="0" fontId="6" fillId="0" borderId="0" xfId="0" applyFont="1" applyAlignment="1">
      <alignment vertical="center"/>
    </xf>
    <xf numFmtId="0" fontId="6" fillId="0" borderId="0" xfId="0" applyFont="1" applyAlignment="1">
      <alignment horizontal="center" vertical="center"/>
    </xf>
    <xf numFmtId="0" fontId="5" fillId="0" borderId="0" xfId="0" applyFont="1" applyAlignment="1">
      <alignment horizontal="right" vertical="center"/>
    </xf>
    <xf numFmtId="0" fontId="0" fillId="0" borderId="0" xfId="0" applyAlignment="1">
      <alignment vertical="center"/>
    </xf>
    <xf numFmtId="0" fontId="6" fillId="0" borderId="2" xfId="0" applyFont="1" applyBorder="1" applyAlignment="1">
      <alignment horizontal="left" vertical="center"/>
    </xf>
    <xf numFmtId="0" fontId="5" fillId="4" borderId="60" xfId="0" applyFont="1" applyFill="1" applyBorder="1" applyAlignment="1">
      <alignment horizontal="right" vertical="center"/>
    </xf>
    <xf numFmtId="0" fontId="5" fillId="4" borderId="74" xfId="0" applyFont="1" applyFill="1" applyBorder="1" applyAlignment="1">
      <alignment horizontal="right" vertical="center"/>
    </xf>
    <xf numFmtId="0" fontId="6" fillId="0" borderId="0" xfId="0" applyFont="1" applyAlignment="1">
      <alignment horizontal="left" vertical="center"/>
    </xf>
    <xf numFmtId="0" fontId="7" fillId="2" borderId="13" xfId="0" applyFont="1" applyFill="1" applyBorder="1" applyAlignment="1">
      <alignment horizontal="right" vertical="center"/>
    </xf>
    <xf numFmtId="0" fontId="7" fillId="4" borderId="52" xfId="0" applyFont="1" applyFill="1" applyBorder="1" applyAlignment="1">
      <alignment horizontal="right" vertical="center"/>
    </xf>
    <xf numFmtId="0" fontId="12" fillId="2" borderId="4" xfId="0" applyFont="1" applyFill="1" applyBorder="1" applyAlignment="1">
      <alignment horizontal="right" vertical="center"/>
    </xf>
    <xf numFmtId="0" fontId="7" fillId="4" borderId="50" xfId="0" applyFont="1" applyFill="1" applyBorder="1" applyAlignment="1">
      <alignment horizontal="right" vertical="center"/>
    </xf>
    <xf numFmtId="164" fontId="5" fillId="5" borderId="26" xfId="0" applyNumberFormat="1" applyFont="1" applyFill="1" applyBorder="1" applyAlignment="1">
      <alignment horizontal="center" vertical="center"/>
    </xf>
    <xf numFmtId="0" fontId="5" fillId="0" borderId="25" xfId="0" applyFont="1" applyBorder="1" applyAlignment="1">
      <alignment horizontal="center" vertical="center"/>
    </xf>
    <xf numFmtId="0" fontId="36" fillId="2" borderId="4" xfId="0" applyFont="1" applyFill="1" applyBorder="1" applyAlignment="1">
      <alignment horizontal="right" vertical="center"/>
    </xf>
    <xf numFmtId="0" fontId="10" fillId="4" borderId="50" xfId="0" applyFont="1" applyFill="1" applyBorder="1" applyAlignment="1">
      <alignment horizontal="right" vertical="center"/>
    </xf>
    <xf numFmtId="0" fontId="21" fillId="2" borderId="4" xfId="0" applyFont="1" applyFill="1" applyBorder="1" applyAlignment="1">
      <alignment horizontal="right" vertical="center"/>
    </xf>
    <xf numFmtId="0" fontId="13" fillId="2" borderId="15" xfId="0" applyFont="1" applyFill="1" applyBorder="1" applyAlignment="1">
      <alignment horizontal="right" vertical="center"/>
    </xf>
    <xf numFmtId="0" fontId="10" fillId="4" borderId="51" xfId="0" applyFont="1" applyFill="1" applyBorder="1" applyAlignment="1">
      <alignment horizontal="right" vertical="center"/>
    </xf>
    <xf numFmtId="0" fontId="2" fillId="0" borderId="1" xfId="0" applyFont="1" applyBorder="1" applyAlignment="1">
      <alignment vertical="center"/>
    </xf>
    <xf numFmtId="0" fontId="14"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3" fillId="0" borderId="0" xfId="0" applyFont="1" applyAlignment="1">
      <alignment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3" fillId="0" borderId="0" xfId="0" applyFont="1" applyAlignment="1">
      <alignment horizontal="right" vertical="center"/>
    </xf>
    <xf numFmtId="0" fontId="4" fillId="0" borderId="0" xfId="0" applyFont="1" applyAlignment="1">
      <alignment horizontal="left" vertical="center"/>
    </xf>
    <xf numFmtId="0" fontId="24" fillId="0" borderId="20" xfId="0" applyFont="1" applyBorder="1" applyAlignment="1">
      <alignment horizontal="centerContinuous" vertical="center"/>
    </xf>
    <xf numFmtId="0" fontId="15" fillId="0" borderId="0" xfId="0" applyFont="1" applyAlignment="1">
      <alignment horizontal="centerContinuous" vertical="center"/>
    </xf>
    <xf numFmtId="0" fontId="38" fillId="0" borderId="1" xfId="0" applyFont="1" applyBorder="1" applyAlignment="1">
      <alignment vertical="center"/>
    </xf>
    <xf numFmtId="0" fontId="6" fillId="0" borderId="22" xfId="0" applyFont="1" applyBorder="1" applyAlignment="1">
      <alignment horizontal="center" vertical="center"/>
    </xf>
    <xf numFmtId="0" fontId="41" fillId="0" borderId="1" xfId="0" applyFont="1" applyBorder="1" applyAlignment="1">
      <alignment vertical="center"/>
    </xf>
    <xf numFmtId="0" fontId="12" fillId="0" borderId="23" xfId="0" applyFont="1" applyBorder="1" applyAlignment="1">
      <alignment horizontal="center" vertical="center"/>
    </xf>
    <xf numFmtId="0" fontId="39" fillId="0" borderId="57" xfId="0" applyFont="1" applyBorder="1" applyAlignment="1">
      <alignment vertical="center"/>
    </xf>
    <xf numFmtId="0" fontId="6" fillId="0" borderId="58" xfId="0" applyFont="1" applyBorder="1" applyAlignment="1">
      <alignment horizontal="center" vertical="center"/>
    </xf>
    <xf numFmtId="0" fontId="10" fillId="0" borderId="1" xfId="0" applyFont="1" applyBorder="1" applyAlignment="1">
      <alignment vertical="center"/>
    </xf>
    <xf numFmtId="49" fontId="16" fillId="0" borderId="22" xfId="0" applyNumberFormat="1" applyFont="1" applyBorder="1" applyAlignment="1">
      <alignment horizontal="center" vertical="center"/>
    </xf>
    <xf numFmtId="0" fontId="16" fillId="0" borderId="23" xfId="0" applyFont="1" applyBorder="1" applyAlignment="1">
      <alignment horizontal="center" vertical="center"/>
    </xf>
    <xf numFmtId="0" fontId="10" fillId="0" borderId="23" xfId="0" applyFont="1" applyBorder="1" applyAlignment="1">
      <alignment horizontal="center" vertical="center"/>
    </xf>
    <xf numFmtId="49" fontId="6" fillId="0" borderId="23" xfId="0" applyNumberFormat="1" applyFont="1" applyBorder="1" applyAlignment="1">
      <alignment horizontal="center" vertical="center"/>
    </xf>
    <xf numFmtId="0" fontId="6" fillId="0" borderId="24" xfId="0" applyFont="1" applyBorder="1" applyAlignment="1">
      <alignment horizontal="center" vertical="center"/>
    </xf>
    <xf numFmtId="0" fontId="18" fillId="0" borderId="0" xfId="0" applyFont="1" applyAlignment="1">
      <alignment vertical="center"/>
    </xf>
    <xf numFmtId="0" fontId="12" fillId="0" borderId="1" xfId="0" applyFont="1" applyBorder="1" applyAlignment="1">
      <alignment vertical="center"/>
    </xf>
    <xf numFmtId="49" fontId="23" fillId="0" borderId="22" xfId="0" applyNumberFormat="1" applyFont="1" applyBorder="1" applyAlignment="1">
      <alignment horizontal="center" vertical="center"/>
    </xf>
    <xf numFmtId="0" fontId="23" fillId="0" borderId="23" xfId="0" applyFont="1" applyBorder="1" applyAlignment="1">
      <alignment horizontal="center" vertical="center"/>
    </xf>
    <xf numFmtId="0" fontId="31" fillId="0" borderId="0" xfId="0" applyFont="1" applyAlignment="1">
      <alignment vertical="center"/>
    </xf>
    <xf numFmtId="0" fontId="13" fillId="0" borderId="1" xfId="0" applyFont="1" applyBorder="1" applyAlignment="1">
      <alignment vertical="center"/>
    </xf>
    <xf numFmtId="49" fontId="22" fillId="0" borderId="22" xfId="0" applyNumberFormat="1" applyFont="1" applyBorder="1" applyAlignment="1">
      <alignment horizontal="center" vertical="center"/>
    </xf>
    <xf numFmtId="0" fontId="22" fillId="0" borderId="23" xfId="0" applyFont="1" applyBorder="1" applyAlignment="1">
      <alignment horizontal="center" vertical="center"/>
    </xf>
    <xf numFmtId="0" fontId="13" fillId="0" borderId="23" xfId="0" applyFont="1" applyBorder="1" applyAlignment="1">
      <alignment horizontal="center" vertical="center"/>
    </xf>
    <xf numFmtId="0" fontId="29" fillId="0" borderId="0" xfId="0" applyFont="1" applyAlignment="1">
      <alignment vertical="center"/>
    </xf>
    <xf numFmtId="0" fontId="7" fillId="6" borderId="1" xfId="0" applyFont="1" applyFill="1" applyBorder="1" applyAlignment="1">
      <alignment vertical="center"/>
    </xf>
    <xf numFmtId="0" fontId="6" fillId="6" borderId="22" xfId="0" applyFont="1" applyFill="1" applyBorder="1" applyAlignment="1">
      <alignment horizontal="center" vertical="center"/>
    </xf>
    <xf numFmtId="49" fontId="17" fillId="6" borderId="22" xfId="0" applyNumberFormat="1" applyFont="1" applyFill="1" applyBorder="1" applyAlignment="1">
      <alignment horizontal="center" vertical="center"/>
    </xf>
    <xf numFmtId="0" fontId="17" fillId="6" borderId="23" xfId="0" applyFont="1" applyFill="1" applyBorder="1" applyAlignment="1">
      <alignment horizontal="center" vertical="center"/>
    </xf>
    <xf numFmtId="0" fontId="7" fillId="6" borderId="23" xfId="0" applyFont="1" applyFill="1" applyBorder="1" applyAlignment="1">
      <alignment horizontal="center" vertical="center"/>
    </xf>
    <xf numFmtId="49" fontId="6" fillId="6" borderId="23" xfId="0" applyNumberFormat="1" applyFont="1" applyFill="1" applyBorder="1" applyAlignment="1">
      <alignment horizontal="center" vertical="center"/>
    </xf>
    <xf numFmtId="0" fontId="6" fillId="6" borderId="24" xfId="0" applyFont="1" applyFill="1" applyBorder="1" applyAlignment="1">
      <alignment horizontal="center" vertical="center"/>
    </xf>
    <xf numFmtId="0" fontId="28" fillId="0" borderId="0" xfId="0" applyFont="1" applyAlignment="1">
      <alignment vertical="center"/>
    </xf>
    <xf numFmtId="0" fontId="10" fillId="6" borderId="1" xfId="0" applyFont="1" applyFill="1" applyBorder="1" applyAlignment="1">
      <alignment vertical="center"/>
    </xf>
    <xf numFmtId="49" fontId="16" fillId="6" borderId="22" xfId="0" applyNumberFormat="1" applyFont="1" applyFill="1" applyBorder="1" applyAlignment="1">
      <alignment horizontal="center" vertical="center"/>
    </xf>
    <xf numFmtId="0" fontId="16" fillId="6" borderId="23" xfId="0" applyFont="1" applyFill="1" applyBorder="1" applyAlignment="1">
      <alignment horizontal="center" vertical="center"/>
    </xf>
    <xf numFmtId="0" fontId="10" fillId="6" borderId="23" xfId="0" applyFont="1" applyFill="1" applyBorder="1" applyAlignment="1">
      <alignment horizontal="center" vertical="center"/>
    </xf>
    <xf numFmtId="0" fontId="10" fillId="8" borderId="1" xfId="0" applyFont="1" applyFill="1" applyBorder="1" applyAlignment="1">
      <alignment vertical="center"/>
    </xf>
    <xf numFmtId="0" fontId="6" fillId="8" borderId="22" xfId="0" applyFont="1" applyFill="1" applyBorder="1" applyAlignment="1">
      <alignment horizontal="center" vertical="center"/>
    </xf>
    <xf numFmtId="49" fontId="16" fillId="8" borderId="22" xfId="0" applyNumberFormat="1" applyFont="1" applyFill="1" applyBorder="1" applyAlignment="1">
      <alignment horizontal="center" vertical="center"/>
    </xf>
    <xf numFmtId="0" fontId="16" fillId="8" borderId="23" xfId="0" applyFont="1" applyFill="1" applyBorder="1" applyAlignment="1">
      <alignment horizontal="center" vertical="center"/>
    </xf>
    <xf numFmtId="0" fontId="10" fillId="8" borderId="23" xfId="0" applyFont="1" applyFill="1" applyBorder="1" applyAlignment="1">
      <alignment horizontal="center" vertical="center"/>
    </xf>
    <xf numFmtId="49" fontId="6" fillId="8" borderId="23" xfId="0" applyNumberFormat="1" applyFont="1" applyFill="1" applyBorder="1" applyAlignment="1">
      <alignment horizontal="center" vertical="center"/>
    </xf>
    <xf numFmtId="0" fontId="6" fillId="8" borderId="24" xfId="0" applyFont="1" applyFill="1" applyBorder="1" applyAlignment="1">
      <alignment horizontal="center" vertical="center"/>
    </xf>
    <xf numFmtId="0" fontId="30" fillId="0" borderId="0" xfId="0" applyFont="1" applyAlignment="1">
      <alignment vertical="center"/>
    </xf>
    <xf numFmtId="0" fontId="21" fillId="6" borderId="1" xfId="0" applyFont="1" applyFill="1" applyBorder="1" applyAlignment="1">
      <alignment vertical="center"/>
    </xf>
    <xf numFmtId="49" fontId="27" fillId="6" borderId="22" xfId="0" applyNumberFormat="1" applyFont="1" applyFill="1" applyBorder="1" applyAlignment="1">
      <alignment horizontal="center" vertical="center"/>
    </xf>
    <xf numFmtId="0" fontId="27" fillId="6" borderId="23" xfId="0" applyFont="1" applyFill="1" applyBorder="1" applyAlignment="1">
      <alignment horizontal="center" vertical="center"/>
    </xf>
    <xf numFmtId="0" fontId="21" fillId="6" borderId="23" xfId="0" applyFont="1" applyFill="1" applyBorder="1" applyAlignment="1">
      <alignment horizontal="center" vertical="center"/>
    </xf>
    <xf numFmtId="0" fontId="12" fillId="8" borderId="1" xfId="0" applyFont="1" applyFill="1" applyBorder="1" applyAlignment="1">
      <alignment vertical="center"/>
    </xf>
    <xf numFmtId="49" fontId="23" fillId="8" borderId="22" xfId="0" applyNumberFormat="1" applyFont="1" applyFill="1" applyBorder="1" applyAlignment="1">
      <alignment horizontal="center" vertical="center"/>
    </xf>
    <xf numFmtId="0" fontId="23" fillId="8" borderId="23" xfId="0" applyFont="1" applyFill="1" applyBorder="1" applyAlignment="1">
      <alignment horizontal="center" vertical="center"/>
    </xf>
    <xf numFmtId="0" fontId="12" fillId="8" borderId="23" xfId="0" applyFont="1" applyFill="1" applyBorder="1" applyAlignment="1">
      <alignment horizontal="center" vertical="center"/>
    </xf>
    <xf numFmtId="0" fontId="12" fillId="6" borderId="1" xfId="0" applyFont="1" applyFill="1" applyBorder="1" applyAlignment="1">
      <alignment vertical="center"/>
    </xf>
    <xf numFmtId="49" fontId="23" fillId="6" borderId="22" xfId="0" applyNumberFormat="1" applyFont="1" applyFill="1" applyBorder="1" applyAlignment="1">
      <alignment horizontal="center" vertical="center"/>
    </xf>
    <xf numFmtId="0" fontId="23" fillId="6" borderId="23" xfId="0" applyFont="1" applyFill="1" applyBorder="1" applyAlignment="1">
      <alignment horizontal="center" vertical="center"/>
    </xf>
    <xf numFmtId="0" fontId="12" fillId="6" borderId="23" xfId="0" applyFont="1" applyFill="1" applyBorder="1" applyAlignment="1">
      <alignment horizontal="center" vertical="center"/>
    </xf>
    <xf numFmtId="0" fontId="21" fillId="0" borderId="1" xfId="0" applyFont="1" applyBorder="1" applyAlignment="1">
      <alignment vertical="center"/>
    </xf>
    <xf numFmtId="49" fontId="27" fillId="0" borderId="22" xfId="0" applyNumberFormat="1" applyFont="1" applyBorder="1" applyAlignment="1">
      <alignment horizontal="center" vertical="center"/>
    </xf>
    <xf numFmtId="0" fontId="27" fillId="0" borderId="23" xfId="0" applyFont="1" applyBorder="1" applyAlignment="1">
      <alignment horizontal="center" vertical="center"/>
    </xf>
    <xf numFmtId="0" fontId="21" fillId="0" borderId="23" xfId="0" applyFont="1" applyBorder="1" applyAlignment="1">
      <alignment horizontal="center" vertical="center"/>
    </xf>
    <xf numFmtId="0" fontId="6" fillId="6" borderId="24" xfId="0" quotePrefix="1"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xf>
    <xf numFmtId="0" fontId="4"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horizontal="left" vertical="center" wrapText="1"/>
    </xf>
    <xf numFmtId="0" fontId="6" fillId="0" borderId="53" xfId="0" applyFont="1" applyBorder="1" applyAlignment="1">
      <alignment horizontal="centerContinuous" vertical="center"/>
    </xf>
    <xf numFmtId="0" fontId="2" fillId="0" borderId="0" xfId="0" applyFont="1" applyAlignment="1">
      <alignment horizontal="centerContinuous" vertical="center"/>
    </xf>
    <xf numFmtId="0" fontId="20" fillId="7" borderId="16" xfId="0" applyFont="1" applyFill="1" applyBorder="1" applyAlignment="1">
      <alignment horizontal="center" vertical="center"/>
    </xf>
    <xf numFmtId="0" fontId="20" fillId="7" borderId="17" xfId="0" applyFont="1" applyFill="1" applyBorder="1" applyAlignment="1">
      <alignment horizontal="center" vertical="center"/>
    </xf>
    <xf numFmtId="49" fontId="20" fillId="7" borderId="17" xfId="0" applyNumberFormat="1" applyFont="1" applyFill="1" applyBorder="1" applyAlignment="1">
      <alignment horizontal="center" vertical="center"/>
    </xf>
    <xf numFmtId="0" fontId="20" fillId="7" borderId="19" xfId="0" applyFont="1" applyFill="1" applyBorder="1" applyAlignment="1">
      <alignment horizontal="center" vertical="center"/>
    </xf>
    <xf numFmtId="0" fontId="20" fillId="7" borderId="18" xfId="0" applyFont="1" applyFill="1" applyBorder="1" applyAlignment="1">
      <alignment horizontal="center" vertical="center"/>
    </xf>
    <xf numFmtId="0" fontId="20" fillId="7" borderId="27" xfId="0" applyFont="1" applyFill="1" applyBorder="1" applyAlignment="1">
      <alignment horizontal="center" vertical="center"/>
    </xf>
    <xf numFmtId="1" fontId="1" fillId="0" borderId="47" xfId="0" applyNumberFormat="1" applyFont="1" applyBorder="1" applyAlignment="1">
      <alignment horizontal="center" vertical="center"/>
    </xf>
    <xf numFmtId="0" fontId="4" fillId="0" borderId="0" xfId="0" applyFont="1" applyAlignment="1">
      <alignment horizontal="centerContinuous" vertical="center"/>
    </xf>
    <xf numFmtId="164" fontId="4" fillId="0" borderId="0" xfId="0" applyNumberFormat="1" applyFont="1" applyAlignment="1">
      <alignment horizontal="center" vertical="center"/>
    </xf>
    <xf numFmtId="0" fontId="20" fillId="7" borderId="19" xfId="0" applyFont="1" applyFill="1" applyBorder="1" applyAlignment="1">
      <alignment horizontal="centerContinuous" vertical="center"/>
    </xf>
    <xf numFmtId="0" fontId="20" fillId="7" borderId="64" xfId="0" applyFont="1" applyFill="1" applyBorder="1" applyAlignment="1">
      <alignment horizontal="centerContinuous" vertical="center"/>
    </xf>
    <xf numFmtId="0" fontId="20" fillId="7" borderId="49" xfId="0" applyFont="1" applyFill="1" applyBorder="1" applyAlignment="1">
      <alignment horizontal="centerContinuous" vertical="center"/>
    </xf>
    <xf numFmtId="164" fontId="4" fillId="0" borderId="11" xfId="0" applyNumberFormat="1" applyFont="1" applyBorder="1" applyAlignment="1">
      <alignment horizontal="center" vertical="center"/>
    </xf>
    <xf numFmtId="164" fontId="2" fillId="0" borderId="0" xfId="0" applyNumberFormat="1" applyFont="1" applyAlignment="1">
      <alignment horizontal="centerContinuous" vertical="center"/>
    </xf>
    <xf numFmtId="0" fontId="20" fillId="3" borderId="31" xfId="0" applyFont="1" applyFill="1" applyBorder="1" applyAlignment="1">
      <alignment horizontal="center" vertical="center"/>
    </xf>
    <xf numFmtId="164" fontId="20" fillId="3" borderId="32" xfId="0" applyNumberFormat="1" applyFont="1" applyFill="1" applyBorder="1" applyAlignment="1">
      <alignment horizontal="center" vertical="center"/>
    </xf>
    <xf numFmtId="0" fontId="20" fillId="3" borderId="31" xfId="0" applyFont="1" applyFill="1" applyBorder="1" applyAlignment="1">
      <alignment horizontal="right" vertical="center"/>
    </xf>
    <xf numFmtId="0" fontId="20" fillId="3" borderId="33" xfId="0" applyFont="1" applyFill="1" applyBorder="1" applyAlignment="1">
      <alignment vertical="center"/>
    </xf>
    <xf numFmtId="164" fontId="20" fillId="3" borderId="27" xfId="0" applyNumberFormat="1" applyFont="1" applyFill="1" applyBorder="1" applyAlignment="1">
      <alignment horizontal="center" vertical="center"/>
    </xf>
    <xf numFmtId="0" fontId="1" fillId="0" borderId="34" xfId="0" applyFont="1" applyBorder="1" applyAlignment="1">
      <alignment horizontal="center" vertical="center" shrinkToFit="1"/>
    </xf>
    <xf numFmtId="1" fontId="1" fillId="0" borderId="35" xfId="0" applyNumberFormat="1" applyFont="1" applyBorder="1" applyAlignment="1">
      <alignment horizontal="center" vertical="center" shrinkToFit="1"/>
    </xf>
    <xf numFmtId="164" fontId="1" fillId="0" borderId="35" xfId="0" applyNumberFormat="1" applyFont="1" applyBorder="1" applyAlignment="1">
      <alignment horizontal="center" vertical="center" shrinkToFit="1"/>
    </xf>
    <xf numFmtId="0" fontId="4" fillId="0" borderId="36" xfId="0" applyFont="1" applyBorder="1" applyAlignment="1">
      <alignment horizontal="left" vertical="center"/>
    </xf>
    <xf numFmtId="0" fontId="4" fillId="0" borderId="37" xfId="0" applyFont="1" applyBorder="1" applyAlignment="1">
      <alignment horizontal="left" vertical="center" shrinkToFit="1"/>
    </xf>
    <xf numFmtId="0" fontId="1" fillId="0" borderId="40" xfId="0" applyFont="1" applyBorder="1" applyAlignment="1">
      <alignment horizontal="center" vertical="center" shrinkToFit="1"/>
    </xf>
    <xf numFmtId="1" fontId="4" fillId="0" borderId="41" xfId="0" applyNumberFormat="1" applyFont="1" applyBorder="1" applyAlignment="1">
      <alignment horizontal="center" vertical="center" shrinkToFit="1"/>
    </xf>
    <xf numFmtId="164" fontId="4" fillId="0" borderId="41" xfId="0" applyNumberFormat="1" applyFont="1" applyBorder="1" applyAlignment="1">
      <alignment horizontal="center" vertical="center" shrinkToFit="1"/>
    </xf>
    <xf numFmtId="0" fontId="4" fillId="0" borderId="42" xfId="0" applyFont="1" applyBorder="1" applyAlignment="1">
      <alignment horizontal="left" vertical="center"/>
    </xf>
    <xf numFmtId="0" fontId="4" fillId="0" borderId="43" xfId="0" applyFont="1" applyBorder="1" applyAlignment="1">
      <alignment horizontal="left" vertical="center" shrinkToFit="1"/>
    </xf>
    <xf numFmtId="164" fontId="2" fillId="0" borderId="0" xfId="0" applyNumberFormat="1" applyFont="1" applyAlignment="1">
      <alignment horizontal="centerContinuous" vertical="center" shrinkToFit="1"/>
    </xf>
    <xf numFmtId="0" fontId="2" fillId="0" borderId="0" xfId="0" applyFont="1" applyAlignment="1">
      <alignment horizontal="centerContinuous" vertical="center" shrinkToFit="1"/>
    </xf>
    <xf numFmtId="164" fontId="1" fillId="0" borderId="38" xfId="0" applyNumberFormat="1" applyFont="1" applyBorder="1" applyAlignment="1">
      <alignment horizontal="center" vertical="center" shrinkToFit="1"/>
    </xf>
    <xf numFmtId="0" fontId="1" fillId="0" borderId="42" xfId="0" applyFont="1" applyBorder="1" applyAlignment="1">
      <alignment horizontal="left" vertical="center"/>
    </xf>
    <xf numFmtId="1" fontId="1" fillId="0" borderId="0" xfId="0" applyNumberFormat="1" applyFont="1" applyAlignment="1">
      <alignment horizontal="center" vertical="center"/>
    </xf>
    <xf numFmtId="1" fontId="4" fillId="0" borderId="0" xfId="0" applyNumberFormat="1" applyFont="1" applyAlignment="1">
      <alignment horizontal="center" vertical="center"/>
    </xf>
    <xf numFmtId="1" fontId="4" fillId="0" borderId="0" xfId="0" applyNumberFormat="1" applyFont="1" applyAlignment="1">
      <alignment vertical="center"/>
    </xf>
    <xf numFmtId="0" fontId="19" fillId="2" borderId="78" xfId="0" applyFont="1" applyFill="1" applyBorder="1" applyAlignment="1">
      <alignment horizontal="left" vertical="center"/>
    </xf>
    <xf numFmtId="0" fontId="3" fillId="2" borderId="78" xfId="0" applyFont="1" applyFill="1" applyBorder="1" applyAlignment="1">
      <alignment horizontal="centerContinuous" vertical="center"/>
    </xf>
    <xf numFmtId="0" fontId="6" fillId="8" borderId="24" xfId="0" quotePrefix="1" applyFont="1" applyFill="1" applyBorder="1" applyAlignment="1">
      <alignment horizontal="center" vertical="center"/>
    </xf>
    <xf numFmtId="0" fontId="12" fillId="0" borderId="8" xfId="0" applyFont="1" applyBorder="1" applyAlignment="1">
      <alignment vertical="center"/>
    </xf>
    <xf numFmtId="0" fontId="6" fillId="0" borderId="46" xfId="0" applyFont="1" applyBorder="1" applyAlignment="1">
      <alignment horizontal="center" vertical="center"/>
    </xf>
    <xf numFmtId="49" fontId="23" fillId="0" borderId="46" xfId="0" applyNumberFormat="1" applyFont="1" applyBorder="1" applyAlignment="1">
      <alignment horizontal="center" vertical="center"/>
    </xf>
    <xf numFmtId="0" fontId="23" fillId="0" borderId="47" xfId="0" applyFont="1" applyBorder="1" applyAlignment="1">
      <alignment horizontal="center" vertical="center"/>
    </xf>
    <xf numFmtId="0" fontId="12" fillId="0" borderId="47" xfId="0" applyFont="1" applyBorder="1" applyAlignment="1">
      <alignment horizontal="center" vertical="center"/>
    </xf>
    <xf numFmtId="49" fontId="6" fillId="0" borderId="47" xfId="0" applyNumberFormat="1" applyFont="1" applyBorder="1" applyAlignment="1">
      <alignment horizontal="center" vertical="center"/>
    </xf>
    <xf numFmtId="0" fontId="6" fillId="0" borderId="29" xfId="0" applyFont="1" applyBorder="1" applyAlignment="1">
      <alignment horizontal="center" vertical="center"/>
    </xf>
    <xf numFmtId="0" fontId="9" fillId="6" borderId="1" xfId="0" applyFont="1" applyFill="1" applyBorder="1" applyAlignment="1">
      <alignment vertical="center"/>
    </xf>
    <xf numFmtId="49" fontId="26" fillId="6" borderId="22" xfId="0" applyNumberFormat="1" applyFont="1" applyFill="1" applyBorder="1" applyAlignment="1">
      <alignment horizontal="center" vertical="center"/>
    </xf>
    <xf numFmtId="0" fontId="26" fillId="6" borderId="23" xfId="0" applyFont="1" applyFill="1" applyBorder="1" applyAlignment="1">
      <alignment horizontal="center" vertical="center"/>
    </xf>
    <xf numFmtId="0" fontId="9" fillId="6" borderId="23" xfId="0" applyFont="1" applyFill="1" applyBorder="1" applyAlignment="1">
      <alignment horizontal="center" vertical="center"/>
    </xf>
    <xf numFmtId="0" fontId="6" fillId="0" borderId="59" xfId="0" quotePrefix="1" applyFont="1" applyBorder="1" applyAlignment="1">
      <alignment horizontal="center" vertical="center"/>
    </xf>
    <xf numFmtId="0" fontId="4" fillId="0" borderId="80" xfId="0" applyFont="1" applyBorder="1" applyAlignment="1">
      <alignment horizontal="center" vertical="center"/>
    </xf>
    <xf numFmtId="0" fontId="20" fillId="7" borderId="60" xfId="0" applyFont="1" applyFill="1" applyBorder="1" applyAlignment="1">
      <alignment horizontal="centerContinuous" vertical="center"/>
    </xf>
    <xf numFmtId="0" fontId="20" fillId="7" borderId="61" xfId="0" applyFont="1" applyFill="1" applyBorder="1" applyAlignment="1">
      <alignment horizontal="centerContinuous" vertical="center"/>
    </xf>
    <xf numFmtId="0" fontId="20" fillId="7" borderId="61" xfId="0" applyFont="1" applyFill="1" applyBorder="1" applyAlignment="1">
      <alignment horizontal="center" vertical="center"/>
    </xf>
    <xf numFmtId="0" fontId="4" fillId="0" borderId="11" xfId="0" applyFont="1" applyBorder="1" applyAlignment="1">
      <alignment horizontal="centerContinuous" vertical="center"/>
    </xf>
    <xf numFmtId="49" fontId="1" fillId="0" borderId="11" xfId="0" applyNumberFormat="1" applyFont="1" applyBorder="1" applyAlignment="1">
      <alignment horizontal="center" vertical="center"/>
    </xf>
    <xf numFmtId="0" fontId="20" fillId="7" borderId="81" xfId="0" applyFont="1" applyFill="1" applyBorder="1" applyAlignment="1">
      <alignment horizontal="centerContinuous" vertical="center"/>
    </xf>
    <xf numFmtId="0" fontId="20" fillId="7" borderId="82" xfId="0" applyFont="1" applyFill="1" applyBorder="1" applyAlignment="1">
      <alignment horizontal="centerContinuous" vertical="center"/>
    </xf>
    <xf numFmtId="0" fontId="20" fillId="7" borderId="83" xfId="0" applyFont="1" applyFill="1" applyBorder="1" applyAlignment="1">
      <alignment horizontal="center" vertical="center"/>
    </xf>
    <xf numFmtId="164" fontId="1" fillId="0" borderId="21" xfId="0" applyNumberFormat="1" applyFont="1" applyBorder="1" applyAlignment="1">
      <alignment horizontal="centerContinuous" vertical="center"/>
    </xf>
    <xf numFmtId="164" fontId="4" fillId="0" borderId="84" xfId="0" applyNumberFormat="1" applyFont="1" applyBorder="1" applyAlignment="1">
      <alignment horizontal="centerContinuous" vertical="center"/>
    </xf>
    <xf numFmtId="0" fontId="1" fillId="0" borderId="0" xfId="5" applyAlignment="1">
      <alignment wrapText="1"/>
    </xf>
    <xf numFmtId="0" fontId="3" fillId="0" borderId="0" xfId="5" applyFont="1" applyAlignment="1">
      <alignment horizontal="right" wrapText="1"/>
    </xf>
    <xf numFmtId="0" fontId="1" fillId="0" borderId="0" xfId="5" applyAlignment="1">
      <alignment horizontal="left" wrapText="1"/>
    </xf>
    <xf numFmtId="0" fontId="6" fillId="0" borderId="58" xfId="5" applyFont="1" applyBorder="1" applyAlignment="1">
      <alignment horizontal="center" wrapText="1"/>
    </xf>
    <xf numFmtId="9" fontId="6" fillId="0" borderId="23" xfId="2" applyFont="1" applyFill="1" applyBorder="1" applyAlignment="1">
      <alignment horizontal="center" vertical="center" shrinkToFit="1"/>
    </xf>
    <xf numFmtId="0" fontId="6" fillId="0" borderId="22" xfId="5" applyFont="1" applyBorder="1" applyAlignment="1">
      <alignment horizontal="center" wrapText="1"/>
    </xf>
    <xf numFmtId="0" fontId="6" fillId="0" borderId="23" xfId="2" applyNumberFormat="1" applyFont="1" applyBorder="1" applyAlignment="1">
      <alignment horizontal="center" shrinkToFit="1"/>
    </xf>
    <xf numFmtId="9" fontId="6" fillId="0" borderId="23" xfId="2" applyFont="1" applyBorder="1" applyAlignment="1">
      <alignment horizontal="center" shrinkToFit="1"/>
    </xf>
    <xf numFmtId="9" fontId="6" fillId="0" borderId="22" xfId="2" applyFont="1" applyBorder="1" applyAlignment="1">
      <alignment horizontal="center" shrinkToFit="1"/>
    </xf>
    <xf numFmtId="0" fontId="3" fillId="0" borderId="0" xfId="5" applyFont="1" applyAlignment="1">
      <alignment wrapText="1"/>
    </xf>
    <xf numFmtId="0" fontId="15" fillId="0" borderId="0" xfId="5" applyFont="1" applyAlignment="1">
      <alignment horizontal="centerContinuous" wrapText="1"/>
    </xf>
    <xf numFmtId="0" fontId="6" fillId="0" borderId="23" xfId="2" applyNumberFormat="1" applyFont="1" applyFill="1" applyBorder="1" applyAlignment="1">
      <alignment horizontal="center" vertical="center" shrinkToFit="1"/>
    </xf>
    <xf numFmtId="0" fontId="6" fillId="0" borderId="24" xfId="0" applyFont="1" applyBorder="1" applyAlignment="1">
      <alignment horizontal="center" vertical="center" wrapText="1"/>
    </xf>
    <xf numFmtId="0" fontId="6" fillId="0" borderId="14" xfId="2" applyNumberFormat="1" applyFont="1" applyFill="1" applyBorder="1" applyAlignment="1">
      <alignment horizontal="center" vertical="center" shrinkToFit="1"/>
    </xf>
    <xf numFmtId="0" fontId="6" fillId="0" borderId="28" xfId="0" applyFont="1" applyBorder="1" applyAlignment="1">
      <alignment horizontal="center" vertical="center" wrapText="1"/>
    </xf>
    <xf numFmtId="0" fontId="6" fillId="0" borderId="0" xfId="0" applyFont="1" applyAlignment="1">
      <alignment horizontal="centerContinuous" vertical="center"/>
    </xf>
    <xf numFmtId="0" fontId="1" fillId="0" borderId="66" xfId="0" applyFont="1" applyBorder="1" applyAlignment="1">
      <alignment horizontal="center" vertical="center"/>
    </xf>
    <xf numFmtId="0" fontId="1" fillId="0" borderId="15" xfId="0" applyFont="1" applyBorder="1" applyAlignment="1">
      <alignment horizontal="center" vertical="center"/>
    </xf>
    <xf numFmtId="0" fontId="1" fillId="0" borderId="46" xfId="0" applyFont="1" applyBorder="1" applyAlignment="1">
      <alignment horizontal="center" vertical="center"/>
    </xf>
    <xf numFmtId="164" fontId="1" fillId="0" borderId="46" xfId="0" applyNumberFormat="1" applyFont="1" applyBorder="1" applyAlignment="1">
      <alignment horizontal="center" vertical="center"/>
    </xf>
    <xf numFmtId="1" fontId="3" fillId="0" borderId="0" xfId="0" applyNumberFormat="1" applyFont="1" applyAlignment="1">
      <alignment horizontal="center" vertical="center"/>
    </xf>
    <xf numFmtId="1" fontId="1" fillId="0" borderId="53"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30" xfId="0" applyNumberFormat="1" applyFont="1" applyBorder="1" applyAlignment="1">
      <alignment horizontal="center" vertical="center"/>
    </xf>
    <xf numFmtId="165" fontId="1" fillId="0" borderId="0" xfId="0" applyNumberFormat="1" applyFont="1" applyAlignment="1">
      <alignment horizontal="center" vertical="center"/>
    </xf>
    <xf numFmtId="0" fontId="1" fillId="0" borderId="0" xfId="0" applyFont="1" applyAlignment="1">
      <alignment vertical="center"/>
    </xf>
    <xf numFmtId="0" fontId="45" fillId="0" borderId="0" xfId="0" applyFont="1" applyAlignment="1">
      <alignment horizontal="centerContinuous" vertical="center" wrapText="1"/>
    </xf>
    <xf numFmtId="0" fontId="3" fillId="0" borderId="0" xfId="5" applyFont="1" applyAlignment="1">
      <alignment vertical="center" wrapText="1"/>
    </xf>
    <xf numFmtId="0" fontId="6" fillId="0" borderId="22" xfId="0" applyFont="1" applyBorder="1" applyAlignment="1">
      <alignment horizontal="center" vertical="center" shrinkToFit="1"/>
    </xf>
    <xf numFmtId="0" fontId="6" fillId="0" borderId="23" xfId="0" applyFont="1" applyBorder="1" applyAlignment="1">
      <alignment horizontal="center" vertical="center" shrinkToFit="1"/>
    </xf>
    <xf numFmtId="9" fontId="6" fillId="0" borderId="22" xfId="2" applyFont="1" applyFill="1" applyBorder="1" applyAlignment="1">
      <alignment horizontal="center" vertical="center" shrinkToFit="1"/>
    </xf>
    <xf numFmtId="0" fontId="47" fillId="0" borderId="27" xfId="0" applyFont="1" applyBorder="1" applyAlignment="1">
      <alignment horizontal="centerContinuous" vertical="center"/>
    </xf>
    <xf numFmtId="0" fontId="49" fillId="0" borderId="27" xfId="0" applyFont="1" applyBorder="1" applyAlignment="1">
      <alignment horizontal="centerContinuous" vertical="center" wrapText="1"/>
    </xf>
    <xf numFmtId="0" fontId="50" fillId="0" borderId="27" xfId="0" applyFont="1" applyBorder="1" applyAlignment="1">
      <alignment horizontal="centerContinuous" vertical="center" wrapText="1"/>
    </xf>
    <xf numFmtId="1" fontId="1" fillId="0" borderId="76" xfId="0" applyNumberFormat="1" applyFont="1" applyBorder="1" applyAlignment="1">
      <alignment horizontal="center" vertical="center" shrinkToFit="1"/>
    </xf>
    <xf numFmtId="1" fontId="1" fillId="0" borderId="30" xfId="0" applyNumberFormat="1" applyFont="1" applyBorder="1" applyAlignment="1">
      <alignment horizontal="center" vertical="center" shrinkToFit="1"/>
    </xf>
    <xf numFmtId="1" fontId="1" fillId="0" borderId="48" xfId="0" applyNumberFormat="1" applyFont="1" applyBorder="1" applyAlignment="1">
      <alignment horizontal="center" vertical="center" shrinkToFit="1"/>
    </xf>
    <xf numFmtId="0" fontId="1" fillId="0" borderId="37" xfId="0" applyFont="1" applyBorder="1" applyAlignment="1">
      <alignment horizontal="left" vertical="center" shrinkToFit="1"/>
    </xf>
    <xf numFmtId="0" fontId="1" fillId="0" borderId="99" xfId="0" applyFont="1" applyBorder="1" applyAlignment="1">
      <alignment horizontal="center" vertical="center" shrinkToFit="1"/>
    </xf>
    <xf numFmtId="0" fontId="1" fillId="0" borderId="100" xfId="0" quotePrefix="1" applyFont="1" applyBorder="1" applyAlignment="1">
      <alignment horizontal="center" vertical="center"/>
    </xf>
    <xf numFmtId="164" fontId="1" fillId="0" borderId="100" xfId="0" applyNumberFormat="1" applyFont="1" applyBorder="1" applyAlignment="1">
      <alignment horizontal="center" vertical="center"/>
    </xf>
    <xf numFmtId="164" fontId="1" fillId="0" borderId="101" xfId="0" applyNumberFormat="1" applyFont="1" applyBorder="1" applyAlignment="1">
      <alignment horizontal="centerContinuous" vertical="center"/>
    </xf>
    <xf numFmtId="164" fontId="1" fillId="0" borderId="102" xfId="0" applyNumberFormat="1" applyFont="1" applyBorder="1" applyAlignment="1">
      <alignment horizontal="centerContinuous" vertical="center"/>
    </xf>
    <xf numFmtId="0" fontId="1" fillId="0" borderId="103" xfId="0" quotePrefix="1" applyFont="1" applyBorder="1" applyAlignment="1">
      <alignment horizontal="centerContinuous" vertical="center"/>
    </xf>
    <xf numFmtId="0" fontId="1" fillId="0" borderId="65" xfId="0" quotePrefix="1" applyFont="1" applyBorder="1" applyAlignment="1">
      <alignment horizontal="center" vertical="center"/>
    </xf>
    <xf numFmtId="0" fontId="4" fillId="0" borderId="65" xfId="0" applyFont="1" applyBorder="1" applyAlignment="1">
      <alignment horizontal="center" vertical="center"/>
    </xf>
    <xf numFmtId="9" fontId="4" fillId="0" borderId="65" xfId="0" applyNumberFormat="1" applyFont="1" applyBorder="1" applyAlignment="1">
      <alignment horizontal="center" vertical="center"/>
    </xf>
    <xf numFmtId="164" fontId="4" fillId="0" borderId="65" xfId="0" applyNumberFormat="1" applyFont="1" applyBorder="1" applyAlignment="1">
      <alignment horizontal="center" vertical="center"/>
    </xf>
    <xf numFmtId="164" fontId="4" fillId="0" borderId="67" xfId="0" applyNumberFormat="1" applyFont="1" applyBorder="1" applyAlignment="1">
      <alignment horizontal="centerContinuous" vertical="center"/>
    </xf>
    <xf numFmtId="164" fontId="1" fillId="0" borderId="104" xfId="0" applyNumberFormat="1" applyFont="1" applyBorder="1" applyAlignment="1">
      <alignment horizontal="centerContinuous" vertical="center"/>
    </xf>
    <xf numFmtId="0" fontId="4" fillId="0" borderId="105" xfId="0" quotePrefix="1" applyFont="1" applyBorder="1" applyAlignment="1">
      <alignment horizontal="centerContinuous" vertical="center"/>
    </xf>
    <xf numFmtId="0" fontId="1" fillId="0" borderId="106" xfId="0" applyFont="1" applyBorder="1" applyAlignment="1">
      <alignment horizontal="center" vertical="center"/>
    </xf>
    <xf numFmtId="0" fontId="1" fillId="0" borderId="107" xfId="0" applyFont="1" applyBorder="1" applyAlignment="1">
      <alignment horizontal="center" vertical="center"/>
    </xf>
    <xf numFmtId="0" fontId="1" fillId="0" borderId="107" xfId="0" quotePrefix="1" applyFont="1" applyBorder="1" applyAlignment="1">
      <alignment horizontal="center" vertical="center" wrapText="1"/>
    </xf>
    <xf numFmtId="49" fontId="1" fillId="0" borderId="107" xfId="2" applyNumberFormat="1" applyFont="1" applyFill="1" applyBorder="1" applyAlignment="1">
      <alignment horizontal="center" vertical="center"/>
    </xf>
    <xf numFmtId="164" fontId="1" fillId="8" borderId="107" xfId="0" applyNumberFormat="1" applyFont="1" applyFill="1" applyBorder="1" applyAlignment="1">
      <alignment horizontal="center" vertical="center"/>
    </xf>
    <xf numFmtId="0" fontId="4" fillId="0" borderId="46" xfId="0" quotePrefix="1" applyFont="1" applyBorder="1" applyAlignment="1">
      <alignment horizontal="center" vertical="center" wrapText="1"/>
    </xf>
    <xf numFmtId="49" fontId="1" fillId="0" borderId="46" xfId="2" applyNumberFormat="1" applyFont="1" applyBorder="1" applyAlignment="1">
      <alignment horizontal="center" vertical="center"/>
    </xf>
    <xf numFmtId="0" fontId="1" fillId="0" borderId="46" xfId="0" applyFont="1" applyBorder="1" applyAlignment="1">
      <alignment horizontal="center" vertical="center" shrinkToFit="1"/>
    </xf>
    <xf numFmtId="164" fontId="4" fillId="0" borderId="47" xfId="0" applyNumberFormat="1" applyFont="1" applyBorder="1" applyAlignment="1">
      <alignment horizontal="center" vertical="center"/>
    </xf>
    <xf numFmtId="0" fontId="1" fillId="0" borderId="107" xfId="0" quotePrefix="1" applyFont="1" applyBorder="1" applyAlignment="1">
      <alignment horizontal="center" vertical="center"/>
    </xf>
    <xf numFmtId="164" fontId="4" fillId="0" borderId="107" xfId="0" applyNumberFormat="1" applyFont="1" applyBorder="1" applyAlignment="1">
      <alignment horizontal="center" vertical="center"/>
    </xf>
    <xf numFmtId="0" fontId="51" fillId="2" borderId="78" xfId="0" applyFont="1" applyFill="1" applyBorder="1" applyAlignment="1">
      <alignment horizontal="center" vertical="center"/>
    </xf>
    <xf numFmtId="9" fontId="6" fillId="0" borderId="58" xfId="2" applyFont="1" applyBorder="1" applyAlignment="1">
      <alignment horizontal="center" shrinkToFit="1"/>
    </xf>
    <xf numFmtId="9" fontId="6" fillId="0" borderId="14" xfId="2" applyFont="1" applyBorder="1" applyAlignment="1">
      <alignment horizontal="center" shrinkToFit="1"/>
    </xf>
    <xf numFmtId="0" fontId="6" fillId="0" borderId="14" xfId="2" applyNumberFormat="1" applyFont="1" applyBorder="1" applyAlignment="1">
      <alignment horizontal="center" shrinkToFit="1"/>
    </xf>
    <xf numFmtId="164" fontId="4" fillId="0" borderId="101" xfId="0" applyNumberFormat="1" applyFont="1" applyBorder="1" applyAlignment="1">
      <alignment horizontal="center" vertical="center"/>
    </xf>
    <xf numFmtId="1" fontId="1" fillId="0" borderId="100" xfId="0" applyNumberFormat="1" applyFont="1" applyBorder="1" applyAlignment="1">
      <alignment horizontal="center" vertical="center"/>
    </xf>
    <xf numFmtId="0" fontId="1" fillId="0" borderId="99" xfId="0" applyFont="1" applyBorder="1" applyAlignment="1">
      <alignment horizontal="center" vertical="center"/>
    </xf>
    <xf numFmtId="0" fontId="1" fillId="0" borderId="100" xfId="0" applyFont="1" applyBorder="1" applyAlignment="1">
      <alignment horizontal="center" vertical="center"/>
    </xf>
    <xf numFmtId="0" fontId="1" fillId="0" borderId="100" xfId="0" quotePrefix="1" applyFont="1" applyBorder="1" applyAlignment="1">
      <alignment horizontal="center" vertical="center" wrapText="1"/>
    </xf>
    <xf numFmtId="49" fontId="1" fillId="0" borderId="100" xfId="2" applyNumberFormat="1" applyFont="1" applyFill="1" applyBorder="1" applyAlignment="1">
      <alignment horizontal="center" vertical="center"/>
    </xf>
    <xf numFmtId="164" fontId="1" fillId="8" borderId="65" xfId="0" applyNumberFormat="1" applyFont="1" applyFill="1" applyBorder="1" applyAlignment="1">
      <alignment horizontal="center" vertical="center"/>
    </xf>
    <xf numFmtId="1" fontId="1" fillId="0" borderId="110" xfId="0" applyNumberFormat="1" applyFont="1" applyBorder="1" applyAlignment="1">
      <alignment horizontal="center" vertical="center"/>
    </xf>
    <xf numFmtId="1" fontId="1" fillId="0" borderId="54" xfId="0" applyNumberFormat="1" applyFont="1" applyBorder="1" applyAlignment="1">
      <alignment horizontal="center" vertical="center"/>
    </xf>
    <xf numFmtId="1" fontId="1" fillId="0" borderId="89" xfId="0" applyNumberFormat="1" applyFont="1" applyBorder="1" applyAlignment="1">
      <alignment horizontal="center" vertical="center"/>
    </xf>
    <xf numFmtId="0" fontId="1" fillId="0" borderId="108" xfId="0" applyFont="1" applyBorder="1" applyAlignment="1">
      <alignment horizontal="center" vertical="center"/>
    </xf>
    <xf numFmtId="0" fontId="1" fillId="0" borderId="109" xfId="0" applyFont="1" applyBorder="1" applyAlignment="1">
      <alignment horizontal="center" vertical="center"/>
    </xf>
    <xf numFmtId="0" fontId="1" fillId="0" borderId="68" xfId="0" applyFont="1" applyBorder="1" applyAlignment="1">
      <alignment horizontal="center" vertical="center"/>
    </xf>
    <xf numFmtId="0" fontId="4" fillId="0" borderId="29" xfId="0" applyFont="1" applyBorder="1" applyAlignment="1">
      <alignment horizontal="center" vertical="center"/>
    </xf>
    <xf numFmtId="0" fontId="1" fillId="0" borderId="70" xfId="0" applyFont="1" applyBorder="1" applyAlignment="1">
      <alignment horizontal="center" vertical="center"/>
    </xf>
    <xf numFmtId="0" fontId="1" fillId="0" borderId="39" xfId="0" applyFont="1" applyBorder="1" applyAlignment="1">
      <alignment horizontal="left" vertical="center" shrinkToFit="1"/>
    </xf>
    <xf numFmtId="0" fontId="51" fillId="0" borderId="5" xfId="0" applyFont="1" applyBorder="1" applyAlignment="1">
      <alignment horizontal="centerContinuous" vertical="center"/>
    </xf>
    <xf numFmtId="0" fontId="3" fillId="0" borderId="6" xfId="0" applyFont="1" applyBorder="1" applyAlignment="1">
      <alignment horizontal="centerContinuous" vertical="center"/>
    </xf>
    <xf numFmtId="0" fontId="1" fillId="0" borderId="6" xfId="0" applyFont="1" applyBorder="1" applyAlignment="1">
      <alignment horizontal="centerContinuous" vertical="center" wrapText="1"/>
    </xf>
    <xf numFmtId="0" fontId="1" fillId="0" borderId="7" xfId="0" applyFont="1" applyBorder="1" applyAlignment="1">
      <alignment horizontal="centerContinuous" vertical="center" wrapText="1"/>
    </xf>
    <xf numFmtId="0" fontId="51" fillId="0" borderId="8" xfId="0" applyFont="1" applyBorder="1" applyAlignment="1">
      <alignment horizontal="center" vertical="center"/>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3" fillId="0" borderId="111" xfId="0" applyFont="1" applyBorder="1" applyAlignment="1">
      <alignment horizontal="right" vertical="center"/>
    </xf>
    <xf numFmtId="0" fontId="1" fillId="0" borderId="112" xfId="0" applyFont="1" applyBorder="1" applyAlignment="1">
      <alignment horizontal="center" vertical="center" wrapText="1"/>
    </xf>
    <xf numFmtId="0" fontId="1" fillId="0" borderId="113" xfId="0" applyFont="1" applyBorder="1" applyAlignment="1">
      <alignment horizontal="center" vertical="center" wrapText="1"/>
    </xf>
    <xf numFmtId="0" fontId="3" fillId="0" borderId="30" xfId="0" applyFont="1" applyBorder="1" applyAlignment="1">
      <alignment horizontal="right" vertical="center"/>
    </xf>
    <xf numFmtId="0" fontId="1" fillId="0" borderId="96" xfId="0" applyFont="1" applyBorder="1" applyAlignment="1">
      <alignment horizontal="center" vertical="center" wrapText="1"/>
    </xf>
    <xf numFmtId="0" fontId="3" fillId="0" borderId="115" xfId="0" applyFont="1" applyBorder="1" applyAlignment="1">
      <alignment horizontal="right" vertical="center"/>
    </xf>
    <xf numFmtId="0" fontId="53" fillId="7" borderId="116" xfId="0" applyFont="1" applyFill="1" applyBorder="1" applyAlignment="1">
      <alignment horizontal="center" vertical="center" wrapText="1"/>
    </xf>
    <xf numFmtId="0" fontId="3" fillId="0" borderId="54" xfId="0" applyFont="1" applyBorder="1" applyAlignment="1">
      <alignment horizontal="right" vertical="center"/>
    </xf>
    <xf numFmtId="49" fontId="1" fillId="0" borderId="94" xfId="0" applyNumberFormat="1" applyFont="1" applyBorder="1" applyAlignment="1">
      <alignment horizontal="center" vertical="center" wrapText="1"/>
    </xf>
    <xf numFmtId="0" fontId="3" fillId="0" borderId="48" xfId="0" applyFont="1" applyBorder="1" applyAlignment="1">
      <alignment horizontal="right" vertical="center"/>
    </xf>
    <xf numFmtId="0" fontId="53" fillId="7" borderId="98" xfId="0" applyFont="1" applyFill="1" applyBorder="1" applyAlignment="1">
      <alignment horizontal="center" vertical="center" wrapText="1"/>
    </xf>
    <xf numFmtId="0" fontId="1" fillId="0" borderId="0" xfId="0" applyFont="1" applyAlignment="1">
      <alignment vertical="center" wrapText="1"/>
    </xf>
    <xf numFmtId="0" fontId="11" fillId="9" borderId="88" xfId="5" applyFont="1" applyFill="1" applyBorder="1" applyAlignment="1">
      <alignment horizontal="centerContinuous" vertical="center" wrapText="1"/>
    </xf>
    <xf numFmtId="0" fontId="11" fillId="9" borderId="87" xfId="5" applyFont="1" applyFill="1" applyBorder="1" applyAlignment="1">
      <alignment horizontal="center" vertical="center" wrapText="1"/>
    </xf>
    <xf numFmtId="0" fontId="20" fillId="9" borderId="87" xfId="5" applyFont="1" applyFill="1" applyBorder="1" applyAlignment="1">
      <alignment horizontal="center" vertical="center" wrapText="1"/>
    </xf>
    <xf numFmtId="0" fontId="11" fillId="9" borderId="87" xfId="0" applyFont="1" applyFill="1" applyBorder="1" applyAlignment="1">
      <alignment horizontal="center" vertical="center" wrapText="1"/>
    </xf>
    <xf numFmtId="0" fontId="11" fillId="9" borderId="86" xfId="0" applyFont="1" applyFill="1" applyBorder="1" applyAlignment="1">
      <alignment horizontal="centerContinuous" vertical="center" wrapText="1"/>
    </xf>
    <xf numFmtId="0" fontId="54" fillId="0" borderId="20" xfId="5" applyFont="1" applyBorder="1" applyAlignment="1">
      <alignment horizontal="centerContinuous" wrapText="1"/>
    </xf>
    <xf numFmtId="0" fontId="55" fillId="0" borderId="1" xfId="5" applyFont="1" applyBorder="1" applyAlignment="1">
      <alignment horizontal="center" shrinkToFit="1"/>
    </xf>
    <xf numFmtId="0" fontId="55" fillId="0" borderId="57" xfId="5" applyFont="1" applyBorder="1" applyAlignment="1">
      <alignment horizontal="center" shrinkToFit="1"/>
    </xf>
    <xf numFmtId="0" fontId="56" fillId="2" borderId="78" xfId="0" applyFont="1" applyFill="1" applyBorder="1" applyAlignment="1">
      <alignment horizontal="left" vertical="center"/>
    </xf>
    <xf numFmtId="0" fontId="57" fillId="2" borderId="79" xfId="1" applyFont="1" applyFill="1" applyBorder="1" applyAlignment="1" applyProtection="1">
      <alignment horizontal="right" vertical="center"/>
    </xf>
    <xf numFmtId="1" fontId="1" fillId="10" borderId="76" xfId="0" applyNumberFormat="1" applyFont="1" applyFill="1" applyBorder="1" applyAlignment="1">
      <alignment horizontal="center" vertical="center"/>
    </xf>
    <xf numFmtId="1" fontId="1" fillId="10" borderId="54" xfId="0" applyNumberFormat="1" applyFont="1" applyFill="1" applyBorder="1" applyAlignment="1">
      <alignment horizontal="center" vertical="center"/>
    </xf>
    <xf numFmtId="0" fontId="1" fillId="10" borderId="23" xfId="0" applyFont="1" applyFill="1" applyBorder="1" applyAlignment="1">
      <alignment horizontal="center" vertical="center"/>
    </xf>
    <xf numFmtId="0" fontId="1" fillId="10" borderId="24" xfId="0" applyFont="1" applyFill="1" applyBorder="1" applyAlignment="1">
      <alignment horizontal="center" vertical="center"/>
    </xf>
    <xf numFmtId="0" fontId="1" fillId="10" borderId="13" xfId="0" applyFont="1" applyFill="1" applyBorder="1" applyAlignment="1">
      <alignment horizontal="center" vertical="center"/>
    </xf>
    <xf numFmtId="0" fontId="1" fillId="10" borderId="22" xfId="0" applyFont="1" applyFill="1" applyBorder="1" applyAlignment="1">
      <alignment horizontal="center" vertical="center"/>
    </xf>
    <xf numFmtId="49" fontId="1" fillId="10" borderId="22" xfId="2" applyNumberFormat="1" applyFont="1" applyFill="1" applyBorder="1" applyAlignment="1">
      <alignment horizontal="center" vertical="center"/>
    </xf>
    <xf numFmtId="0" fontId="1" fillId="10" borderId="22" xfId="0" applyFont="1" applyFill="1" applyBorder="1" applyAlignment="1">
      <alignment horizontal="center" vertical="center" shrinkToFit="1"/>
    </xf>
    <xf numFmtId="164" fontId="1" fillId="10" borderId="22" xfId="0" applyNumberFormat="1" applyFont="1" applyFill="1" applyBorder="1" applyAlignment="1">
      <alignment horizontal="center" vertical="center"/>
    </xf>
    <xf numFmtId="164" fontId="1" fillId="10" borderId="23" xfId="0" applyNumberFormat="1" applyFont="1" applyFill="1" applyBorder="1" applyAlignment="1">
      <alignment horizontal="center" vertical="center"/>
    </xf>
    <xf numFmtId="0" fontId="20" fillId="7" borderId="118" xfId="0" applyFont="1" applyFill="1" applyBorder="1" applyAlignment="1">
      <alignment horizontal="centerContinuous" vertical="center"/>
    </xf>
    <xf numFmtId="0" fontId="20" fillId="7" borderId="119" xfId="0" applyFont="1" applyFill="1" applyBorder="1" applyAlignment="1">
      <alignment horizontal="center" vertical="center"/>
    </xf>
    <xf numFmtId="1" fontId="20" fillId="7" borderId="27" xfId="0" applyNumberFormat="1" applyFont="1" applyFill="1" applyBorder="1" applyAlignment="1">
      <alignment horizontal="center" vertical="center"/>
    </xf>
    <xf numFmtId="0" fontId="1" fillId="0" borderId="34" xfId="0" applyFont="1" applyBorder="1" applyAlignment="1">
      <alignment horizontal="centerContinuous" vertical="center" shrinkToFit="1"/>
    </xf>
    <xf numFmtId="0" fontId="20" fillId="0" borderId="104" xfId="0" applyFont="1" applyBorder="1" applyAlignment="1">
      <alignment horizontal="centerContinuous" vertical="center"/>
    </xf>
    <xf numFmtId="0" fontId="20" fillId="0" borderId="96" xfId="0" applyFont="1" applyBorder="1" applyAlignment="1">
      <alignment horizontal="centerContinuous" vertical="center"/>
    </xf>
    <xf numFmtId="0" fontId="1" fillId="0" borderId="36" xfId="0" applyFont="1" applyBorder="1" applyAlignment="1">
      <alignment horizontal="center" vertical="center"/>
    </xf>
    <xf numFmtId="0" fontId="1" fillId="0" borderId="35" xfId="0" applyFont="1" applyBorder="1" applyAlignment="1">
      <alignment horizontal="center" vertical="center"/>
    </xf>
    <xf numFmtId="0" fontId="1" fillId="0" borderId="105" xfId="0" applyFont="1" applyBorder="1" applyAlignment="1">
      <alignment horizontal="centerContinuous" vertical="center"/>
    </xf>
    <xf numFmtId="0" fontId="1" fillId="0" borderId="40" xfId="0" applyFont="1" applyBorder="1" applyAlignment="1">
      <alignment horizontal="centerContinuous" vertical="center" shrinkToFit="1"/>
    </xf>
    <xf numFmtId="0" fontId="1" fillId="0" borderId="72" xfId="0" applyFont="1" applyBorder="1" applyAlignment="1">
      <alignment horizontal="centerContinuous" vertical="center"/>
    </xf>
    <xf numFmtId="0" fontId="1" fillId="0" borderId="98" xfId="0" applyFont="1" applyBorder="1" applyAlignment="1">
      <alignment horizontal="centerContinuous" vertical="center"/>
    </xf>
    <xf numFmtId="49" fontId="1" fillId="0" borderId="42" xfId="0" applyNumberFormat="1" applyFont="1" applyBorder="1" applyAlignment="1">
      <alignment horizontal="center" vertical="center"/>
    </xf>
    <xf numFmtId="49" fontId="1" fillId="0" borderId="41" xfId="0" applyNumberFormat="1" applyFont="1" applyBorder="1" applyAlignment="1">
      <alignment horizontal="center" vertical="center"/>
    </xf>
    <xf numFmtId="0" fontId="1" fillId="0" borderId="73" xfId="0" applyFont="1" applyBorder="1" applyAlignment="1">
      <alignment horizontal="centerContinuous" vertical="center"/>
    </xf>
    <xf numFmtId="1" fontId="1" fillId="0" borderId="107" xfId="0" applyNumberFormat="1" applyFont="1" applyBorder="1" applyAlignment="1">
      <alignment horizontal="center" vertical="center"/>
    </xf>
    <xf numFmtId="0" fontId="6" fillId="0" borderId="24" xfId="0" applyFont="1" applyBorder="1" applyAlignment="1">
      <alignment horizontal="center"/>
    </xf>
    <xf numFmtId="0" fontId="1" fillId="0" borderId="100" xfId="0" applyFont="1" applyBorder="1" applyAlignment="1">
      <alignment horizontal="center" vertical="center" shrinkToFit="1"/>
    </xf>
    <xf numFmtId="1" fontId="6" fillId="0" borderId="25" xfId="0" applyNumberFormat="1" applyFont="1" applyBorder="1" applyAlignment="1">
      <alignment horizontal="center" vertical="center"/>
    </xf>
    <xf numFmtId="0" fontId="25" fillId="0" borderId="14" xfId="0" applyFont="1" applyBorder="1" applyAlignment="1">
      <alignment horizontal="center" vertical="center"/>
    </xf>
    <xf numFmtId="49" fontId="25" fillId="0" borderId="14" xfId="0" applyNumberFormat="1" applyFont="1" applyBorder="1" applyAlignment="1">
      <alignment horizontal="center" vertical="center"/>
    </xf>
    <xf numFmtId="49" fontId="25" fillId="0" borderId="3" xfId="0" applyNumberFormat="1" applyFont="1" applyBorder="1" applyAlignment="1">
      <alignment horizontal="center" vertical="center"/>
    </xf>
    <xf numFmtId="49" fontId="25" fillId="0" borderId="21" xfId="0" applyNumberFormat="1" applyFont="1" applyBorder="1" applyAlignment="1">
      <alignment horizontal="center" vertical="center"/>
    </xf>
    <xf numFmtId="0" fontId="6" fillId="0" borderId="30" xfId="0" applyFont="1" applyBorder="1" applyAlignment="1">
      <alignment horizontal="centerContinuous" vertical="center"/>
    </xf>
    <xf numFmtId="0" fontId="53" fillId="7" borderId="60" xfId="0" applyFont="1" applyFill="1" applyBorder="1" applyAlignment="1">
      <alignment horizontal="center" vertical="center"/>
    </xf>
    <xf numFmtId="0" fontId="53" fillId="7" borderId="82" xfId="0" applyFont="1" applyFill="1" applyBorder="1" applyAlignment="1">
      <alignment horizontal="centerContinuous" vertical="center"/>
    </xf>
    <xf numFmtId="0" fontId="53" fillId="7" borderId="81" xfId="0" applyFont="1" applyFill="1" applyBorder="1" applyAlignment="1">
      <alignment horizontal="centerContinuous" vertical="center"/>
    </xf>
    <xf numFmtId="0" fontId="53" fillId="7" borderId="83" xfId="0" applyFont="1" applyFill="1" applyBorder="1" applyAlignment="1">
      <alignment horizontal="centerContinuous" vertical="center"/>
    </xf>
    <xf numFmtId="0" fontId="3" fillId="0" borderId="15" xfId="0" applyFont="1" applyBorder="1" applyAlignment="1">
      <alignment horizontal="center" vertical="center"/>
    </xf>
    <xf numFmtId="0" fontId="1" fillId="0" borderId="9" xfId="0" applyFont="1" applyBorder="1" applyAlignment="1">
      <alignment horizontal="centerContinuous" vertical="center" wrapText="1"/>
    </xf>
    <xf numFmtId="0" fontId="3" fillId="0" borderId="47" xfId="0" applyFont="1" applyBorder="1" applyAlignment="1">
      <alignment horizontal="centerContinuous" vertical="center" wrapText="1"/>
    </xf>
    <xf numFmtId="0" fontId="1" fillId="0" borderId="10" xfId="0" applyFont="1" applyBorder="1" applyAlignment="1">
      <alignment horizontal="centerContinuous" vertical="center" wrapText="1"/>
    </xf>
    <xf numFmtId="0" fontId="6" fillId="0" borderId="76" xfId="0" applyFont="1" applyBorder="1" applyAlignment="1">
      <alignment horizontal="centerContinuous" vertical="center"/>
    </xf>
    <xf numFmtId="0" fontId="46" fillId="0" borderId="16" xfId="0" applyFont="1" applyBorder="1" applyAlignment="1">
      <alignment horizontal="center" vertical="center"/>
    </xf>
    <xf numFmtId="0" fontId="46" fillId="0" borderId="90" xfId="0" applyFont="1" applyBorder="1" applyAlignment="1">
      <alignment horizontal="center" vertical="center"/>
    </xf>
    <xf numFmtId="0" fontId="46" fillId="0" borderId="91" xfId="0" applyFont="1" applyBorder="1" applyAlignment="1">
      <alignment horizontal="center" vertical="center"/>
    </xf>
    <xf numFmtId="0" fontId="46" fillId="0" borderId="92" xfId="0" applyFont="1" applyBorder="1" applyAlignment="1">
      <alignment horizontal="center" vertical="center"/>
    </xf>
    <xf numFmtId="0" fontId="6" fillId="0" borderId="54" xfId="0" applyFont="1" applyBorder="1" applyAlignment="1">
      <alignment horizontal="centerContinuous" vertical="center"/>
    </xf>
    <xf numFmtId="0" fontId="0" fillId="0" borderId="93" xfId="0" applyBorder="1" applyAlignment="1">
      <alignment horizontal="center" vertical="center"/>
    </xf>
    <xf numFmtId="1" fontId="0" fillId="0" borderId="94" xfId="0" applyNumberFormat="1" applyBorder="1" applyAlignment="1">
      <alignment horizontal="center" vertical="center"/>
    </xf>
    <xf numFmtId="0" fontId="0" fillId="0" borderId="35" xfId="0" applyBorder="1" applyAlignment="1">
      <alignment horizontal="center" vertical="center"/>
    </xf>
    <xf numFmtId="0" fontId="0" fillId="8" borderId="45" xfId="0" applyFill="1" applyBorder="1" applyAlignment="1">
      <alignment horizontal="center" vertical="center"/>
    </xf>
    <xf numFmtId="0" fontId="0" fillId="8" borderId="44" xfId="0" applyFill="1" applyBorder="1" applyAlignment="1">
      <alignment horizontal="center" vertical="center"/>
    </xf>
    <xf numFmtId="0" fontId="0" fillId="0" borderId="95" xfId="0" applyBorder="1" applyAlignment="1">
      <alignment horizontal="center" vertical="center"/>
    </xf>
    <xf numFmtId="1" fontId="0" fillId="0" borderId="96" xfId="0" applyNumberFormat="1" applyBorder="1" applyAlignment="1">
      <alignment horizontal="center" vertical="center"/>
    </xf>
    <xf numFmtId="0" fontId="0" fillId="8" borderId="35" xfId="0" applyFill="1" applyBorder="1" applyAlignment="1">
      <alignment horizontal="center" vertical="center"/>
    </xf>
    <xf numFmtId="0" fontId="0" fillId="8" borderId="37" xfId="0" applyFill="1" applyBorder="1" applyAlignment="1">
      <alignment horizontal="center" vertical="center"/>
    </xf>
    <xf numFmtId="0" fontId="0" fillId="0" borderId="97" xfId="0" applyBorder="1" applyAlignment="1">
      <alignment horizontal="center" vertical="center"/>
    </xf>
    <xf numFmtId="1" fontId="0" fillId="0" borderId="98" xfId="0" applyNumberFormat="1" applyBorder="1" applyAlignment="1">
      <alignment horizontal="center" vertical="center"/>
    </xf>
    <xf numFmtId="0" fontId="0" fillId="0" borderId="41" xfId="0" applyBorder="1" applyAlignment="1">
      <alignment horizontal="center" vertical="center"/>
    </xf>
    <xf numFmtId="0" fontId="1" fillId="0" borderId="36" xfId="0" applyFont="1" applyBorder="1" applyAlignment="1">
      <alignment horizontal="left" vertical="center"/>
    </xf>
    <xf numFmtId="0" fontId="39" fillId="0" borderId="22" xfId="0" applyFont="1" applyBorder="1" applyAlignment="1">
      <alignment horizontal="center" vertical="center"/>
    </xf>
    <xf numFmtId="1" fontId="6" fillId="0" borderId="22" xfId="0" applyNumberFormat="1" applyFont="1" applyBorder="1" applyAlignment="1">
      <alignment horizontal="center" vertical="center"/>
    </xf>
    <xf numFmtId="49" fontId="6" fillId="0" borderId="22" xfId="0" applyNumberFormat="1" applyFont="1" applyBorder="1" applyAlignment="1">
      <alignment horizontal="center" vertical="center"/>
    </xf>
    <xf numFmtId="0" fontId="42" fillId="0" borderId="58" xfId="0" applyFont="1" applyBorder="1" applyAlignment="1">
      <alignment horizontal="center" vertical="center"/>
    </xf>
    <xf numFmtId="1" fontId="6" fillId="0" borderId="58" xfId="0" applyNumberFormat="1" applyFont="1" applyBorder="1" applyAlignment="1">
      <alignment horizontal="center" vertical="center"/>
    </xf>
    <xf numFmtId="49" fontId="6" fillId="0" borderId="58" xfId="0" applyNumberFormat="1" applyFont="1" applyBorder="1" applyAlignment="1">
      <alignment horizontal="center" vertical="center"/>
    </xf>
    <xf numFmtId="1" fontId="6" fillId="0" borderId="12" xfId="0" applyNumberFormat="1" applyFont="1" applyBorder="1" applyAlignment="1">
      <alignment horizontal="center" vertical="center"/>
    </xf>
    <xf numFmtId="0" fontId="1" fillId="0" borderId="123" xfId="0" applyFont="1" applyBorder="1" applyAlignment="1">
      <alignment horizontal="center" vertical="center" shrinkToFit="1"/>
    </xf>
    <xf numFmtId="1" fontId="1" fillId="0" borderId="38" xfId="0" applyNumberFormat="1" applyFont="1" applyBorder="1" applyAlignment="1">
      <alignment horizontal="center" vertical="center" shrinkToFit="1"/>
    </xf>
    <xf numFmtId="0" fontId="1" fillId="0" borderId="124" xfId="0" applyFont="1" applyBorder="1" applyAlignment="1">
      <alignment horizontal="left" vertical="center"/>
    </xf>
    <xf numFmtId="1" fontId="1" fillId="0" borderId="89" xfId="0" applyNumberFormat="1" applyFont="1" applyBorder="1" applyAlignment="1">
      <alignment horizontal="center" vertical="center" shrinkToFit="1"/>
    </xf>
    <xf numFmtId="0" fontId="59" fillId="0" borderId="0" xfId="0" applyFont="1" applyAlignment="1">
      <alignment horizontal="centerContinuous" vertical="center" wrapText="1"/>
    </xf>
    <xf numFmtId="0" fontId="0" fillId="8" borderId="39" xfId="0" applyFill="1" applyBorder="1" applyAlignment="1">
      <alignment horizontal="center" vertical="center"/>
    </xf>
    <xf numFmtId="0" fontId="0" fillId="0" borderId="39" xfId="0" applyBorder="1" applyAlignment="1">
      <alignment horizontal="center" vertical="center"/>
    </xf>
    <xf numFmtId="0" fontId="0" fillId="0" borderId="43" xfId="0" applyBorder="1" applyAlignment="1">
      <alignment horizontal="center" vertical="center"/>
    </xf>
    <xf numFmtId="0" fontId="61" fillId="8" borderId="39" xfId="0" applyFont="1" applyFill="1" applyBorder="1" applyAlignment="1">
      <alignment horizontal="center" vertical="center"/>
    </xf>
    <xf numFmtId="1" fontId="0" fillId="0" borderId="35" xfId="0" applyNumberFormat="1" applyBorder="1" applyAlignment="1">
      <alignment horizontal="center" vertical="center"/>
    </xf>
    <xf numFmtId="1" fontId="0" fillId="0" borderId="41" xfId="0" applyNumberFormat="1" applyBorder="1" applyAlignment="1">
      <alignment horizontal="center" vertical="center"/>
    </xf>
    <xf numFmtId="0" fontId="53" fillId="7" borderId="43" xfId="0" applyFont="1" applyFill="1" applyBorder="1" applyAlignment="1">
      <alignment horizontal="center" vertical="center" wrapText="1"/>
    </xf>
    <xf numFmtId="0" fontId="53" fillId="7" borderId="117" xfId="0" applyFont="1" applyFill="1" applyBorder="1" applyAlignment="1">
      <alignment horizontal="center" vertical="center" wrapText="1"/>
    </xf>
    <xf numFmtId="0" fontId="55" fillId="0" borderId="8" xfId="5" applyFont="1" applyBorder="1" applyAlignment="1">
      <alignment horizontal="center" shrinkToFit="1"/>
    </xf>
    <xf numFmtId="0" fontId="6" fillId="0" borderId="46" xfId="5" applyFont="1" applyBorder="1" applyAlignment="1">
      <alignment horizontal="center" wrapText="1"/>
    </xf>
    <xf numFmtId="0" fontId="1" fillId="0" borderId="123" xfId="0" applyFont="1" applyBorder="1" applyAlignment="1">
      <alignment horizontal="centerContinuous" vertical="center" shrinkToFit="1"/>
    </xf>
    <xf numFmtId="0" fontId="20" fillId="0" borderId="121" xfId="0" applyFont="1" applyBorder="1" applyAlignment="1">
      <alignment horizontal="centerContinuous" vertical="center"/>
    </xf>
    <xf numFmtId="0" fontId="20" fillId="0" borderId="125" xfId="0" applyFont="1" applyBorder="1" applyAlignment="1">
      <alignment horizontal="centerContinuous" vertical="center"/>
    </xf>
    <xf numFmtId="0" fontId="1" fillId="0" borderId="124" xfId="0" applyFont="1" applyBorder="1" applyAlignment="1">
      <alignment horizontal="center" vertical="center"/>
    </xf>
    <xf numFmtId="0" fontId="1" fillId="0" borderId="38" xfId="0" applyFont="1" applyBorder="1" applyAlignment="1">
      <alignment horizontal="center" vertical="center"/>
    </xf>
    <xf numFmtId="0" fontId="1" fillId="0" borderId="122" xfId="0" applyFont="1" applyBorder="1" applyAlignment="1">
      <alignment horizontal="centerContinuous" vertical="center"/>
    </xf>
    <xf numFmtId="164" fontId="4" fillId="0" borderId="104" xfId="0" applyNumberFormat="1" applyFont="1" applyBorder="1" applyAlignment="1">
      <alignment horizontal="centerContinuous" vertical="center"/>
    </xf>
    <xf numFmtId="0" fontId="58" fillId="0" borderId="0" xfId="0" applyFont="1" applyAlignment="1">
      <alignment vertical="center"/>
    </xf>
    <xf numFmtId="49" fontId="6" fillId="0" borderId="63" xfId="0" applyNumberFormat="1" applyFont="1" applyBorder="1" applyAlignment="1">
      <alignment horizontal="center" vertical="center"/>
    </xf>
    <xf numFmtId="49" fontId="16" fillId="0" borderId="28" xfId="0" applyNumberFormat="1" applyFont="1" applyBorder="1" applyAlignment="1">
      <alignment horizontal="center" shrinkToFit="1"/>
    </xf>
    <xf numFmtId="0" fontId="6" fillId="0" borderId="24" xfId="0" quotePrefix="1" applyFont="1" applyBorder="1" applyAlignment="1">
      <alignment horizontal="center"/>
    </xf>
    <xf numFmtId="0" fontId="62" fillId="0" borderId="2" xfId="0" quotePrefix="1" applyFont="1" applyBorder="1" applyAlignment="1">
      <alignment horizontal="center" vertical="center"/>
    </xf>
    <xf numFmtId="0" fontId="5" fillId="0" borderId="75" xfId="0" applyFont="1" applyBorder="1" applyAlignment="1">
      <alignment horizontal="centerContinuous" vertical="center" shrinkToFit="1"/>
    </xf>
    <xf numFmtId="0" fontId="63" fillId="0" borderId="85" xfId="0" applyFont="1" applyBorder="1" applyAlignment="1">
      <alignment horizontal="centerContinuous" vertical="top" shrinkToFit="1"/>
    </xf>
    <xf numFmtId="0" fontId="6" fillId="0" borderId="30" xfId="0" applyFont="1" applyBorder="1" applyAlignment="1">
      <alignment horizontal="centerContinuous" vertical="center" shrinkToFit="1"/>
    </xf>
    <xf numFmtId="0" fontId="42" fillId="11" borderId="31" xfId="0" applyFont="1" applyFill="1" applyBorder="1" applyAlignment="1">
      <alignment horizontal="center" vertical="center"/>
    </xf>
    <xf numFmtId="0" fontId="40" fillId="11" borderId="23" xfId="0" applyFont="1" applyFill="1" applyBorder="1" applyAlignment="1">
      <alignment horizontal="center" vertical="center"/>
    </xf>
    <xf numFmtId="0" fontId="40" fillId="11" borderId="58" xfId="0" applyFont="1" applyFill="1" applyBorder="1" applyAlignment="1">
      <alignment horizontal="center" vertical="center"/>
    </xf>
    <xf numFmtId="0" fontId="40" fillId="11" borderId="22" xfId="0" applyFont="1" applyFill="1" applyBorder="1" applyAlignment="1">
      <alignment horizontal="center" vertical="center"/>
    </xf>
    <xf numFmtId="0" fontId="40" fillId="11" borderId="46" xfId="0" applyFont="1" applyFill="1" applyBorder="1" applyAlignment="1">
      <alignment horizontal="center" vertical="center"/>
    </xf>
    <xf numFmtId="0" fontId="43" fillId="11" borderId="19" xfId="0" applyFont="1" applyFill="1" applyBorder="1" applyAlignment="1">
      <alignment horizontal="center" vertical="center"/>
    </xf>
    <xf numFmtId="1" fontId="44" fillId="11" borderId="67" xfId="0" applyNumberFormat="1" applyFont="1" applyFill="1" applyBorder="1" applyAlignment="1">
      <alignment horizontal="center" vertical="center"/>
    </xf>
    <xf numFmtId="1" fontId="44" fillId="11" borderId="101" xfId="0" applyNumberFormat="1" applyFont="1" applyFill="1" applyBorder="1" applyAlignment="1">
      <alignment horizontal="center" vertical="center"/>
    </xf>
    <xf numFmtId="1" fontId="44" fillId="11" borderId="120" xfId="0" applyNumberFormat="1" applyFont="1" applyFill="1" applyBorder="1" applyAlignment="1">
      <alignment horizontal="center" vertical="center"/>
    </xf>
    <xf numFmtId="1" fontId="44" fillId="11" borderId="47" xfId="0" applyNumberFormat="1" applyFont="1" applyFill="1" applyBorder="1" applyAlignment="1">
      <alignment horizontal="center" vertical="center"/>
    </xf>
    <xf numFmtId="1" fontId="44" fillId="11" borderId="23" xfId="0" applyNumberFormat="1" applyFont="1" applyFill="1" applyBorder="1" applyAlignment="1">
      <alignment horizontal="center" vertical="center"/>
    </xf>
    <xf numFmtId="1" fontId="44" fillId="11" borderId="71" xfId="0" applyNumberFormat="1" applyFont="1" applyFill="1" applyBorder="1" applyAlignment="1">
      <alignment horizontal="center" vertical="center"/>
    </xf>
    <xf numFmtId="165" fontId="4" fillId="0" borderId="0" xfId="0" applyNumberFormat="1" applyFont="1" applyAlignment="1">
      <alignment vertical="center"/>
    </xf>
    <xf numFmtId="0" fontId="1" fillId="0" borderId="126" xfId="0" applyFont="1" applyBorder="1" applyAlignment="1">
      <alignment horizontal="center" vertical="center"/>
    </xf>
    <xf numFmtId="0" fontId="1" fillId="0" borderId="126" xfId="0" quotePrefix="1" applyFont="1" applyBorder="1" applyAlignment="1">
      <alignment horizontal="center" vertical="center"/>
    </xf>
    <xf numFmtId="9" fontId="1" fillId="0" borderId="126" xfId="0" applyNumberFormat="1" applyFont="1" applyBorder="1" applyAlignment="1">
      <alignment horizontal="center" vertical="center"/>
    </xf>
    <xf numFmtId="49" fontId="1" fillId="0" borderId="126" xfId="0" quotePrefix="1" applyNumberFormat="1" applyFont="1" applyBorder="1" applyAlignment="1">
      <alignment horizontal="center" vertical="center"/>
    </xf>
    <xf numFmtId="0" fontId="1" fillId="0" borderId="0" xfId="0" applyFont="1" applyAlignment="1">
      <alignment horizontal="center" vertical="center" wrapText="1"/>
    </xf>
    <xf numFmtId="0" fontId="56" fillId="2" borderId="77" xfId="0" applyFont="1" applyFill="1" applyBorder="1" applyAlignment="1">
      <alignment horizontal="right" vertical="center"/>
    </xf>
    <xf numFmtId="0" fontId="64" fillId="2" borderId="4" xfId="0" applyFont="1" applyFill="1" applyBorder="1" applyAlignment="1">
      <alignment horizontal="right" vertical="center"/>
    </xf>
    <xf numFmtId="0" fontId="65" fillId="0" borderId="0" xfId="0" applyFont="1" applyAlignment="1">
      <alignment vertical="center"/>
    </xf>
    <xf numFmtId="0" fontId="1" fillId="0" borderId="0" xfId="0" applyFont="1" applyAlignment="1">
      <alignment horizontal="left" vertical="center" shrinkToFit="1"/>
    </xf>
    <xf numFmtId="1" fontId="6" fillId="0" borderId="61" xfId="0" applyNumberFormat="1" applyFont="1" applyBorder="1" applyAlignment="1">
      <alignment horizontal="centerContinuous" vertical="center"/>
    </xf>
    <xf numFmtId="1" fontId="1" fillId="0" borderId="62" xfId="0" applyNumberFormat="1" applyFont="1" applyBorder="1" applyAlignment="1">
      <alignment horizontal="centerContinuous" vertical="center"/>
    </xf>
    <xf numFmtId="0" fontId="6" fillId="0" borderId="3" xfId="0" quotePrefix="1" applyFont="1" applyBorder="1" applyAlignment="1">
      <alignment horizontal="center" vertical="center"/>
    </xf>
    <xf numFmtId="0" fontId="8" fillId="0" borderId="3" xfId="0" quotePrefix="1" applyFont="1" applyBorder="1" applyAlignment="1">
      <alignment horizontal="center" vertical="center"/>
    </xf>
    <xf numFmtId="0" fontId="6" fillId="0" borderId="21" xfId="0" quotePrefix="1" applyFont="1" applyBorder="1" applyAlignment="1">
      <alignment horizontal="center" vertical="center"/>
    </xf>
    <xf numFmtId="0" fontId="6" fillId="0" borderId="14" xfId="0" applyFont="1" applyBorder="1" applyAlignment="1">
      <alignment horizontal="center" vertical="center"/>
    </xf>
    <xf numFmtId="0" fontId="5" fillId="8" borderId="1" xfId="0" applyFont="1" applyFill="1" applyBorder="1" applyAlignment="1">
      <alignment horizontal="right" vertical="center"/>
    </xf>
    <xf numFmtId="0" fontId="6" fillId="8" borderId="0" xfId="0" applyFont="1" applyFill="1" applyAlignment="1">
      <alignment horizontal="centerContinuous" vertical="center"/>
    </xf>
    <xf numFmtId="0" fontId="5" fillId="8" borderId="0" xfId="0" applyFont="1" applyFill="1" applyAlignment="1">
      <alignment horizontal="right" vertical="center"/>
    </xf>
    <xf numFmtId="0" fontId="6" fillId="8" borderId="0" xfId="0" applyFont="1" applyFill="1" applyAlignment="1">
      <alignment horizontal="center" vertical="center"/>
    </xf>
    <xf numFmtId="0" fontId="5" fillId="4" borderId="127" xfId="0" applyFont="1" applyFill="1" applyBorder="1" applyAlignment="1">
      <alignment horizontal="right" vertical="center"/>
    </xf>
    <xf numFmtId="1" fontId="6" fillId="0" borderId="128" xfId="0" applyNumberFormat="1" applyFont="1" applyBorder="1" applyAlignment="1">
      <alignment horizontal="centerContinuous" vertical="center"/>
    </xf>
    <xf numFmtId="1" fontId="1" fillId="0" borderId="129" xfId="0" applyNumberFormat="1" applyFont="1" applyBorder="1" applyAlignment="1">
      <alignment horizontal="centerContinuous" vertical="center"/>
    </xf>
    <xf numFmtId="0" fontId="5" fillId="4" borderId="130" xfId="0" applyFont="1" applyFill="1" applyBorder="1" applyAlignment="1">
      <alignment horizontal="right" vertical="center"/>
    </xf>
    <xf numFmtId="49" fontId="6" fillId="0" borderId="131" xfId="0" applyNumberFormat="1" applyFont="1" applyBorder="1" applyAlignment="1">
      <alignment horizontal="center" vertical="center"/>
    </xf>
    <xf numFmtId="0" fontId="1" fillId="0" borderId="69" xfId="0" applyFont="1" applyBorder="1" applyAlignment="1">
      <alignment horizontal="center" vertical="center" shrinkToFit="1"/>
    </xf>
    <xf numFmtId="0" fontId="1" fillId="0" borderId="70" xfId="0" quotePrefix="1" applyFont="1" applyBorder="1" applyAlignment="1">
      <alignment horizontal="center" vertical="center"/>
    </xf>
    <xf numFmtId="9" fontId="1" fillId="0" borderId="70" xfId="0" applyNumberFormat="1" applyFont="1" applyBorder="1" applyAlignment="1">
      <alignment horizontal="center" vertical="center"/>
    </xf>
    <xf numFmtId="164" fontId="1" fillId="0" borderId="70" xfId="0" applyNumberFormat="1" applyFont="1" applyBorder="1" applyAlignment="1">
      <alignment horizontal="center" vertical="center"/>
    </xf>
    <xf numFmtId="164" fontId="1" fillId="0" borderId="71" xfId="0" applyNumberFormat="1" applyFont="1" applyBorder="1" applyAlignment="1">
      <alignment horizontal="centerContinuous" vertical="center"/>
    </xf>
    <xf numFmtId="164" fontId="1" fillId="0" borderId="72" xfId="0" applyNumberFormat="1" applyFont="1" applyBorder="1" applyAlignment="1">
      <alignment horizontal="centerContinuous" vertical="center"/>
    </xf>
    <xf numFmtId="164" fontId="4" fillId="0" borderId="72" xfId="0" applyNumberFormat="1" applyFont="1" applyBorder="1" applyAlignment="1">
      <alignment horizontal="centerContinuous" vertical="center"/>
    </xf>
    <xf numFmtId="0" fontId="4" fillId="0" borderId="73" xfId="0" applyFont="1" applyBorder="1" applyAlignment="1">
      <alignment horizontal="centerContinuous" vertical="center"/>
    </xf>
    <xf numFmtId="0" fontId="1" fillId="8" borderId="113" xfId="0" applyFont="1" applyFill="1" applyBorder="1" applyAlignment="1">
      <alignment horizontal="center" vertical="center" wrapText="1"/>
    </xf>
    <xf numFmtId="0" fontId="1" fillId="8" borderId="114" xfId="0"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37" xfId="0" applyFont="1" applyFill="1" applyBorder="1" applyAlignment="1">
      <alignment horizontal="center" vertical="center" wrapText="1"/>
    </xf>
    <xf numFmtId="49" fontId="1" fillId="8" borderId="94" xfId="0" applyNumberFormat="1" applyFont="1" applyFill="1" applyBorder="1" applyAlignment="1">
      <alignment horizontal="center" vertical="center" wrapText="1"/>
    </xf>
    <xf numFmtId="49" fontId="1" fillId="8" borderId="44" xfId="0" applyNumberFormat="1" applyFont="1" applyFill="1" applyBorder="1" applyAlignment="1">
      <alignment horizontal="center" vertical="center" wrapText="1"/>
    </xf>
    <xf numFmtId="0" fontId="66" fillId="0" borderId="95" xfId="0" applyFont="1" applyBorder="1" applyAlignment="1">
      <alignment horizontal="center" vertical="center"/>
    </xf>
    <xf numFmtId="1" fontId="66" fillId="0" borderId="96" xfId="0" applyNumberFormat="1" applyFont="1" applyBorder="1" applyAlignment="1">
      <alignment horizontal="center" vertical="center"/>
    </xf>
    <xf numFmtId="1" fontId="66" fillId="0" borderId="35" xfId="0" applyNumberFormat="1" applyFont="1" applyBorder="1" applyAlignment="1">
      <alignment horizontal="center" vertical="center"/>
    </xf>
    <xf numFmtId="0" fontId="6" fillId="8" borderId="30" xfId="0" quotePrefix="1" applyFont="1" applyFill="1" applyBorder="1" applyAlignment="1">
      <alignment horizontal="center" vertical="center" shrinkToFit="1"/>
    </xf>
    <xf numFmtId="0" fontId="6" fillId="8" borderId="48" xfId="0" quotePrefix="1" applyFont="1" applyFill="1" applyBorder="1" applyAlignment="1">
      <alignment horizontal="centerContinuous" vertical="center" shrinkToFit="1"/>
    </xf>
    <xf numFmtId="0" fontId="1" fillId="0" borderId="132" xfId="0" applyFont="1" applyBorder="1" applyAlignment="1">
      <alignment horizontal="centerContinuous" vertical="center"/>
    </xf>
    <xf numFmtId="0" fontId="4" fillId="0" borderId="133" xfId="0" applyFont="1" applyBorder="1" applyAlignment="1">
      <alignment horizontal="centerContinuous" vertical="center"/>
    </xf>
    <xf numFmtId="0" fontId="1" fillId="8" borderId="66" xfId="0" applyFont="1" applyFill="1" applyBorder="1" applyAlignment="1">
      <alignment horizontal="center" vertical="center"/>
    </xf>
    <xf numFmtId="0" fontId="1" fillId="8" borderId="65" xfId="0" applyFont="1" applyFill="1" applyBorder="1" applyAlignment="1">
      <alignment horizontal="center" vertical="center"/>
    </xf>
    <xf numFmtId="0" fontId="1" fillId="8" borderId="65" xfId="0" quotePrefix="1" applyFont="1" applyFill="1" applyBorder="1" applyAlignment="1">
      <alignment horizontal="center" vertical="center" wrapText="1"/>
    </xf>
    <xf numFmtId="49" fontId="1" fillId="8" borderId="65" xfId="2" applyNumberFormat="1" applyFont="1" applyFill="1" applyBorder="1" applyAlignment="1">
      <alignment horizontal="center" vertical="center"/>
    </xf>
    <xf numFmtId="0" fontId="1" fillId="8" borderId="65" xfId="0" applyFont="1" applyFill="1" applyBorder="1" applyAlignment="1">
      <alignment horizontal="center" vertical="center" shrinkToFit="1"/>
    </xf>
    <xf numFmtId="164" fontId="4" fillId="8" borderId="67" xfId="0" applyNumberFormat="1" applyFont="1" applyFill="1" applyBorder="1" applyAlignment="1">
      <alignment horizontal="center" vertical="center"/>
    </xf>
    <xf numFmtId="1" fontId="1" fillId="8" borderId="65" xfId="0" applyNumberFormat="1" applyFont="1" applyFill="1" applyBorder="1" applyAlignment="1">
      <alignment horizontal="center" vertical="center"/>
    </xf>
    <xf numFmtId="0" fontId="1" fillId="8" borderId="68" xfId="0" applyFont="1" applyFill="1" applyBorder="1" applyAlignment="1">
      <alignment horizontal="center" vertical="center"/>
    </xf>
    <xf numFmtId="1" fontId="1" fillId="8" borderId="30" xfId="0" applyNumberFormat="1" applyFont="1" applyFill="1" applyBorder="1" applyAlignment="1">
      <alignment horizontal="center" vertical="center"/>
    </xf>
    <xf numFmtId="0" fontId="1" fillId="8" borderId="13" xfId="0" applyFont="1" applyFill="1" applyBorder="1" applyAlignment="1">
      <alignment horizontal="center" vertical="center"/>
    </xf>
    <xf numFmtId="0" fontId="1" fillId="8" borderId="22" xfId="0" applyFont="1" applyFill="1" applyBorder="1" applyAlignment="1">
      <alignment horizontal="center" vertical="center"/>
    </xf>
    <xf numFmtId="49" fontId="1" fillId="8" borderId="22" xfId="2" applyNumberFormat="1" applyFont="1" applyFill="1" applyBorder="1" applyAlignment="1">
      <alignment horizontal="center" vertical="center"/>
    </xf>
    <xf numFmtId="0" fontId="1" fillId="8" borderId="22" xfId="2" applyNumberFormat="1" applyFont="1" applyFill="1" applyBorder="1" applyAlignment="1">
      <alignment horizontal="center" vertical="center"/>
    </xf>
    <xf numFmtId="0" fontId="1" fillId="8" borderId="22" xfId="0" applyFont="1" applyFill="1" applyBorder="1" applyAlignment="1">
      <alignment horizontal="center" vertical="center" shrinkToFit="1"/>
    </xf>
    <xf numFmtId="164" fontId="1" fillId="8" borderId="22" xfId="0" applyNumberFormat="1" applyFont="1" applyFill="1" applyBorder="1" applyAlignment="1">
      <alignment horizontal="center" vertical="center"/>
    </xf>
    <xf numFmtId="164" fontId="1" fillId="8" borderId="23" xfId="0" applyNumberFormat="1" applyFont="1" applyFill="1" applyBorder="1" applyAlignment="1">
      <alignment horizontal="center" vertical="center"/>
    </xf>
    <xf numFmtId="0" fontId="1" fillId="8" borderId="23" xfId="0" applyFont="1" applyFill="1" applyBorder="1" applyAlignment="1">
      <alignment horizontal="center" vertical="center"/>
    </xf>
    <xf numFmtId="0" fontId="1" fillId="8" borderId="24" xfId="0" applyFont="1" applyFill="1" applyBorder="1" applyAlignment="1">
      <alignment horizontal="center" vertical="center"/>
    </xf>
    <xf numFmtId="1" fontId="1" fillId="8" borderId="54" xfId="0" applyNumberFormat="1" applyFont="1" applyFill="1" applyBorder="1" applyAlignment="1">
      <alignment horizontal="center" vertical="center"/>
    </xf>
    <xf numFmtId="164" fontId="1" fillId="0" borderId="89" xfId="0" applyNumberFormat="1" applyFont="1" applyBorder="1" applyAlignment="1">
      <alignment horizontal="center" vertical="center" shrinkToFit="1"/>
    </xf>
    <xf numFmtId="0" fontId="48" fillId="0" borderId="27" xfId="0" applyFont="1" applyBorder="1" applyAlignment="1">
      <alignment horizontal="centerContinuous" vertical="center"/>
    </xf>
    <xf numFmtId="0" fontId="6" fillId="0" borderId="54" xfId="0" quotePrefix="1" applyFont="1" applyBorder="1" applyAlignment="1">
      <alignment horizontal="centerContinuous"/>
    </xf>
    <xf numFmtId="0" fontId="6" fillId="0" borderId="54" xfId="0" applyFont="1" applyBorder="1" applyAlignment="1">
      <alignment horizontal="centerContinuous"/>
    </xf>
    <xf numFmtId="0" fontId="6" fillId="0" borderId="48" xfId="0" quotePrefix="1" applyFont="1" applyBorder="1" applyAlignment="1">
      <alignment horizontal="centerContinuous"/>
    </xf>
    <xf numFmtId="0" fontId="1" fillId="8" borderId="15" xfId="0" applyFont="1" applyFill="1" applyBorder="1" applyAlignment="1">
      <alignment horizontal="center" vertical="center"/>
    </xf>
    <xf numFmtId="0" fontId="1" fillId="8" borderId="46" xfId="0" applyFont="1" applyFill="1" applyBorder="1" applyAlignment="1">
      <alignment horizontal="center" vertical="center"/>
    </xf>
    <xf numFmtId="49" fontId="1" fillId="8" borderId="46" xfId="2" applyNumberFormat="1" applyFont="1" applyFill="1" applyBorder="1" applyAlignment="1">
      <alignment horizontal="center" vertical="center"/>
    </xf>
    <xf numFmtId="0" fontId="1" fillId="8" borderId="46" xfId="2" applyNumberFormat="1" applyFont="1" applyFill="1" applyBorder="1" applyAlignment="1">
      <alignment horizontal="center" vertical="center"/>
    </xf>
    <xf numFmtId="0" fontId="1" fillId="8" borderId="46" xfId="0" applyFont="1" applyFill="1" applyBorder="1" applyAlignment="1">
      <alignment horizontal="center" vertical="center" shrinkToFit="1"/>
    </xf>
    <xf numFmtId="164" fontId="1" fillId="8" borderId="46" xfId="0" applyNumberFormat="1" applyFont="1" applyFill="1" applyBorder="1" applyAlignment="1">
      <alignment horizontal="center" vertical="center"/>
    </xf>
    <xf numFmtId="164" fontId="1" fillId="8" borderId="47" xfId="0" applyNumberFormat="1" applyFont="1" applyFill="1" applyBorder="1" applyAlignment="1">
      <alignment horizontal="center" vertical="center"/>
    </xf>
    <xf numFmtId="0" fontId="1" fillId="8" borderId="47" xfId="0" applyFont="1" applyFill="1" applyBorder="1" applyAlignment="1">
      <alignment horizontal="center" vertical="center"/>
    </xf>
    <xf numFmtId="0" fontId="1" fillId="8" borderId="29" xfId="0" applyFont="1" applyFill="1" applyBorder="1" applyAlignment="1">
      <alignment horizontal="center" vertical="center"/>
    </xf>
    <xf numFmtId="1" fontId="1" fillId="8" borderId="53" xfId="0" applyNumberFormat="1" applyFont="1" applyFill="1" applyBorder="1" applyAlignment="1">
      <alignment horizontal="center" vertical="center"/>
    </xf>
    <xf numFmtId="0" fontId="6" fillId="6" borderId="24" xfId="0" applyFont="1" applyFill="1" applyBorder="1" applyAlignment="1">
      <alignment horizontal="center"/>
    </xf>
    <xf numFmtId="9" fontId="6" fillId="0" borderId="46" xfId="2" applyFont="1" applyFill="1" applyBorder="1" applyAlignment="1">
      <alignment horizontal="center" vertical="center" shrinkToFit="1"/>
    </xf>
    <xf numFmtId="9" fontId="6" fillId="0" borderId="47" xfId="2" applyFont="1" applyFill="1" applyBorder="1" applyAlignment="1">
      <alignment horizontal="center" vertical="center" shrinkToFit="1"/>
    </xf>
    <xf numFmtId="0" fontId="6" fillId="0" borderId="47" xfId="2" applyNumberFormat="1" applyFont="1" applyFill="1" applyBorder="1" applyAlignment="1">
      <alignment horizontal="center" vertical="center" shrinkToFit="1"/>
    </xf>
    <xf numFmtId="0" fontId="6" fillId="0" borderId="29" xfId="0" applyFont="1" applyBorder="1" applyAlignment="1">
      <alignment horizontal="center" vertical="center" wrapText="1"/>
    </xf>
  </cellXfs>
  <cellStyles count="10">
    <cellStyle name="Comma 2" xfId="9" xr:uid="{73F0D331-245D-4959-9A42-5F532CE0D8F9}"/>
    <cellStyle name="Excel Built-in Normal" xfId="6" xr:uid="{00000000-0005-0000-0000-000001000000}"/>
    <cellStyle name="Hyperlink" xfId="1" builtinId="8"/>
    <cellStyle name="Normal" xfId="0" builtinId="0"/>
    <cellStyle name="Normal 2" xfId="4" xr:uid="{00000000-0005-0000-0000-000004000000}"/>
    <cellStyle name="Normal 2 2" xfId="5" xr:uid="{00000000-0005-0000-0000-000005000000}"/>
    <cellStyle name="Normal 4" xfId="8" xr:uid="{00000000-0005-0000-0000-000006000000}"/>
    <cellStyle name="Percent" xfId="2" builtinId="5"/>
    <cellStyle name="Percent 2" xfId="3" xr:uid="{00000000-0005-0000-0000-000008000000}"/>
    <cellStyle name="Percent 2 2" xfId="7" xr:uid="{00000000-0005-0000-0000-000009000000}"/>
  </cellStyles>
  <dxfs count="5">
    <dxf>
      <font>
        <color rgb="FFFF0000"/>
      </font>
    </dxf>
    <dxf>
      <font>
        <b val="0"/>
        <i/>
        <color auto="1"/>
      </font>
      <fill>
        <patternFill>
          <bgColor theme="0" tint="-0.24994659260841701"/>
        </patternFill>
      </fill>
    </dxf>
    <dxf>
      <font>
        <b/>
        <i val="0"/>
      </font>
      <fill>
        <patternFill>
          <bgColor rgb="FF00FF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FFCC"/>
      <color rgb="FF9966FF"/>
      <color rgb="FF0000FF"/>
      <color rgb="FF00FF00"/>
      <color rgb="FF00FFFF"/>
      <color rgb="FF9933FF"/>
      <color rgb="FFFF6600"/>
      <color rgb="FF66FF33"/>
      <color rgb="FF99FF99"/>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57995</xdr:colOff>
      <xdr:row>1</xdr:row>
      <xdr:rowOff>53340</xdr:rowOff>
    </xdr:from>
    <xdr:to>
      <xdr:col>6</xdr:col>
      <xdr:colOff>998221</xdr:colOff>
      <xdr:row>15</xdr:row>
      <xdr:rowOff>282507</xdr:rowOff>
    </xdr:to>
    <xdr:pic>
      <xdr:nvPicPr>
        <xdr:cNvPr id="2" name="Picture 1">
          <a:extLst>
            <a:ext uri="{FF2B5EF4-FFF2-40B4-BE49-F238E27FC236}">
              <a16:creationId xmlns:a16="http://schemas.microsoft.com/office/drawing/2014/main" id="{C9A788A0-05B7-6FF9-5457-71E36B00311A}"/>
            </a:ext>
          </a:extLst>
        </xdr:cNvPr>
        <xdr:cNvPicPr>
          <a:picLocks noChangeAspect="1"/>
        </xdr:cNvPicPr>
      </xdr:nvPicPr>
      <xdr:blipFill>
        <a:blip xmlns:r="http://schemas.openxmlformats.org/officeDocument/2006/relationships" r:embed="rId1"/>
        <a:stretch>
          <a:fillRect/>
        </a:stretch>
      </xdr:blipFill>
      <xdr:spPr>
        <a:xfrm>
          <a:off x="4424255" y="426720"/>
          <a:ext cx="1831766" cy="3254307"/>
        </a:xfrm>
        <a:prstGeom prst="rect">
          <a:avLst/>
        </a:prstGeom>
      </xdr:spPr>
    </xdr:pic>
    <xdr:clientData/>
  </xdr:twoCellAnchor>
  <xdr:twoCellAnchor>
    <xdr:from>
      <xdr:col>0</xdr:col>
      <xdr:colOff>26670</xdr:colOff>
      <xdr:row>18</xdr:row>
      <xdr:rowOff>87630</xdr:rowOff>
    </xdr:from>
    <xdr:to>
      <xdr:col>6</xdr:col>
      <xdr:colOff>1051560</xdr:colOff>
      <xdr:row>43</xdr:row>
      <xdr:rowOff>11430</xdr:rowOff>
    </xdr:to>
    <xdr:sp macro="" textlink="">
      <xdr:nvSpPr>
        <xdr:cNvPr id="4" name="Text 6">
          <a:extLst>
            <a:ext uri="{FF2B5EF4-FFF2-40B4-BE49-F238E27FC236}">
              <a16:creationId xmlns:a16="http://schemas.microsoft.com/office/drawing/2014/main" id="{00000000-0008-0000-0000-000004000000}"/>
            </a:ext>
          </a:extLst>
        </xdr:cNvPr>
        <xdr:cNvSpPr txBox="1">
          <a:spLocks noChangeArrowheads="1"/>
        </xdr:cNvSpPr>
      </xdr:nvSpPr>
      <xdr:spPr bwMode="auto">
        <a:xfrm>
          <a:off x="26670" y="4225290"/>
          <a:ext cx="6282690" cy="4815840"/>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anose="02020603050405020304" pitchFamily="18" charset="0"/>
              <a:ea typeface="+mn-ea"/>
              <a:cs typeface="Times New Roman" panose="02020603050405020304" pitchFamily="18" charset="0"/>
            </a:rPr>
            <a:t>Appearance:  </a:t>
          </a:r>
          <a:r>
            <a:rPr lang="en-US" sz="1200">
              <a:effectLst/>
              <a:latin typeface="Times New Roman" panose="02020603050405020304" pitchFamily="18" charset="0"/>
              <a:ea typeface="+mn-ea"/>
              <a:cs typeface="Times New Roman" panose="02020603050405020304" pitchFamily="18" charset="0"/>
            </a:rPr>
            <a:t>Sarasande is tall and willowy with a graceful but athletic figure. Her hair is ashen white some of which is woven into dreadlocks, which are adorned with beads and feathers.  She has blue eyes and permanent tribal-like markings/tattoos on her face.</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b="1">
              <a:effectLst/>
              <a:latin typeface="Times New Roman" panose="02020603050405020304" pitchFamily="18" charset="0"/>
              <a:ea typeface="+mn-ea"/>
              <a:cs typeface="Times New Roman" panose="02020603050405020304" pitchFamily="18" charset="0"/>
            </a:rPr>
            <a:t>History:  </a:t>
          </a:r>
          <a:r>
            <a:rPr lang="en-US" sz="1200">
              <a:effectLst/>
              <a:latin typeface="Times New Roman" panose="02020603050405020304" pitchFamily="18" charset="0"/>
              <a:ea typeface="+mn-ea"/>
              <a:cs typeface="Times New Roman" panose="02020603050405020304" pitchFamily="18" charset="0"/>
            </a:rPr>
            <a:t>Serasande is a Llewyrr elf from the kingdom of Synnoria on the island of Gwynneth. She was the sixth of eight daughters born to Fenris and Wren of House Featherstone. Her childhood was filled with learning the art of magic and sword and the bow as well as elven Art. At a young age, Serasande joined a group called Sisters of Synnoria and was proud to be part of this sisterhood.  She was a warrior, learned in the way of the sword and the bow.</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While Serasande was with the Sisterhood, she continued to grow as a warrior but also learned the skill of blacksmithing as a way to make shoes for her favorite horse and craft new blades for her sister warriors. After she had reached her three year anniversary with the sisters, Serasande received her Sisterhood Tattoo which she wore proudly.</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However, after several more years and many conflicts and disagreements with the Sisterhood, Serasande started to become disillusioned with the sisters, questioning what they really stood for.  Finally after many years, she broke from the group and traveled to Alaron where she made her home in the Rushdown Woods, traveling often to Llewellyn for work and adventure. But just because she was no longer a member of the Sisterhood, didn’t mean she stopped advancing her skills or stopped being a warrior.</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b="1">
              <a:effectLst/>
              <a:latin typeface="Times New Roman" panose="02020603050405020304" pitchFamily="18" charset="0"/>
              <a:ea typeface="+mn-ea"/>
              <a:cs typeface="Times New Roman" panose="02020603050405020304" pitchFamily="18" charset="0"/>
            </a:rPr>
            <a:t>Personality:  </a:t>
          </a:r>
          <a:r>
            <a:rPr lang="en-US" sz="1200">
              <a:effectLst/>
              <a:latin typeface="Times New Roman" panose="02020603050405020304" pitchFamily="18" charset="0"/>
              <a:ea typeface="+mn-ea"/>
              <a:cs typeface="Times New Roman" panose="02020603050405020304" pitchFamily="18" charset="0"/>
            </a:rPr>
            <a:t>Serasande is the kind of person you want as a friend and if you do become her friend, she is loyal to the end. She would do almost anything to help those who are in need and cannot help themselves. She also has a thirst for adventure and for a battle that is worth dying in. But when the fighting is done, she is happy to kick back with her friends, have a few drinks and tell stories.</a:t>
          </a:r>
        </a:p>
      </xdr:txBody>
    </xdr:sp>
    <xdr:clientData/>
  </xdr:twoCellAnchor>
  <xdr:twoCellAnchor>
    <xdr:from>
      <xdr:col>0</xdr:col>
      <xdr:colOff>19594</xdr:colOff>
      <xdr:row>16</xdr:row>
      <xdr:rowOff>30480</xdr:rowOff>
    </xdr:from>
    <xdr:to>
      <xdr:col>6</xdr:col>
      <xdr:colOff>1021079</xdr:colOff>
      <xdr:row>18</xdr:row>
      <xdr:rowOff>51434</xdr:rowOff>
    </xdr:to>
    <xdr:sp macro="" textlink="">
      <xdr:nvSpPr>
        <xdr:cNvPr id="5" name="Text Box 60">
          <a:extLst>
            <a:ext uri="{FF2B5EF4-FFF2-40B4-BE49-F238E27FC236}">
              <a16:creationId xmlns:a16="http://schemas.microsoft.com/office/drawing/2014/main" id="{00000000-0008-0000-0000-000005000000}"/>
            </a:ext>
          </a:extLst>
        </xdr:cNvPr>
        <xdr:cNvSpPr txBox="1">
          <a:spLocks noChangeArrowheads="1"/>
        </xdr:cNvSpPr>
      </xdr:nvSpPr>
      <xdr:spPr bwMode="auto">
        <a:xfrm>
          <a:off x="19594" y="3733800"/>
          <a:ext cx="6259285" cy="455294"/>
        </a:xfrm>
        <a:prstGeom prst="rect">
          <a:avLst/>
        </a:prstGeom>
        <a:solidFill>
          <a:srgbClr xmlns:mc="http://schemas.openxmlformats.org/markup-compatibility/2006" xmlns:a14="http://schemas.microsoft.com/office/drawing/2010/main" val="CCFFFF" mc:Ignorable="a14" a14:legacySpreadsheetColorIndex="41">
            <a:alpha val="52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ctr" upright="1"/>
        <a:lstStyle/>
        <a:p>
          <a:pPr algn="ctr" rtl="0">
            <a:defRPr sz="1000"/>
          </a:pPr>
          <a:endParaRPr lang="en-US" sz="1200" b="0" i="1"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a:extLst>
            <a:ext uri="{FF2B5EF4-FFF2-40B4-BE49-F238E27FC236}">
              <a16:creationId xmlns:a16="http://schemas.microsoft.com/office/drawing/2014/main" id="{00000000-0008-0000-0100-000054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7162800" y="0"/>
          <a:ext cx="7620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sp macro="" textlink="">
      <xdr:nvSpPr>
        <xdr:cNvPr id="19460" name="Rectangle 1">
          <a:extLst>
            <a:ext uri="{FF2B5EF4-FFF2-40B4-BE49-F238E27FC236}">
              <a16:creationId xmlns:a16="http://schemas.microsoft.com/office/drawing/2014/main" id="{00000000-0008-0000-0300-0000044C0000}"/>
            </a:ext>
          </a:extLst>
        </xdr:cNvPr>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828675</xdr:colOff>
      <xdr:row>1</xdr:row>
      <xdr:rowOff>123825</xdr:rowOff>
    </xdr:from>
    <xdr:to>
      <xdr:col>2</xdr:col>
      <xdr:colOff>413385</xdr:colOff>
      <xdr:row>2</xdr:row>
      <xdr:rowOff>66675</xdr:rowOff>
    </xdr:to>
    <xdr:sp macro="" textlink="">
      <xdr:nvSpPr>
        <xdr:cNvPr id="3078" name="Text Box 6" hidden="1">
          <a:extLst>
            <a:ext uri="{FF2B5EF4-FFF2-40B4-BE49-F238E27FC236}">
              <a16:creationId xmlns:a16="http://schemas.microsoft.com/office/drawing/2014/main" id="{00000000-0008-0000-04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eekygoo@gmail.com?subject=Heroes%20of%20the%20Sword%20Coas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2"/>
  <sheetViews>
    <sheetView showGridLines="0" tabSelected="1" zoomScaleNormal="100" workbookViewId="0"/>
  </sheetViews>
  <sheetFormatPr defaultColWidth="13" defaultRowHeight="15.6" x14ac:dyDescent="0.3"/>
  <cols>
    <col min="1" max="1" width="17.796875" style="45" customWidth="1"/>
    <col min="2" max="2" width="9.3984375" style="46" customWidth="1"/>
    <col min="3" max="3" width="4.3984375" style="46" customWidth="1"/>
    <col min="4" max="4" width="13.69921875" style="45" bestFit="1" customWidth="1"/>
    <col min="5" max="5" width="12" style="46" bestFit="1" customWidth="1"/>
    <col min="6" max="6" width="11.69921875" style="45" customWidth="1"/>
    <col min="7" max="7" width="14.296875" style="46" customWidth="1"/>
    <col min="8" max="16384" width="13" style="11"/>
  </cols>
  <sheetData>
    <row r="1" spans="1:7" ht="29.4" thickTop="1" thickBot="1" x14ac:dyDescent="0.35">
      <c r="A1" s="406" t="s">
        <v>244</v>
      </c>
      <c r="B1" s="288" t="s">
        <v>245</v>
      </c>
      <c r="C1" s="153"/>
      <c r="D1" s="154"/>
      <c r="E1" s="241"/>
      <c r="F1" s="154"/>
      <c r="G1" s="289" t="s">
        <v>202</v>
      </c>
    </row>
    <row r="2" spans="1:7" ht="17.399999999999999" thickTop="1" x14ac:dyDescent="0.3">
      <c r="A2" s="12" t="s">
        <v>162</v>
      </c>
      <c r="B2" s="194" t="s">
        <v>205</v>
      </c>
      <c r="C2" s="194"/>
      <c r="D2" s="15" t="s">
        <v>174</v>
      </c>
      <c r="E2" s="14" t="s">
        <v>86</v>
      </c>
      <c r="F2" s="16"/>
      <c r="G2" s="17"/>
    </row>
    <row r="3" spans="1:7" ht="16.8" x14ac:dyDescent="0.3">
      <c r="A3" s="12" t="s">
        <v>163</v>
      </c>
      <c r="B3" s="194" t="s">
        <v>85</v>
      </c>
      <c r="C3" s="194"/>
      <c r="D3" s="15" t="s">
        <v>83</v>
      </c>
      <c r="E3" s="14">
        <v>4</v>
      </c>
      <c r="F3" s="15"/>
      <c r="G3" s="17"/>
    </row>
    <row r="4" spans="1:7" ht="16.8" x14ac:dyDescent="0.3">
      <c r="A4" s="416" t="s">
        <v>163</v>
      </c>
      <c r="B4" s="417"/>
      <c r="C4" s="417"/>
      <c r="D4" s="418" t="s">
        <v>83</v>
      </c>
      <c r="E4" s="419">
        <v>0</v>
      </c>
      <c r="F4" s="15"/>
      <c r="G4" s="17"/>
    </row>
    <row r="5" spans="1:7" ht="16.8" x14ac:dyDescent="0.3">
      <c r="A5" s="12" t="s">
        <v>164</v>
      </c>
      <c r="B5" s="194"/>
      <c r="C5" s="194"/>
      <c r="D5" s="15" t="s">
        <v>175</v>
      </c>
      <c r="E5" s="14">
        <v>75</v>
      </c>
      <c r="F5" s="15"/>
      <c r="G5" s="17"/>
    </row>
    <row r="6" spans="1:7" ht="16.8" x14ac:dyDescent="0.3">
      <c r="A6" s="12" t="s">
        <v>199</v>
      </c>
      <c r="B6" s="194" t="s">
        <v>206</v>
      </c>
      <c r="C6" s="194"/>
      <c r="D6" s="15" t="s">
        <v>176</v>
      </c>
      <c r="E6" s="14" t="s">
        <v>203</v>
      </c>
      <c r="F6" s="15"/>
      <c r="G6" s="17"/>
    </row>
    <row r="7" spans="1:7" ht="17.399999999999999" thickBot="1" x14ac:dyDescent="0.35">
      <c r="A7" s="12" t="s">
        <v>165</v>
      </c>
      <c r="B7" s="194" t="s">
        <v>204</v>
      </c>
      <c r="C7" s="194"/>
      <c r="D7" s="15" t="s">
        <v>177</v>
      </c>
      <c r="E7" s="14" t="s">
        <v>250</v>
      </c>
      <c r="F7" s="15"/>
      <c r="G7" s="17"/>
    </row>
    <row r="8" spans="1:7" ht="17.399999999999999" thickTop="1" x14ac:dyDescent="0.3">
      <c r="A8" s="18" t="s">
        <v>166</v>
      </c>
      <c r="B8" s="410">
        <f>E3</f>
        <v>4</v>
      </c>
      <c r="C8" s="411"/>
      <c r="D8" s="19" t="s">
        <v>178</v>
      </c>
      <c r="E8" s="381" t="s">
        <v>80</v>
      </c>
      <c r="F8" s="20"/>
      <c r="G8" s="17"/>
    </row>
    <row r="9" spans="1:7" ht="17.399999999999999" thickBot="1" x14ac:dyDescent="0.35">
      <c r="A9" s="420" t="s">
        <v>167</v>
      </c>
      <c r="B9" s="421" t="str">
        <f>C11</f>
        <v>+3</v>
      </c>
      <c r="C9" s="422"/>
      <c r="D9" s="423" t="s">
        <v>179</v>
      </c>
      <c r="E9" s="424" t="s">
        <v>80</v>
      </c>
      <c r="F9" s="20"/>
      <c r="G9" s="17"/>
    </row>
    <row r="10" spans="1:7" ht="16.8" x14ac:dyDescent="0.3">
      <c r="A10" s="21" t="s">
        <v>168</v>
      </c>
      <c r="B10" s="415">
        <f>14</f>
        <v>14</v>
      </c>
      <c r="C10" s="319" t="str">
        <f t="shared" ref="C10:C15" si="0">IF(B10&gt;9.9,CONCATENATE("+",ROUNDDOWN((B10-10)/2,0)),ROUNDUP((B10-10)/2,0))</f>
        <v>+2</v>
      </c>
      <c r="D10" s="22" t="s">
        <v>180</v>
      </c>
      <c r="E10" s="382" t="s">
        <v>249</v>
      </c>
      <c r="F10" s="20"/>
      <c r="G10" s="17"/>
    </row>
    <row r="11" spans="1:7" ht="16.8" x14ac:dyDescent="0.3">
      <c r="A11" s="23" t="s">
        <v>169</v>
      </c>
      <c r="B11" s="412">
        <f>16</f>
        <v>16</v>
      </c>
      <c r="C11" s="320" t="str">
        <f t="shared" si="0"/>
        <v>+3</v>
      </c>
      <c r="D11" s="24" t="s">
        <v>181</v>
      </c>
      <c r="E11" s="25">
        <f>SUM(Martial!H3:H31,Martial!H3:H23,Martial!G26:G28,Martial!H31)</f>
        <v>40</v>
      </c>
      <c r="F11" s="20"/>
      <c r="G11" s="17"/>
    </row>
    <row r="12" spans="1:7" ht="16.8" x14ac:dyDescent="0.3">
      <c r="A12" s="407" t="s">
        <v>170</v>
      </c>
      <c r="B12" s="412">
        <f>12</f>
        <v>12</v>
      </c>
      <c r="C12" s="321" t="str">
        <f t="shared" si="0"/>
        <v>+1</v>
      </c>
      <c r="D12" s="24" t="s">
        <v>182</v>
      </c>
      <c r="E12" s="26">
        <f>ROUNDUP((('Personal File'!E3*8)*0.75)+('Personal File'!E3*C12),0)</f>
        <v>28</v>
      </c>
      <c r="F12" s="20"/>
      <c r="G12" s="17"/>
    </row>
    <row r="13" spans="1:7" ht="16.8" x14ac:dyDescent="0.3">
      <c r="A13" s="27" t="s">
        <v>171</v>
      </c>
      <c r="B13" s="413">
        <f>14</f>
        <v>14</v>
      </c>
      <c r="C13" s="320" t="str">
        <f t="shared" si="0"/>
        <v>+2</v>
      </c>
      <c r="D13" s="28" t="s">
        <v>183</v>
      </c>
      <c r="E13" s="318">
        <f>10+C11</f>
        <v>13</v>
      </c>
      <c r="F13" s="12"/>
      <c r="G13" s="17"/>
    </row>
    <row r="14" spans="1:7" ht="16.8" x14ac:dyDescent="0.3">
      <c r="A14" s="29" t="s">
        <v>172</v>
      </c>
      <c r="B14" s="413">
        <f>10</f>
        <v>10</v>
      </c>
      <c r="C14" s="320" t="str">
        <f t="shared" si="0"/>
        <v>+0</v>
      </c>
      <c r="D14" s="28" t="s">
        <v>184</v>
      </c>
      <c r="E14" s="318">
        <f>E15-C11</f>
        <v>18</v>
      </c>
      <c r="F14" s="20"/>
      <c r="G14" s="17"/>
    </row>
    <row r="15" spans="1:7" ht="17.399999999999999" thickBot="1" x14ac:dyDescent="0.35">
      <c r="A15" s="30" t="s">
        <v>173</v>
      </c>
      <c r="B15" s="414">
        <f>10</f>
        <v>10</v>
      </c>
      <c r="C15" s="322" t="str">
        <f t="shared" si="0"/>
        <v>+0</v>
      </c>
      <c r="D15" s="31" t="s">
        <v>185</v>
      </c>
      <c r="E15" s="357">
        <f>E13+SUM(Martial!$B$26:$B$28)</f>
        <v>21</v>
      </c>
      <c r="F15" s="20"/>
      <c r="G15" s="17"/>
    </row>
    <row r="16" spans="1:7" ht="24" thickTop="1" thickBot="1" x14ac:dyDescent="0.35">
      <c r="A16" s="32" t="s">
        <v>17</v>
      </c>
      <c r="B16" s="33"/>
      <c r="C16" s="33"/>
      <c r="D16" s="34"/>
      <c r="E16" s="34"/>
      <c r="F16" s="34"/>
      <c r="G16" s="35"/>
    </row>
    <row r="17" spans="1:7" s="39" customFormat="1" ht="17.399999999999999" thickTop="1" x14ac:dyDescent="0.3">
      <c r="A17" s="36"/>
      <c r="B17" s="37"/>
      <c r="C17" s="37"/>
      <c r="D17" s="37"/>
      <c r="E17" s="37"/>
      <c r="F17" s="37"/>
      <c r="G17" s="38"/>
    </row>
    <row r="18" spans="1:7" s="39" customFormat="1" ht="16.8" x14ac:dyDescent="0.3">
      <c r="A18" s="40"/>
      <c r="B18" s="13"/>
      <c r="C18" s="13"/>
      <c r="D18" s="13"/>
      <c r="E18" s="13"/>
      <c r="F18" s="13"/>
      <c r="G18" s="41"/>
    </row>
    <row r="19" spans="1:7" s="39" customFormat="1" ht="16.8" x14ac:dyDescent="0.3">
      <c r="A19" s="40"/>
      <c r="B19" s="13"/>
      <c r="C19" s="13"/>
      <c r="D19" s="13"/>
      <c r="E19" s="13"/>
      <c r="F19" s="13"/>
      <c r="G19" s="41"/>
    </row>
    <row r="20" spans="1:7" s="39" customFormat="1" ht="16.8" x14ac:dyDescent="0.3">
      <c r="A20" s="40"/>
      <c r="B20" s="13"/>
      <c r="C20" s="13"/>
      <c r="D20" s="13"/>
      <c r="E20" s="13"/>
      <c r="F20" s="13"/>
      <c r="G20" s="41"/>
    </row>
    <row r="21" spans="1:7" s="39" customFormat="1" ht="16.8" x14ac:dyDescent="0.3">
      <c r="A21" s="40"/>
      <c r="B21" s="13"/>
      <c r="C21" s="13"/>
      <c r="D21" s="13"/>
      <c r="E21" s="13"/>
      <c r="F21" s="13"/>
      <c r="G21" s="41"/>
    </row>
    <row r="22" spans="1:7" s="39" customFormat="1" ht="16.8" x14ac:dyDescent="0.3">
      <c r="A22" s="40"/>
      <c r="B22" s="13"/>
      <c r="C22" s="13"/>
      <c r="D22" s="13"/>
      <c r="E22" s="13"/>
      <c r="F22" s="13"/>
      <c r="G22" s="41"/>
    </row>
    <row r="23" spans="1:7" s="39" customFormat="1" ht="16.8" x14ac:dyDescent="0.3">
      <c r="A23" s="40"/>
      <c r="B23" s="13"/>
      <c r="C23" s="13"/>
      <c r="D23" s="13"/>
      <c r="E23" s="13"/>
      <c r="F23" s="13"/>
      <c r="G23" s="41"/>
    </row>
    <row r="24" spans="1:7" s="39" customFormat="1" ht="16.8" x14ac:dyDescent="0.3">
      <c r="A24" s="40"/>
      <c r="B24" s="13"/>
      <c r="C24" s="13"/>
      <c r="D24" s="13"/>
      <c r="E24" s="13"/>
      <c r="F24" s="13"/>
      <c r="G24" s="41"/>
    </row>
    <row r="25" spans="1:7" s="39" customFormat="1" ht="16.8" x14ac:dyDescent="0.3">
      <c r="A25" s="40"/>
      <c r="B25" s="13"/>
      <c r="C25" s="13"/>
      <c r="D25" s="13"/>
      <c r="E25" s="13"/>
      <c r="F25" s="13"/>
      <c r="G25" s="41"/>
    </row>
    <row r="26" spans="1:7" s="39" customFormat="1" ht="16.8" x14ac:dyDescent="0.3">
      <c r="A26" s="40"/>
      <c r="B26" s="13"/>
      <c r="C26" s="13"/>
      <c r="D26" s="13"/>
      <c r="E26" s="13"/>
      <c r="F26" s="13"/>
      <c r="G26" s="41"/>
    </row>
    <row r="27" spans="1:7" s="39" customFormat="1" ht="16.8" x14ac:dyDescent="0.3">
      <c r="A27" s="40"/>
      <c r="B27" s="13"/>
      <c r="C27" s="13"/>
      <c r="D27" s="13"/>
      <c r="E27" s="13"/>
      <c r="F27" s="13"/>
      <c r="G27" s="41"/>
    </row>
    <row r="28" spans="1:7" s="39" customFormat="1" ht="16.8" x14ac:dyDescent="0.3">
      <c r="A28" s="40"/>
      <c r="B28" s="13"/>
      <c r="C28" s="13"/>
      <c r="D28" s="13"/>
      <c r="E28" s="13"/>
      <c r="F28" s="13"/>
      <c r="G28" s="41"/>
    </row>
    <row r="29" spans="1:7" s="39" customFormat="1" ht="16.8" x14ac:dyDescent="0.3">
      <c r="A29" s="40"/>
      <c r="B29" s="13"/>
      <c r="C29" s="13"/>
      <c r="D29" s="13"/>
      <c r="E29" s="13"/>
      <c r="F29" s="13"/>
      <c r="G29" s="41"/>
    </row>
    <row r="30" spans="1:7" s="39" customFormat="1" ht="16.8" x14ac:dyDescent="0.3">
      <c r="A30" s="40"/>
      <c r="B30" s="13"/>
      <c r="C30" s="13"/>
      <c r="D30" s="13"/>
      <c r="E30" s="13"/>
      <c r="F30" s="13"/>
      <c r="G30" s="41"/>
    </row>
    <row r="31" spans="1:7" s="39" customFormat="1" ht="16.8" x14ac:dyDescent="0.3">
      <c r="A31" s="40"/>
      <c r="B31" s="13"/>
      <c r="C31" s="13"/>
      <c r="D31" s="13"/>
      <c r="E31" s="13"/>
      <c r="F31" s="13"/>
      <c r="G31" s="41"/>
    </row>
    <row r="32" spans="1:7" s="39" customFormat="1" ht="16.8" x14ac:dyDescent="0.3">
      <c r="A32" s="40"/>
      <c r="B32" s="13"/>
      <c r="C32" s="13"/>
      <c r="D32" s="13"/>
      <c r="E32" s="13"/>
      <c r="F32" s="13"/>
      <c r="G32" s="41"/>
    </row>
    <row r="33" spans="1:8" s="39" customFormat="1" ht="16.8" x14ac:dyDescent="0.3">
      <c r="A33" s="40"/>
      <c r="B33" s="13"/>
      <c r="C33" s="13"/>
      <c r="D33" s="13"/>
      <c r="E33" s="13"/>
      <c r="F33" s="13"/>
      <c r="G33" s="41"/>
    </row>
    <row r="34" spans="1:8" s="39" customFormat="1" ht="16.8" x14ac:dyDescent="0.3">
      <c r="A34" s="40"/>
      <c r="B34" s="13"/>
      <c r="C34" s="13"/>
      <c r="D34" s="13"/>
      <c r="E34" s="13"/>
      <c r="F34" s="13"/>
      <c r="G34" s="41"/>
    </row>
    <row r="35" spans="1:8" s="39" customFormat="1" ht="16.8" x14ac:dyDescent="0.3">
      <c r="A35" s="40"/>
      <c r="B35" s="13"/>
      <c r="C35" s="13"/>
      <c r="D35" s="13"/>
      <c r="E35" s="13"/>
      <c r="F35" s="13"/>
      <c r="G35" s="41"/>
    </row>
    <row r="36" spans="1:8" s="39" customFormat="1" ht="16.8" x14ac:dyDescent="0.3">
      <c r="A36" s="40"/>
      <c r="B36" s="13"/>
      <c r="C36" s="13"/>
      <c r="D36" s="13"/>
      <c r="E36" s="13"/>
      <c r="F36" s="13"/>
      <c r="G36" s="41"/>
    </row>
    <row r="37" spans="1:8" s="39" customFormat="1" ht="16.8" x14ac:dyDescent="0.3">
      <c r="A37" s="40"/>
      <c r="B37" s="13"/>
      <c r="C37" s="13"/>
      <c r="D37" s="13"/>
      <c r="E37" s="13"/>
      <c r="F37" s="13"/>
      <c r="G37" s="41"/>
    </row>
    <row r="38" spans="1:8" s="39" customFormat="1" ht="16.8" x14ac:dyDescent="0.3">
      <c r="A38" s="40"/>
      <c r="B38" s="13"/>
      <c r="C38" s="13"/>
      <c r="D38" s="13"/>
      <c r="E38" s="13"/>
      <c r="F38" s="13"/>
      <c r="G38" s="41"/>
    </row>
    <row r="39" spans="1:8" s="39" customFormat="1" ht="16.8" x14ac:dyDescent="0.3">
      <c r="A39" s="40"/>
      <c r="B39" s="13"/>
      <c r="C39" s="13"/>
      <c r="D39" s="13"/>
      <c r="E39" s="13"/>
      <c r="F39" s="13"/>
      <c r="G39" s="41"/>
    </row>
    <row r="40" spans="1:8" s="39" customFormat="1" ht="16.8" x14ac:dyDescent="0.3">
      <c r="A40" s="40"/>
      <c r="B40" s="13"/>
      <c r="C40" s="13"/>
      <c r="D40" s="13"/>
      <c r="E40" s="13"/>
      <c r="F40" s="13"/>
      <c r="G40" s="41"/>
    </row>
    <row r="41" spans="1:8" ht="17.399999999999999" thickBot="1" x14ac:dyDescent="0.35">
      <c r="A41" s="42"/>
      <c r="B41" s="43"/>
      <c r="C41" s="43"/>
      <c r="D41" s="43"/>
      <c r="E41" s="43"/>
      <c r="F41" s="43"/>
      <c r="G41" s="44"/>
      <c r="H41" s="39"/>
    </row>
    <row r="42" spans="1:8" ht="16.2" thickTop="1" x14ac:dyDescent="0.3"/>
  </sheetData>
  <phoneticPr fontId="0" type="noConversion"/>
  <conditionalFormatting sqref="E11">
    <cfRule type="cellIs" dxfId="4" priority="4" stopIfTrue="1" operator="greaterThan">
      <formula>116</formula>
    </cfRule>
    <cfRule type="cellIs" dxfId="3" priority="5" stopIfTrue="1" operator="between">
      <formula>58</formula>
      <formula>116</formula>
    </cfRule>
  </conditionalFormatting>
  <hyperlinks>
    <hyperlink ref="G1" r:id="rId1" xr:uid="{B6BEB430-A244-4A0E-96D0-01898FD1D676}"/>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0"/>
  <sheetViews>
    <sheetView showGridLines="0" zoomScaleNormal="100" workbookViewId="0">
      <pane ySplit="2" topLeftCell="A3" activePane="bottomLeft" state="frozen"/>
      <selection activeCell="I39" sqref="I39"/>
      <selection pane="bottomLeft" activeCell="A3" sqref="A3"/>
    </sheetView>
  </sheetViews>
  <sheetFormatPr defaultColWidth="13" defaultRowHeight="15.6" x14ac:dyDescent="0.3"/>
  <cols>
    <col min="1" max="1" width="28.796875" style="45" bestFit="1" customWidth="1"/>
    <col min="2" max="2" width="5.8984375" style="45" bestFit="1" customWidth="1"/>
    <col min="3" max="3" width="11.59765625" style="46" hidden="1" customWidth="1"/>
    <col min="4" max="4" width="5.796875" style="46" hidden="1" customWidth="1"/>
    <col min="5" max="5" width="9.19921875" style="46" bestFit="1" customWidth="1"/>
    <col min="6" max="6" width="8.19921875" style="46" bestFit="1" customWidth="1"/>
    <col min="7" max="7" width="6" style="46" bestFit="1" customWidth="1"/>
    <col min="8" max="8" width="5.19921875" style="46" bestFit="1" customWidth="1"/>
    <col min="9" max="9" width="6.8984375" style="46" bestFit="1" customWidth="1"/>
    <col min="10" max="10" width="20.296875" style="45" customWidth="1"/>
    <col min="11" max="16384" width="13" style="11"/>
  </cols>
  <sheetData>
    <row r="1" spans="1:10" ht="23.4" thickBot="1" x14ac:dyDescent="0.35">
      <c r="A1" s="47" t="s">
        <v>7</v>
      </c>
      <c r="B1" s="48"/>
      <c r="C1" s="48"/>
      <c r="D1" s="48"/>
      <c r="E1" s="48"/>
      <c r="F1" s="48"/>
      <c r="G1" s="48"/>
      <c r="H1" s="48"/>
      <c r="I1" s="48"/>
      <c r="J1" s="48"/>
    </row>
    <row r="2" spans="1:10" s="39" customFormat="1" ht="34.200000000000003" thickBot="1" x14ac:dyDescent="0.35">
      <c r="A2" s="1" t="s">
        <v>160</v>
      </c>
      <c r="B2" s="2" t="s">
        <v>22</v>
      </c>
      <c r="C2" s="2" t="s">
        <v>24</v>
      </c>
      <c r="D2" s="2" t="s">
        <v>21</v>
      </c>
      <c r="E2" s="3" t="s">
        <v>49</v>
      </c>
      <c r="F2" s="3" t="s">
        <v>25</v>
      </c>
      <c r="G2" s="2" t="s">
        <v>51</v>
      </c>
      <c r="H2" s="388" t="s">
        <v>74</v>
      </c>
      <c r="I2" s="2" t="s">
        <v>63</v>
      </c>
      <c r="J2" s="4" t="s">
        <v>0</v>
      </c>
    </row>
    <row r="3" spans="1:10" s="39" customFormat="1" ht="16.8" x14ac:dyDescent="0.3">
      <c r="A3" s="49" t="s">
        <v>52</v>
      </c>
      <c r="B3" s="50">
        <f>4</f>
        <v>4</v>
      </c>
      <c r="C3" s="50" t="s">
        <v>170</v>
      </c>
      <c r="D3" s="50" t="str">
        <f>VLOOKUP(C3,'Personal File'!$A$10:$C$15,3,FALSE)</f>
        <v>+1</v>
      </c>
      <c r="E3" s="351" t="str">
        <f t="shared" ref="E3:E45" si="0">CONCATENATE(LEFT(C3,3)," (",D3,")")</f>
        <v>Con (+1)</v>
      </c>
      <c r="F3" s="352">
        <v>1</v>
      </c>
      <c r="G3" s="352">
        <f t="shared" ref="G3:G45" si="1">B3+D3+F3</f>
        <v>6</v>
      </c>
      <c r="H3" s="389">
        <f t="shared" ref="H3:H45" ca="1" si="2">RANDBETWEEN(1,20)</f>
        <v>11</v>
      </c>
      <c r="I3" s="353">
        <f t="shared" ref="I3:I5" ca="1" si="3">SUM(G3:H3)</f>
        <v>17</v>
      </c>
      <c r="J3" s="384"/>
    </row>
    <row r="4" spans="1:10" s="39" customFormat="1" ht="16.8" x14ac:dyDescent="0.3">
      <c r="A4" s="51" t="s">
        <v>53</v>
      </c>
      <c r="B4" s="50">
        <f>1</f>
        <v>1</v>
      </c>
      <c r="C4" s="50" t="s">
        <v>169</v>
      </c>
      <c r="D4" s="50" t="str">
        <f>VLOOKUP(C4,'Personal File'!$A$10:$C$15,3,FALSE)</f>
        <v>+3</v>
      </c>
      <c r="E4" s="52" t="str">
        <f t="shared" si="0"/>
        <v>Dex (+3)</v>
      </c>
      <c r="F4" s="352">
        <v>0</v>
      </c>
      <c r="G4" s="352">
        <f t="shared" si="1"/>
        <v>4</v>
      </c>
      <c r="H4" s="389">
        <f t="shared" ca="1" si="2"/>
        <v>14</v>
      </c>
      <c r="I4" s="353">
        <f t="shared" ca="1" si="3"/>
        <v>18</v>
      </c>
      <c r="J4" s="383"/>
    </row>
    <row r="5" spans="1:10" s="39" customFormat="1" ht="16.8" x14ac:dyDescent="0.3">
      <c r="A5" s="53" t="s">
        <v>54</v>
      </c>
      <c r="B5" s="54">
        <f>4</f>
        <v>4</v>
      </c>
      <c r="C5" s="54" t="s">
        <v>172</v>
      </c>
      <c r="D5" s="54" t="str">
        <f>VLOOKUP(C5,'Personal File'!$A$10:$C$15,3,FALSE)</f>
        <v>+0</v>
      </c>
      <c r="E5" s="354" t="str">
        <f t="shared" si="0"/>
        <v>Wis (+0)</v>
      </c>
      <c r="F5" s="355">
        <v>1</v>
      </c>
      <c r="G5" s="355">
        <f t="shared" si="1"/>
        <v>5</v>
      </c>
      <c r="H5" s="390">
        <f t="shared" ca="1" si="2"/>
        <v>18</v>
      </c>
      <c r="I5" s="356">
        <f t="shared" ca="1" si="3"/>
        <v>23</v>
      </c>
      <c r="J5" s="167"/>
    </row>
    <row r="6" spans="1:10" s="61" customFormat="1" ht="16.8" x14ac:dyDescent="0.3">
      <c r="A6" s="55" t="s">
        <v>26</v>
      </c>
      <c r="B6" s="50">
        <v>0</v>
      </c>
      <c r="C6" s="56" t="s">
        <v>171</v>
      </c>
      <c r="D6" s="57" t="str">
        <f>VLOOKUP(C6,'Personal File'!$A$10:$C$15,3,FALSE)</f>
        <v>+2</v>
      </c>
      <c r="E6" s="58" t="str">
        <f t="shared" si="0"/>
        <v>Int (+2)</v>
      </c>
      <c r="F6" s="59" t="s">
        <v>50</v>
      </c>
      <c r="G6" s="59">
        <f t="shared" si="1"/>
        <v>2</v>
      </c>
      <c r="H6" s="389">
        <f t="shared" ca="1" si="2"/>
        <v>5</v>
      </c>
      <c r="I6" s="59">
        <f t="shared" ref="I6:I7" ca="1" si="4">SUM(G6:H6)</f>
        <v>7</v>
      </c>
      <c r="J6" s="316"/>
    </row>
    <row r="7" spans="1:10" s="65" customFormat="1" ht="16.8" x14ac:dyDescent="0.3">
      <c r="A7" s="62" t="s">
        <v>27</v>
      </c>
      <c r="B7" s="50">
        <v>0</v>
      </c>
      <c r="C7" s="63" t="s">
        <v>169</v>
      </c>
      <c r="D7" s="64" t="str">
        <f>VLOOKUP(C7,'Personal File'!$A$10:$C$15,3,FALSE)</f>
        <v>+3</v>
      </c>
      <c r="E7" s="52" t="str">
        <f t="shared" si="0"/>
        <v>Dex (+3)</v>
      </c>
      <c r="F7" s="59" t="s">
        <v>218</v>
      </c>
      <c r="G7" s="59">
        <f t="shared" si="1"/>
        <v>2</v>
      </c>
      <c r="H7" s="391">
        <f t="shared" ca="1" si="2"/>
        <v>20</v>
      </c>
      <c r="I7" s="59">
        <f t="shared" ca="1" si="4"/>
        <v>22</v>
      </c>
      <c r="J7" s="60"/>
    </row>
    <row r="8" spans="1:10" s="70" customFormat="1" ht="16.8" x14ac:dyDescent="0.3">
      <c r="A8" s="66" t="s">
        <v>28</v>
      </c>
      <c r="B8" s="50">
        <v>0</v>
      </c>
      <c r="C8" s="67" t="s">
        <v>173</v>
      </c>
      <c r="D8" s="68" t="str">
        <f>VLOOKUP(C8,'Personal File'!$A$10:$C$15,3,FALSE)</f>
        <v>+0</v>
      </c>
      <c r="E8" s="69" t="str">
        <f t="shared" si="0"/>
        <v>Cha (+0)</v>
      </c>
      <c r="F8" s="59" t="s">
        <v>50</v>
      </c>
      <c r="G8" s="59">
        <f t="shared" si="1"/>
        <v>0</v>
      </c>
      <c r="H8" s="391">
        <f t="shared" ca="1" si="2"/>
        <v>17</v>
      </c>
      <c r="I8" s="59">
        <f t="shared" ref="I8:I45" ca="1" si="5">SUM(G8:H8)</f>
        <v>17</v>
      </c>
      <c r="J8" s="316"/>
    </row>
    <row r="9" spans="1:10" s="78" customFormat="1" ht="16.8" x14ac:dyDescent="0.3">
      <c r="A9" s="71" t="s">
        <v>29</v>
      </c>
      <c r="B9" s="72">
        <v>2</v>
      </c>
      <c r="C9" s="73" t="s">
        <v>168</v>
      </c>
      <c r="D9" s="74" t="str">
        <f>VLOOKUP(C9,'Personal File'!$A$10:$C$15,3,FALSE)</f>
        <v>+2</v>
      </c>
      <c r="E9" s="75" t="str">
        <f t="shared" si="0"/>
        <v>Str (+2)</v>
      </c>
      <c r="F9" s="76" t="s">
        <v>218</v>
      </c>
      <c r="G9" s="76">
        <f t="shared" si="1"/>
        <v>3</v>
      </c>
      <c r="H9" s="391">
        <f t="shared" ca="1" si="2"/>
        <v>19</v>
      </c>
      <c r="I9" s="76">
        <f t="shared" ca="1" si="5"/>
        <v>22</v>
      </c>
      <c r="J9" s="480"/>
    </row>
    <row r="10" spans="1:10" s="78" customFormat="1" ht="16.8" x14ac:dyDescent="0.3">
      <c r="A10" s="163" t="s">
        <v>8</v>
      </c>
      <c r="B10" s="72">
        <v>6</v>
      </c>
      <c r="C10" s="164" t="s">
        <v>170</v>
      </c>
      <c r="D10" s="165" t="str">
        <f>VLOOKUP(C10,'Personal File'!$A$10:$C$15,3,FALSE)</f>
        <v>+1</v>
      </c>
      <c r="E10" s="166" t="str">
        <f t="shared" si="0"/>
        <v>Con (+1)</v>
      </c>
      <c r="F10" s="76" t="s">
        <v>50</v>
      </c>
      <c r="G10" s="76">
        <f t="shared" si="1"/>
        <v>7</v>
      </c>
      <c r="H10" s="391">
        <f t="shared" ca="1" si="2"/>
        <v>3</v>
      </c>
      <c r="I10" s="76">
        <f t="shared" ca="1" si="5"/>
        <v>10</v>
      </c>
      <c r="J10" s="77"/>
    </row>
    <row r="11" spans="1:10" s="61" customFormat="1" ht="16.8" x14ac:dyDescent="0.3">
      <c r="A11" s="79" t="s">
        <v>212</v>
      </c>
      <c r="B11" s="72">
        <v>1</v>
      </c>
      <c r="C11" s="80" t="s">
        <v>171</v>
      </c>
      <c r="D11" s="81" t="str">
        <f>VLOOKUP(C11,'Personal File'!$A$10:$C$15,3,FALSE)</f>
        <v>+2</v>
      </c>
      <c r="E11" s="82" t="str">
        <f t="shared" si="0"/>
        <v>Int (+2)</v>
      </c>
      <c r="F11" s="76" t="s">
        <v>50</v>
      </c>
      <c r="G11" s="76">
        <f t="shared" si="1"/>
        <v>3</v>
      </c>
      <c r="H11" s="391">
        <f t="shared" ca="1" si="2"/>
        <v>19</v>
      </c>
      <c r="I11" s="76">
        <f t="shared" ca="1" si="5"/>
        <v>22</v>
      </c>
      <c r="J11" s="77"/>
    </row>
    <row r="12" spans="1:10" s="90" customFormat="1" ht="16.8" x14ac:dyDescent="0.3">
      <c r="A12" s="79" t="s">
        <v>30</v>
      </c>
      <c r="B12" s="72">
        <v>2</v>
      </c>
      <c r="C12" s="80" t="s">
        <v>171</v>
      </c>
      <c r="D12" s="81" t="str">
        <f>VLOOKUP(C12,'Personal File'!$A$10:$C$15,3,FALSE)</f>
        <v>+2</v>
      </c>
      <c r="E12" s="82" t="str">
        <f t="shared" si="0"/>
        <v>Int (+2)</v>
      </c>
      <c r="F12" s="76" t="s">
        <v>50</v>
      </c>
      <c r="G12" s="76">
        <f t="shared" si="1"/>
        <v>4</v>
      </c>
      <c r="H12" s="391">
        <f t="shared" ca="1" si="2"/>
        <v>4</v>
      </c>
      <c r="I12" s="76">
        <f t="shared" ca="1" si="5"/>
        <v>8</v>
      </c>
      <c r="J12" s="77"/>
    </row>
    <row r="13" spans="1:10" s="65" customFormat="1" ht="16.8" x14ac:dyDescent="0.3">
      <c r="A13" s="66" t="s">
        <v>31</v>
      </c>
      <c r="B13" s="50">
        <v>0</v>
      </c>
      <c r="C13" s="67" t="s">
        <v>173</v>
      </c>
      <c r="D13" s="68" t="str">
        <f>VLOOKUP(C13,'Personal File'!$A$10:$C$15,3,FALSE)</f>
        <v>+0</v>
      </c>
      <c r="E13" s="69" t="str">
        <f t="shared" si="0"/>
        <v>Cha (+0)</v>
      </c>
      <c r="F13" s="59" t="s">
        <v>50</v>
      </c>
      <c r="G13" s="59">
        <f t="shared" si="1"/>
        <v>0</v>
      </c>
      <c r="H13" s="391">
        <f t="shared" ca="1" si="2"/>
        <v>10</v>
      </c>
      <c r="I13" s="59">
        <f t="shared" ca="1" si="5"/>
        <v>10</v>
      </c>
      <c r="J13" s="60"/>
    </row>
    <row r="14" spans="1:10" s="65" customFormat="1" ht="16.8" x14ac:dyDescent="0.3">
      <c r="A14" s="83" t="s">
        <v>32</v>
      </c>
      <c r="B14" s="84">
        <v>0</v>
      </c>
      <c r="C14" s="85" t="s">
        <v>171</v>
      </c>
      <c r="D14" s="86" t="str">
        <f>VLOOKUP(C14,'Personal File'!$A$10:$C$15,3,FALSE)</f>
        <v>+2</v>
      </c>
      <c r="E14" s="87" t="str">
        <f t="shared" si="0"/>
        <v>Int (+2)</v>
      </c>
      <c r="F14" s="88" t="s">
        <v>50</v>
      </c>
      <c r="G14" s="88">
        <f t="shared" si="1"/>
        <v>2</v>
      </c>
      <c r="H14" s="391">
        <f t="shared" ca="1" si="2"/>
        <v>5</v>
      </c>
      <c r="I14" s="88">
        <f t="shared" ca="1" si="5"/>
        <v>7</v>
      </c>
      <c r="J14" s="89"/>
    </row>
    <row r="15" spans="1:10" s="65" customFormat="1" ht="16.8" x14ac:dyDescent="0.3">
      <c r="A15" s="66" t="s">
        <v>33</v>
      </c>
      <c r="B15" s="50">
        <v>0</v>
      </c>
      <c r="C15" s="67" t="s">
        <v>173</v>
      </c>
      <c r="D15" s="68" t="str">
        <f>VLOOKUP(C15,'Personal File'!$A$10:$C$15,3,FALSE)</f>
        <v>+0</v>
      </c>
      <c r="E15" s="69" t="str">
        <f t="shared" si="0"/>
        <v>Cha (+0)</v>
      </c>
      <c r="F15" s="59" t="s">
        <v>50</v>
      </c>
      <c r="G15" s="59">
        <f t="shared" si="1"/>
        <v>0</v>
      </c>
      <c r="H15" s="391">
        <f t="shared" ca="1" si="2"/>
        <v>12</v>
      </c>
      <c r="I15" s="59">
        <f t="shared" ca="1" si="5"/>
        <v>12</v>
      </c>
      <c r="J15" s="60"/>
    </row>
    <row r="16" spans="1:10" s="65" customFormat="1" ht="16.8" x14ac:dyDescent="0.3">
      <c r="A16" s="62" t="s">
        <v>34</v>
      </c>
      <c r="B16" s="50">
        <v>0</v>
      </c>
      <c r="C16" s="63" t="s">
        <v>169</v>
      </c>
      <c r="D16" s="64" t="str">
        <f>VLOOKUP(C16,'Personal File'!$A$10:$C$15,3,FALSE)</f>
        <v>+3</v>
      </c>
      <c r="E16" s="52" t="str">
        <f t="shared" si="0"/>
        <v>Dex (+3)</v>
      </c>
      <c r="F16" s="59" t="s">
        <v>218</v>
      </c>
      <c r="G16" s="59">
        <f t="shared" si="1"/>
        <v>2</v>
      </c>
      <c r="H16" s="391">
        <f t="shared" ca="1" si="2"/>
        <v>7</v>
      </c>
      <c r="I16" s="59">
        <f t="shared" ca="1" si="5"/>
        <v>9</v>
      </c>
      <c r="J16" s="60"/>
    </row>
    <row r="17" spans="1:10" s="65" customFormat="1" ht="16.8" x14ac:dyDescent="0.3">
      <c r="A17" s="55" t="s">
        <v>35</v>
      </c>
      <c r="B17" s="50">
        <v>0</v>
      </c>
      <c r="C17" s="56" t="s">
        <v>171</v>
      </c>
      <c r="D17" s="57" t="str">
        <f>VLOOKUP(C17,'Personal File'!$A$10:$C$15,3,FALSE)</f>
        <v>+2</v>
      </c>
      <c r="E17" s="58" t="str">
        <f t="shared" si="0"/>
        <v>Int (+2)</v>
      </c>
      <c r="F17" s="59" t="s">
        <v>50</v>
      </c>
      <c r="G17" s="59">
        <f t="shared" si="1"/>
        <v>2</v>
      </c>
      <c r="H17" s="391">
        <f t="shared" ca="1" si="2"/>
        <v>10</v>
      </c>
      <c r="I17" s="59">
        <f t="shared" ca="1" si="5"/>
        <v>12</v>
      </c>
      <c r="J17" s="60"/>
    </row>
    <row r="18" spans="1:10" s="65" customFormat="1" ht="16.8" x14ac:dyDescent="0.3">
      <c r="A18" s="66" t="s">
        <v>36</v>
      </c>
      <c r="B18" s="50">
        <v>0</v>
      </c>
      <c r="C18" s="67" t="s">
        <v>173</v>
      </c>
      <c r="D18" s="68" t="str">
        <f>VLOOKUP(C18,'Personal File'!$A$10:$C$15,3,FALSE)</f>
        <v>+0</v>
      </c>
      <c r="E18" s="69" t="str">
        <f t="shared" si="0"/>
        <v>Cha (+0)</v>
      </c>
      <c r="F18" s="59" t="s">
        <v>50</v>
      </c>
      <c r="G18" s="59">
        <f t="shared" si="1"/>
        <v>0</v>
      </c>
      <c r="H18" s="391">
        <f t="shared" ca="1" si="2"/>
        <v>19</v>
      </c>
      <c r="I18" s="59">
        <f t="shared" ca="1" si="5"/>
        <v>19</v>
      </c>
      <c r="J18" s="60"/>
    </row>
    <row r="19" spans="1:10" s="65" customFormat="1" ht="16.8" x14ac:dyDescent="0.3">
      <c r="A19" s="66" t="s">
        <v>10</v>
      </c>
      <c r="B19" s="50">
        <v>0</v>
      </c>
      <c r="C19" s="67" t="s">
        <v>173</v>
      </c>
      <c r="D19" s="68" t="str">
        <f>VLOOKUP(C19,'Personal File'!$A$10:$C$15,3,FALSE)</f>
        <v>+0</v>
      </c>
      <c r="E19" s="69" t="str">
        <f t="shared" si="0"/>
        <v>Cha (+0)</v>
      </c>
      <c r="F19" s="59" t="s">
        <v>50</v>
      </c>
      <c r="G19" s="59">
        <f t="shared" si="1"/>
        <v>0</v>
      </c>
      <c r="H19" s="391">
        <f t="shared" ca="1" si="2"/>
        <v>15</v>
      </c>
      <c r="I19" s="59">
        <f t="shared" ca="1" si="5"/>
        <v>15</v>
      </c>
      <c r="J19" s="60"/>
    </row>
    <row r="20" spans="1:10" s="65" customFormat="1" ht="16.8" x14ac:dyDescent="0.3">
      <c r="A20" s="103" t="s">
        <v>37</v>
      </c>
      <c r="B20" s="50">
        <v>0</v>
      </c>
      <c r="C20" s="104" t="s">
        <v>172</v>
      </c>
      <c r="D20" s="105" t="str">
        <f>VLOOKUP(C20,'Personal File'!$A$10:$C$15,3,FALSE)</f>
        <v>+0</v>
      </c>
      <c r="E20" s="106" t="str">
        <f t="shared" si="0"/>
        <v>Wis (+0)</v>
      </c>
      <c r="F20" s="59" t="s">
        <v>50</v>
      </c>
      <c r="G20" s="59">
        <f t="shared" si="1"/>
        <v>0</v>
      </c>
      <c r="H20" s="391">
        <f t="shared" ca="1" si="2"/>
        <v>3</v>
      </c>
      <c r="I20" s="59">
        <f t="shared" ca="1" si="5"/>
        <v>3</v>
      </c>
      <c r="J20" s="60"/>
    </row>
    <row r="21" spans="1:10" s="65" customFormat="1" ht="16.8" x14ac:dyDescent="0.3">
      <c r="A21" s="62" t="s">
        <v>38</v>
      </c>
      <c r="B21" s="50">
        <v>0</v>
      </c>
      <c r="C21" s="63" t="s">
        <v>169</v>
      </c>
      <c r="D21" s="64" t="str">
        <f>VLOOKUP(C21,'Personal File'!$A$10:$C$15,3,FALSE)</f>
        <v>+3</v>
      </c>
      <c r="E21" s="52" t="str">
        <f t="shared" si="0"/>
        <v>Dex (+3)</v>
      </c>
      <c r="F21" s="59" t="s">
        <v>218</v>
      </c>
      <c r="G21" s="59">
        <f t="shared" si="1"/>
        <v>2</v>
      </c>
      <c r="H21" s="391">
        <f t="shared" ca="1" si="2"/>
        <v>9</v>
      </c>
      <c r="I21" s="59">
        <f t="shared" ca="1" si="5"/>
        <v>11</v>
      </c>
      <c r="J21" s="60"/>
    </row>
    <row r="22" spans="1:10" s="65" customFormat="1" ht="16.8" x14ac:dyDescent="0.3">
      <c r="A22" s="66" t="s">
        <v>39</v>
      </c>
      <c r="B22" s="50">
        <v>0</v>
      </c>
      <c r="C22" s="67" t="s">
        <v>173</v>
      </c>
      <c r="D22" s="68" t="str">
        <f>VLOOKUP(C22,'Personal File'!$A$10:$C$15,3,FALSE)</f>
        <v>+0</v>
      </c>
      <c r="E22" s="69" t="str">
        <f t="shared" si="0"/>
        <v>Cha (+0)</v>
      </c>
      <c r="F22" s="59" t="s">
        <v>50</v>
      </c>
      <c r="G22" s="59">
        <f t="shared" si="1"/>
        <v>0</v>
      </c>
      <c r="H22" s="391">
        <f t="shared" ca="1" si="2"/>
        <v>6</v>
      </c>
      <c r="I22" s="59">
        <f t="shared" ca="1" si="5"/>
        <v>6</v>
      </c>
      <c r="J22" s="60"/>
    </row>
    <row r="23" spans="1:10" s="65" customFormat="1" ht="16.8" x14ac:dyDescent="0.3">
      <c r="A23" s="71" t="s">
        <v>40</v>
      </c>
      <c r="B23" s="72">
        <v>2</v>
      </c>
      <c r="C23" s="73" t="s">
        <v>168</v>
      </c>
      <c r="D23" s="74" t="str">
        <f>VLOOKUP(C23,'Personal File'!$A$10:$C$15,3,FALSE)</f>
        <v>+2</v>
      </c>
      <c r="E23" s="75" t="str">
        <f t="shared" si="0"/>
        <v>Str (+2)</v>
      </c>
      <c r="F23" s="76" t="s">
        <v>218</v>
      </c>
      <c r="G23" s="76">
        <f t="shared" si="1"/>
        <v>3</v>
      </c>
      <c r="H23" s="391">
        <f t="shared" ca="1" si="2"/>
        <v>20</v>
      </c>
      <c r="I23" s="76">
        <f t="shared" ca="1" si="5"/>
        <v>23</v>
      </c>
      <c r="J23" s="77"/>
    </row>
    <row r="24" spans="1:10" s="65" customFormat="1" ht="16.8" x14ac:dyDescent="0.3">
      <c r="A24" s="79" t="s">
        <v>76</v>
      </c>
      <c r="B24" s="72">
        <v>2</v>
      </c>
      <c r="C24" s="80" t="s">
        <v>171</v>
      </c>
      <c r="D24" s="81" t="str">
        <f>VLOOKUP(C24,'Personal File'!$A$10:$C$15,3,FALSE)</f>
        <v>+2</v>
      </c>
      <c r="E24" s="82" t="str">
        <f t="shared" si="0"/>
        <v>Int (+2)</v>
      </c>
      <c r="F24" s="76" t="s">
        <v>50</v>
      </c>
      <c r="G24" s="76">
        <f t="shared" ref="G24:G27" si="6">B24+D24+F24</f>
        <v>4</v>
      </c>
      <c r="H24" s="391">
        <f t="shared" ca="1" si="2"/>
        <v>16</v>
      </c>
      <c r="I24" s="76">
        <f t="shared" ref="I24:I27" ca="1" si="7">SUM(G24:H24)</f>
        <v>20</v>
      </c>
      <c r="J24" s="77"/>
    </row>
    <row r="25" spans="1:10" s="65" customFormat="1" ht="16.8" x14ac:dyDescent="0.3">
      <c r="A25" s="79" t="s">
        <v>213</v>
      </c>
      <c r="B25" s="72">
        <v>2</v>
      </c>
      <c r="C25" s="80" t="s">
        <v>171</v>
      </c>
      <c r="D25" s="81" t="str">
        <f>VLOOKUP(C25,'Personal File'!$A$10:$C$15,3,FALSE)</f>
        <v>+2</v>
      </c>
      <c r="E25" s="82" t="str">
        <f t="shared" si="0"/>
        <v>Int (+2)</v>
      </c>
      <c r="F25" s="76" t="s">
        <v>50</v>
      </c>
      <c r="G25" s="76">
        <f t="shared" ref="G25:G26" si="8">B25+D25+F25</f>
        <v>4</v>
      </c>
      <c r="H25" s="391">
        <f t="shared" ca="1" si="2"/>
        <v>15</v>
      </c>
      <c r="I25" s="76">
        <f t="shared" ref="I25:I26" ca="1" si="9">SUM(G25:H25)</f>
        <v>19</v>
      </c>
      <c r="J25" s="77"/>
    </row>
    <row r="26" spans="1:10" s="65" customFormat="1" ht="16.8" x14ac:dyDescent="0.3">
      <c r="A26" s="79" t="s">
        <v>87</v>
      </c>
      <c r="B26" s="72">
        <v>2</v>
      </c>
      <c r="C26" s="80" t="s">
        <v>171</v>
      </c>
      <c r="D26" s="81" t="str">
        <f>VLOOKUP(C26,'Personal File'!$A$10:$C$15,3,FALSE)</f>
        <v>+2</v>
      </c>
      <c r="E26" s="82" t="str">
        <f t="shared" si="0"/>
        <v>Int (+2)</v>
      </c>
      <c r="F26" s="76" t="s">
        <v>50</v>
      </c>
      <c r="G26" s="76">
        <f t="shared" si="8"/>
        <v>4</v>
      </c>
      <c r="H26" s="391">
        <f t="shared" ca="1" si="2"/>
        <v>3</v>
      </c>
      <c r="I26" s="76">
        <f t="shared" ca="1" si="9"/>
        <v>7</v>
      </c>
      <c r="J26" s="77"/>
    </row>
    <row r="27" spans="1:10" s="65" customFormat="1" ht="16.8" x14ac:dyDescent="0.3">
      <c r="A27" s="79" t="s">
        <v>214</v>
      </c>
      <c r="B27" s="72">
        <v>2</v>
      </c>
      <c r="C27" s="80" t="s">
        <v>171</v>
      </c>
      <c r="D27" s="81" t="str">
        <f>VLOOKUP(C27,'Personal File'!$A$10:$C$15,3,FALSE)</f>
        <v>+2</v>
      </c>
      <c r="E27" s="82" t="str">
        <f t="shared" si="0"/>
        <v>Int (+2)</v>
      </c>
      <c r="F27" s="76" t="s">
        <v>50</v>
      </c>
      <c r="G27" s="76">
        <f t="shared" si="6"/>
        <v>4</v>
      </c>
      <c r="H27" s="391">
        <f t="shared" ca="1" si="2"/>
        <v>16</v>
      </c>
      <c r="I27" s="76">
        <f t="shared" ca="1" si="7"/>
        <v>20</v>
      </c>
      <c r="J27" s="77"/>
    </row>
    <row r="28" spans="1:10" s="65" customFormat="1" ht="16.8" x14ac:dyDescent="0.3">
      <c r="A28" s="103" t="s">
        <v>41</v>
      </c>
      <c r="B28" s="50">
        <v>0</v>
      </c>
      <c r="C28" s="104" t="s">
        <v>172</v>
      </c>
      <c r="D28" s="105" t="str">
        <f>VLOOKUP(C28,'Personal File'!$A$10:$C$15,3,FALSE)</f>
        <v>+0</v>
      </c>
      <c r="E28" s="106" t="str">
        <f t="shared" si="0"/>
        <v>Wis (+0)</v>
      </c>
      <c r="F28" s="59" t="s">
        <v>71</v>
      </c>
      <c r="G28" s="59">
        <f t="shared" si="1"/>
        <v>2</v>
      </c>
      <c r="H28" s="391">
        <f t="shared" ca="1" si="2"/>
        <v>15</v>
      </c>
      <c r="I28" s="59">
        <f t="shared" ca="1" si="5"/>
        <v>17</v>
      </c>
      <c r="J28" s="60"/>
    </row>
    <row r="29" spans="1:10" s="65" customFormat="1" ht="16.8" x14ac:dyDescent="0.3">
      <c r="A29" s="62" t="s">
        <v>11</v>
      </c>
      <c r="B29" s="50">
        <v>0</v>
      </c>
      <c r="C29" s="63" t="s">
        <v>169</v>
      </c>
      <c r="D29" s="64" t="str">
        <f>VLOOKUP(C29,'Personal File'!$A$10:$C$15,3,FALSE)</f>
        <v>+3</v>
      </c>
      <c r="E29" s="52" t="str">
        <f t="shared" si="0"/>
        <v>Dex (+3)</v>
      </c>
      <c r="F29" s="59" t="s">
        <v>218</v>
      </c>
      <c r="G29" s="59">
        <f t="shared" si="1"/>
        <v>2</v>
      </c>
      <c r="H29" s="391">
        <f t="shared" ca="1" si="2"/>
        <v>2</v>
      </c>
      <c r="I29" s="59">
        <f t="shared" ca="1" si="5"/>
        <v>4</v>
      </c>
      <c r="J29" s="60"/>
    </row>
    <row r="30" spans="1:10" s="65" customFormat="1" ht="16.8" x14ac:dyDescent="0.3">
      <c r="A30" s="95" t="s">
        <v>42</v>
      </c>
      <c r="B30" s="84">
        <v>0</v>
      </c>
      <c r="C30" s="96" t="s">
        <v>169</v>
      </c>
      <c r="D30" s="97" t="str">
        <f>VLOOKUP(C30,'Personal File'!$A$10:$C$15,3,FALSE)</f>
        <v>+3</v>
      </c>
      <c r="E30" s="98" t="str">
        <f t="shared" si="0"/>
        <v>Dex (+3)</v>
      </c>
      <c r="F30" s="88" t="s">
        <v>50</v>
      </c>
      <c r="G30" s="88">
        <f t="shared" si="1"/>
        <v>3</v>
      </c>
      <c r="H30" s="391">
        <f t="shared" ca="1" si="2"/>
        <v>9</v>
      </c>
      <c r="I30" s="88">
        <f t="shared" ca="1" si="5"/>
        <v>12</v>
      </c>
      <c r="J30" s="89"/>
    </row>
    <row r="31" spans="1:10" ht="16.8" x14ac:dyDescent="0.3">
      <c r="A31" s="66" t="s">
        <v>75</v>
      </c>
      <c r="B31" s="50">
        <v>0</v>
      </c>
      <c r="C31" s="67" t="s">
        <v>173</v>
      </c>
      <c r="D31" s="68" t="str">
        <f>VLOOKUP(C31,'Personal File'!$A$10:$C$15,3,FALSE)</f>
        <v>+0</v>
      </c>
      <c r="E31" s="69" t="str">
        <f t="shared" si="0"/>
        <v>Cha (+0)</v>
      </c>
      <c r="F31" s="59" t="s">
        <v>50</v>
      </c>
      <c r="G31" s="59">
        <f t="shared" si="1"/>
        <v>0</v>
      </c>
      <c r="H31" s="391">
        <f t="shared" ca="1" si="2"/>
        <v>16</v>
      </c>
      <c r="I31" s="59">
        <f t="shared" ca="1" si="5"/>
        <v>16</v>
      </c>
      <c r="J31" s="60"/>
    </row>
    <row r="32" spans="1:10" ht="16.8" x14ac:dyDescent="0.3">
      <c r="A32" s="66" t="s">
        <v>253</v>
      </c>
      <c r="B32" s="50">
        <v>0</v>
      </c>
      <c r="C32" s="104" t="s">
        <v>172</v>
      </c>
      <c r="D32" s="105" t="str">
        <f>VLOOKUP(C32,'Personal File'!$A$10:$C$15,3,FALSE)</f>
        <v>+0</v>
      </c>
      <c r="E32" s="106" t="str">
        <f t="shared" si="0"/>
        <v>Wis (+0)</v>
      </c>
      <c r="F32" s="59" t="s">
        <v>50</v>
      </c>
      <c r="G32" s="59">
        <f t="shared" si="1"/>
        <v>0</v>
      </c>
      <c r="H32" s="391">
        <f t="shared" ca="1" si="2"/>
        <v>2</v>
      </c>
      <c r="I32" s="59">
        <f t="shared" ca="1" si="5"/>
        <v>2</v>
      </c>
      <c r="J32" s="60"/>
    </row>
    <row r="33" spans="1:10" ht="16.8" x14ac:dyDescent="0.3">
      <c r="A33" s="99" t="s">
        <v>12</v>
      </c>
      <c r="B33" s="72">
        <v>2</v>
      </c>
      <c r="C33" s="100" t="s">
        <v>169</v>
      </c>
      <c r="D33" s="101" t="str">
        <f>VLOOKUP(C33,'Personal File'!$A$10:$C$15,3,FALSE)</f>
        <v>+3</v>
      </c>
      <c r="E33" s="102" t="str">
        <f t="shared" si="0"/>
        <v>Dex (+3)</v>
      </c>
      <c r="F33" s="76" t="s">
        <v>50</v>
      </c>
      <c r="G33" s="76">
        <f t="shared" si="1"/>
        <v>5</v>
      </c>
      <c r="H33" s="391">
        <f t="shared" ca="1" si="2"/>
        <v>7</v>
      </c>
      <c r="I33" s="76">
        <f t="shared" ca="1" si="5"/>
        <v>12</v>
      </c>
      <c r="J33" s="77"/>
    </row>
    <row r="34" spans="1:10" ht="16.8" x14ac:dyDescent="0.3">
      <c r="A34" s="55" t="s">
        <v>13</v>
      </c>
      <c r="B34" s="50">
        <v>0</v>
      </c>
      <c r="C34" s="56" t="s">
        <v>171</v>
      </c>
      <c r="D34" s="57" t="str">
        <f>VLOOKUP(C34,'Personal File'!$A$10:$C$15,3,FALSE)</f>
        <v>+2</v>
      </c>
      <c r="E34" s="58" t="str">
        <f t="shared" si="0"/>
        <v>Int (+2)</v>
      </c>
      <c r="F34" s="59" t="s">
        <v>50</v>
      </c>
      <c r="G34" s="59">
        <f t="shared" si="1"/>
        <v>2</v>
      </c>
      <c r="H34" s="391">
        <f t="shared" ca="1" si="2"/>
        <v>14</v>
      </c>
      <c r="I34" s="59">
        <f t="shared" ca="1" si="5"/>
        <v>16</v>
      </c>
      <c r="J34" s="60"/>
    </row>
    <row r="35" spans="1:10" ht="16.8" x14ac:dyDescent="0.3">
      <c r="A35" s="91" t="s">
        <v>43</v>
      </c>
      <c r="B35" s="72">
        <v>1</v>
      </c>
      <c r="C35" s="92" t="s">
        <v>172</v>
      </c>
      <c r="D35" s="93" t="str">
        <f>VLOOKUP(C35,'Personal File'!$A$10:$C$15,3,FALSE)</f>
        <v>+0</v>
      </c>
      <c r="E35" s="94" t="str">
        <f t="shared" si="0"/>
        <v>Wis (+0)</v>
      </c>
      <c r="F35" s="76" t="s">
        <v>50</v>
      </c>
      <c r="G35" s="76">
        <f t="shared" si="1"/>
        <v>1</v>
      </c>
      <c r="H35" s="391">
        <f t="shared" ca="1" si="2"/>
        <v>19</v>
      </c>
      <c r="I35" s="76">
        <f t="shared" ca="1" si="5"/>
        <v>20</v>
      </c>
      <c r="J35" s="77"/>
    </row>
    <row r="36" spans="1:10" ht="16.8" x14ac:dyDescent="0.3">
      <c r="A36" s="91"/>
      <c r="B36" s="72"/>
      <c r="C36" s="92"/>
      <c r="D36" s="93"/>
      <c r="E36" s="94"/>
      <c r="F36" s="76"/>
      <c r="G36" s="76"/>
      <c r="H36" s="391"/>
      <c r="I36" s="76"/>
      <c r="J36" s="77"/>
    </row>
    <row r="37" spans="1:10" ht="16.8" x14ac:dyDescent="0.3">
      <c r="A37" s="95" t="s">
        <v>66</v>
      </c>
      <c r="B37" s="84">
        <v>0</v>
      </c>
      <c r="C37" s="96" t="s">
        <v>169</v>
      </c>
      <c r="D37" s="97" t="str">
        <f>VLOOKUP(C37,'Personal File'!$A$10:$C$15,3,FALSE)</f>
        <v>+3</v>
      </c>
      <c r="E37" s="98" t="str">
        <f t="shared" si="0"/>
        <v>Dex (+3)</v>
      </c>
      <c r="F37" s="88" t="s">
        <v>218</v>
      </c>
      <c r="G37" s="88">
        <f t="shared" si="1"/>
        <v>2</v>
      </c>
      <c r="H37" s="391">
        <f t="shared" ca="1" si="2"/>
        <v>1</v>
      </c>
      <c r="I37" s="88">
        <f t="shared" ca="1" si="5"/>
        <v>3</v>
      </c>
      <c r="J37" s="89"/>
    </row>
    <row r="38" spans="1:10" ht="16.8" x14ac:dyDescent="0.3">
      <c r="A38" s="83" t="s">
        <v>88</v>
      </c>
      <c r="B38" s="84">
        <v>0</v>
      </c>
      <c r="C38" s="85" t="s">
        <v>171</v>
      </c>
      <c r="D38" s="86" t="str">
        <f>VLOOKUP(C38,'Personal File'!$A$10:$C$15,3,FALSE)</f>
        <v>+2</v>
      </c>
      <c r="E38" s="87" t="str">
        <f t="shared" si="0"/>
        <v>Int (+2)</v>
      </c>
      <c r="F38" s="88" t="s">
        <v>50</v>
      </c>
      <c r="G38" s="88">
        <f t="shared" ref="G38" si="10">B38+D38+F38</f>
        <v>2</v>
      </c>
      <c r="H38" s="391">
        <f t="shared" ca="1" si="2"/>
        <v>3</v>
      </c>
      <c r="I38" s="88">
        <f t="shared" ref="I38" ca="1" si="11">SUM(G38:H38)</f>
        <v>5</v>
      </c>
      <c r="J38" s="155"/>
    </row>
    <row r="39" spans="1:10" ht="16.8" x14ac:dyDescent="0.3">
      <c r="A39" s="79" t="s">
        <v>44</v>
      </c>
      <c r="B39" s="72">
        <v>3</v>
      </c>
      <c r="C39" s="80" t="s">
        <v>171</v>
      </c>
      <c r="D39" s="81" t="str">
        <f>VLOOKUP(C39,'Personal File'!$A$10:$C$15,3,FALSE)</f>
        <v>+2</v>
      </c>
      <c r="E39" s="82" t="str">
        <f t="shared" si="0"/>
        <v>Int (+2)</v>
      </c>
      <c r="F39" s="76" t="s">
        <v>50</v>
      </c>
      <c r="G39" s="76">
        <f t="shared" ref="G39" si="12">B39+D39+F39</f>
        <v>5</v>
      </c>
      <c r="H39" s="391">
        <f t="shared" ca="1" si="2"/>
        <v>12</v>
      </c>
      <c r="I39" s="76">
        <f t="shared" ref="I39" ca="1" si="13">SUM(G39:H39)</f>
        <v>17</v>
      </c>
      <c r="J39" s="107"/>
    </row>
    <row r="40" spans="1:10" ht="16.8" x14ac:dyDescent="0.3">
      <c r="A40" s="103" t="s">
        <v>45</v>
      </c>
      <c r="B40" s="50">
        <v>0</v>
      </c>
      <c r="C40" s="104" t="s">
        <v>172</v>
      </c>
      <c r="D40" s="105" t="str">
        <f>VLOOKUP(C40,'Personal File'!$A$10:$C$15,3,FALSE)</f>
        <v>+0</v>
      </c>
      <c r="E40" s="106" t="str">
        <f t="shared" si="0"/>
        <v>Wis (+0)</v>
      </c>
      <c r="F40" s="59" t="s">
        <v>71</v>
      </c>
      <c r="G40" s="59">
        <f t="shared" si="1"/>
        <v>2</v>
      </c>
      <c r="H40" s="391">
        <f t="shared" ca="1" si="2"/>
        <v>16</v>
      </c>
      <c r="I40" s="59">
        <f t="shared" ca="1" si="5"/>
        <v>18</v>
      </c>
      <c r="J40" s="60"/>
    </row>
    <row r="41" spans="1:10" ht="16.8" x14ac:dyDescent="0.3">
      <c r="A41" s="103" t="s">
        <v>67</v>
      </c>
      <c r="B41" s="50">
        <v>0</v>
      </c>
      <c r="C41" s="104" t="s">
        <v>172</v>
      </c>
      <c r="D41" s="105" t="str">
        <f>VLOOKUP(C41,'Personal File'!$A$10:$C$15,3,FALSE)</f>
        <v>+0</v>
      </c>
      <c r="E41" s="106" t="str">
        <f t="shared" si="0"/>
        <v>Wis (+0)</v>
      </c>
      <c r="F41" s="59" t="s">
        <v>50</v>
      </c>
      <c r="G41" s="59">
        <f t="shared" si="1"/>
        <v>0</v>
      </c>
      <c r="H41" s="391">
        <f t="shared" ca="1" si="2"/>
        <v>7</v>
      </c>
      <c r="I41" s="59">
        <f t="shared" ca="1" si="5"/>
        <v>7</v>
      </c>
      <c r="J41" s="60"/>
    </row>
    <row r="42" spans="1:10" ht="16.8" x14ac:dyDescent="0.3">
      <c r="A42" s="71" t="s">
        <v>14</v>
      </c>
      <c r="B42" s="72">
        <v>1</v>
      </c>
      <c r="C42" s="73" t="s">
        <v>168</v>
      </c>
      <c r="D42" s="74" t="str">
        <f>VLOOKUP(C42,'Personal File'!$A$10:$C$15,3,FALSE)</f>
        <v>+2</v>
      </c>
      <c r="E42" s="75" t="str">
        <f t="shared" si="0"/>
        <v>Str (+2)</v>
      </c>
      <c r="F42" s="76" t="s">
        <v>50</v>
      </c>
      <c r="G42" s="76">
        <f t="shared" si="1"/>
        <v>3</v>
      </c>
      <c r="H42" s="391">
        <f t="shared" ca="1" si="2"/>
        <v>20</v>
      </c>
      <c r="I42" s="76">
        <f t="shared" ca="1" si="5"/>
        <v>23</v>
      </c>
      <c r="J42" s="77"/>
    </row>
    <row r="43" spans="1:10" ht="16.8" x14ac:dyDescent="0.3">
      <c r="A43" s="62" t="s">
        <v>46</v>
      </c>
      <c r="B43" s="50">
        <v>0</v>
      </c>
      <c r="C43" s="63" t="s">
        <v>169</v>
      </c>
      <c r="D43" s="64" t="str">
        <f>VLOOKUP(C43,'Personal File'!$A$10:$C$15,3,FALSE)</f>
        <v>+3</v>
      </c>
      <c r="E43" s="52" t="str">
        <f t="shared" si="0"/>
        <v>Dex (+3)</v>
      </c>
      <c r="F43" s="59" t="s">
        <v>218</v>
      </c>
      <c r="G43" s="59">
        <f t="shared" si="1"/>
        <v>2</v>
      </c>
      <c r="H43" s="391">
        <f t="shared" ca="1" si="2"/>
        <v>8</v>
      </c>
      <c r="I43" s="59">
        <f t="shared" ca="1" si="5"/>
        <v>10</v>
      </c>
      <c r="J43" s="60"/>
    </row>
    <row r="44" spans="1:10" ht="16.8" x14ac:dyDescent="0.3">
      <c r="A44" s="66" t="s">
        <v>47</v>
      </c>
      <c r="B44" s="50">
        <v>0</v>
      </c>
      <c r="C44" s="67" t="s">
        <v>173</v>
      </c>
      <c r="D44" s="68" t="str">
        <f>VLOOKUP(C44,'Personal File'!$A$10:$C$15,3,FALSE)</f>
        <v>+0</v>
      </c>
      <c r="E44" s="69" t="str">
        <f t="shared" si="0"/>
        <v>Cha (+0)</v>
      </c>
      <c r="F44" s="59" t="s">
        <v>50</v>
      </c>
      <c r="G44" s="59">
        <f t="shared" si="1"/>
        <v>0</v>
      </c>
      <c r="H44" s="391">
        <f t="shared" ca="1" si="2"/>
        <v>10</v>
      </c>
      <c r="I44" s="59">
        <f t="shared" ca="1" si="5"/>
        <v>10</v>
      </c>
      <c r="J44" s="60"/>
    </row>
    <row r="45" spans="1:10" ht="17.399999999999999" thickBot="1" x14ac:dyDescent="0.35">
      <c r="A45" s="156" t="s">
        <v>48</v>
      </c>
      <c r="B45" s="157">
        <v>0</v>
      </c>
      <c r="C45" s="158" t="s">
        <v>169</v>
      </c>
      <c r="D45" s="159" t="str">
        <f>VLOOKUP(C45,'Personal File'!$A$10:$C$15,3,FALSE)</f>
        <v>+3</v>
      </c>
      <c r="E45" s="160" t="str">
        <f t="shared" si="0"/>
        <v>Dex (+3)</v>
      </c>
      <c r="F45" s="161" t="s">
        <v>50</v>
      </c>
      <c r="G45" s="161">
        <f t="shared" si="1"/>
        <v>3</v>
      </c>
      <c r="H45" s="392">
        <f t="shared" ca="1" si="2"/>
        <v>4</v>
      </c>
      <c r="I45" s="161">
        <f t="shared" ca="1" si="5"/>
        <v>7</v>
      </c>
      <c r="J45" s="162"/>
    </row>
    <row r="46" spans="1:10" ht="16.2" thickTop="1" x14ac:dyDescent="0.3">
      <c r="B46" s="199">
        <f>SUM(B6:B45)</f>
        <v>28</v>
      </c>
      <c r="E46" s="199">
        <f>SUM(E47:E50)</f>
        <v>28</v>
      </c>
      <c r="F46" s="109" t="s">
        <v>51</v>
      </c>
    </row>
    <row r="47" spans="1:10" x14ac:dyDescent="0.3">
      <c r="E47" s="150">
        <f>4*(2+'Personal File'!$C$13)</f>
        <v>16</v>
      </c>
      <c r="F47" s="111" t="s">
        <v>89</v>
      </c>
    </row>
    <row r="48" spans="1:10" x14ac:dyDescent="0.3">
      <c r="B48" s="108"/>
      <c r="E48" s="150">
        <f>2+'Personal File'!$C$13</f>
        <v>4</v>
      </c>
      <c r="F48" s="111" t="s">
        <v>90</v>
      </c>
    </row>
    <row r="49" spans="2:6" x14ac:dyDescent="0.3">
      <c r="B49" s="108"/>
      <c r="E49" s="150">
        <f>2+'Personal File'!$C$13</f>
        <v>4</v>
      </c>
      <c r="F49" s="111" t="s">
        <v>91</v>
      </c>
    </row>
    <row r="50" spans="2:6" x14ac:dyDescent="0.3">
      <c r="B50" s="108"/>
      <c r="E50" s="150">
        <f>2+'Personal File'!$C$13</f>
        <v>4</v>
      </c>
      <c r="F50" s="111" t="s">
        <v>92</v>
      </c>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2"/>
  <sheetViews>
    <sheetView showGridLines="0" zoomScaleNormal="100" workbookViewId="0">
      <pane ySplit="2" topLeftCell="A3" activePane="bottomLeft" state="frozen"/>
      <selection pane="bottomLeft" activeCell="A3" sqref="A3"/>
    </sheetView>
  </sheetViews>
  <sheetFormatPr defaultColWidth="18.19921875" defaultRowHeight="15.6" x14ac:dyDescent="0.3"/>
  <cols>
    <col min="1" max="1" width="16.59765625" style="180" bestFit="1" customWidth="1"/>
    <col min="2" max="2" width="6.19921875" style="180" bestFit="1" customWidth="1"/>
    <col min="3" max="3" width="13.59765625" style="181" bestFit="1" customWidth="1"/>
    <col min="4" max="4" width="11.296875" style="181" bestFit="1" customWidth="1"/>
    <col min="5" max="5" width="7.296875" style="181" bestFit="1" customWidth="1"/>
    <col min="6" max="6" width="13.19921875" style="181" bestFit="1" customWidth="1"/>
    <col min="7" max="7" width="9.796875" style="181" bestFit="1" customWidth="1"/>
    <col min="8" max="8" width="10.19921875" style="180" bestFit="1" customWidth="1"/>
    <col min="9" max="9" width="5.796875" style="179" bestFit="1" customWidth="1"/>
    <col min="10" max="10" width="4.8984375" style="179" bestFit="1" customWidth="1"/>
    <col min="11" max="16384" width="18.19921875" style="179"/>
  </cols>
  <sheetData>
    <row r="1" spans="1:10" ht="23.4" thickBot="1" x14ac:dyDescent="0.45">
      <c r="A1" s="285" t="s">
        <v>117</v>
      </c>
      <c r="B1" s="189"/>
      <c r="C1" s="189"/>
      <c r="D1" s="189"/>
      <c r="E1" s="189"/>
      <c r="F1" s="189"/>
      <c r="G1" s="189"/>
      <c r="H1" s="189"/>
    </row>
    <row r="2" spans="1:10" s="206" customFormat="1" ht="16.8" x14ac:dyDescent="0.3">
      <c r="A2" s="280" t="s">
        <v>116</v>
      </c>
      <c r="B2" s="281" t="s">
        <v>83</v>
      </c>
      <c r="C2" s="281" t="s">
        <v>115</v>
      </c>
      <c r="D2" s="282" t="s">
        <v>114</v>
      </c>
      <c r="E2" s="282" t="s">
        <v>113</v>
      </c>
      <c r="F2" s="281" t="s">
        <v>112</v>
      </c>
      <c r="G2" s="281" t="s">
        <v>111</v>
      </c>
      <c r="H2" s="283" t="s">
        <v>120</v>
      </c>
      <c r="I2" s="284" t="s">
        <v>121</v>
      </c>
      <c r="J2" s="380" t="s">
        <v>188</v>
      </c>
    </row>
    <row r="3" spans="1:10" s="188" customFormat="1" ht="16.8" x14ac:dyDescent="0.3">
      <c r="A3" s="286" t="s">
        <v>219</v>
      </c>
      <c r="B3" s="184">
        <v>0</v>
      </c>
      <c r="C3" s="207" t="s">
        <v>225</v>
      </c>
      <c r="D3" s="183" t="s">
        <v>147</v>
      </c>
      <c r="E3" s="208" t="s">
        <v>103</v>
      </c>
      <c r="F3" s="190" t="s">
        <v>136</v>
      </c>
      <c r="G3" s="190" t="s">
        <v>138</v>
      </c>
      <c r="H3" s="190" t="s">
        <v>118</v>
      </c>
      <c r="I3" s="191">
        <v>269</v>
      </c>
    </row>
    <row r="4" spans="1:10" ht="16.8" x14ac:dyDescent="0.3">
      <c r="A4" s="286" t="s">
        <v>220</v>
      </c>
      <c r="B4" s="184">
        <v>0</v>
      </c>
      <c r="C4" s="187" t="s">
        <v>225</v>
      </c>
      <c r="D4" s="183" t="s">
        <v>104</v>
      </c>
      <c r="E4" s="185" t="s">
        <v>103</v>
      </c>
      <c r="F4" s="185" t="s">
        <v>226</v>
      </c>
      <c r="G4" s="185" t="s">
        <v>135</v>
      </c>
      <c r="H4" s="190" t="s">
        <v>118</v>
      </c>
      <c r="I4" s="191">
        <v>219</v>
      </c>
    </row>
    <row r="5" spans="1:10" ht="16.8" x14ac:dyDescent="0.3">
      <c r="A5" s="286" t="s">
        <v>221</v>
      </c>
      <c r="B5" s="184">
        <v>0</v>
      </c>
      <c r="C5" s="187" t="s">
        <v>105</v>
      </c>
      <c r="D5" s="186" t="s">
        <v>123</v>
      </c>
      <c r="E5" s="185" t="s">
        <v>103</v>
      </c>
      <c r="F5" s="185" t="s">
        <v>109</v>
      </c>
      <c r="G5" s="185" t="s">
        <v>101</v>
      </c>
      <c r="H5" s="190" t="s">
        <v>118</v>
      </c>
      <c r="I5" s="191">
        <v>232</v>
      </c>
    </row>
    <row r="6" spans="1:10" ht="16.8" x14ac:dyDescent="0.3">
      <c r="A6" s="286" t="s">
        <v>134</v>
      </c>
      <c r="B6" s="184">
        <v>0</v>
      </c>
      <c r="C6" s="209" t="s">
        <v>110</v>
      </c>
      <c r="D6" s="183" t="s">
        <v>104</v>
      </c>
      <c r="E6" s="208" t="s">
        <v>103</v>
      </c>
      <c r="F6" s="190" t="s">
        <v>109</v>
      </c>
      <c r="G6" s="190" t="s">
        <v>101</v>
      </c>
      <c r="H6" s="190" t="s">
        <v>118</v>
      </c>
      <c r="I6" s="191">
        <v>196</v>
      </c>
    </row>
    <row r="7" spans="1:10" ht="16.8" x14ac:dyDescent="0.3">
      <c r="A7" s="286" t="s">
        <v>222</v>
      </c>
      <c r="B7" s="184">
        <v>0</v>
      </c>
      <c r="C7" s="209" t="s">
        <v>122</v>
      </c>
      <c r="D7" s="183" t="s">
        <v>147</v>
      </c>
      <c r="E7" s="208" t="s">
        <v>103</v>
      </c>
      <c r="F7" s="190" t="s">
        <v>102</v>
      </c>
      <c r="G7" s="190" t="s">
        <v>138</v>
      </c>
      <c r="H7" s="190" t="s">
        <v>118</v>
      </c>
      <c r="I7" s="191">
        <v>253</v>
      </c>
    </row>
    <row r="8" spans="1:10" ht="16.8" x14ac:dyDescent="0.3">
      <c r="A8" s="287" t="s">
        <v>223</v>
      </c>
      <c r="B8" s="182">
        <v>0</v>
      </c>
      <c r="C8" s="242" t="s">
        <v>139</v>
      </c>
      <c r="D8" s="243" t="s">
        <v>137</v>
      </c>
      <c r="E8" s="244" t="s">
        <v>103</v>
      </c>
      <c r="F8" s="244" t="s">
        <v>108</v>
      </c>
      <c r="G8" s="244" t="s">
        <v>227</v>
      </c>
      <c r="H8" s="192" t="s">
        <v>118</v>
      </c>
      <c r="I8" s="193">
        <v>272</v>
      </c>
    </row>
    <row r="9" spans="1:10" ht="16.8" x14ac:dyDescent="0.3">
      <c r="A9" s="286" t="s">
        <v>224</v>
      </c>
      <c r="B9" s="184">
        <v>1</v>
      </c>
      <c r="C9" s="209" t="s">
        <v>126</v>
      </c>
      <c r="D9" s="183" t="s">
        <v>104</v>
      </c>
      <c r="E9" s="208" t="s">
        <v>106</v>
      </c>
      <c r="F9" s="190" t="s">
        <v>108</v>
      </c>
      <c r="G9" s="190" t="s">
        <v>107</v>
      </c>
      <c r="H9" s="190" t="s">
        <v>119</v>
      </c>
      <c r="I9" s="191">
        <v>103</v>
      </c>
    </row>
    <row r="10" spans="1:10" ht="16.8" x14ac:dyDescent="0.3">
      <c r="A10" s="286" t="s">
        <v>255</v>
      </c>
      <c r="B10" s="184">
        <v>1</v>
      </c>
      <c r="C10" s="209" t="s">
        <v>105</v>
      </c>
      <c r="D10" s="183" t="s">
        <v>104</v>
      </c>
      <c r="E10" s="208" t="s">
        <v>103</v>
      </c>
      <c r="F10" s="190" t="s">
        <v>108</v>
      </c>
      <c r="G10" s="190" t="s">
        <v>101</v>
      </c>
      <c r="H10" s="190" t="s">
        <v>118</v>
      </c>
      <c r="I10" s="191">
        <v>279</v>
      </c>
    </row>
    <row r="11" spans="1:10" ht="17.399999999999999" thickBot="1" x14ac:dyDescent="0.35">
      <c r="A11" s="371" t="s">
        <v>256</v>
      </c>
      <c r="B11" s="372">
        <v>1</v>
      </c>
      <c r="C11" s="481" t="s">
        <v>257</v>
      </c>
      <c r="D11" s="482" t="s">
        <v>258</v>
      </c>
      <c r="E11" s="483" t="s">
        <v>103</v>
      </c>
      <c r="F11" s="483" t="s">
        <v>136</v>
      </c>
      <c r="G11" s="483" t="s">
        <v>259</v>
      </c>
      <c r="H11" s="483" t="s">
        <v>118</v>
      </c>
      <c r="I11" s="484">
        <v>296</v>
      </c>
    </row>
    <row r="12" spans="1:10" ht="16.2" thickTop="1" x14ac:dyDescent="0.3"/>
  </sheetData>
  <sortState xmlns:xlrd2="http://schemas.microsoft.com/office/spreadsheetml/2017/richdata2" ref="A3:I8">
    <sortCondition ref="B3:B8"/>
    <sortCondition ref="A3:A8"/>
  </sortState>
  <printOptions gridLinesSet="0"/>
  <pageMargins left="0.62" right="0.33" top="0.5" bottom="0.63" header="0.5" footer="0.5"/>
  <pageSetup orientation="portrait" horizontalDpi="120" verticalDpi="144"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34"/>
  <sheetViews>
    <sheetView showGridLines="0" workbookViewId="0"/>
  </sheetViews>
  <sheetFormatPr defaultColWidth="9.59765625" defaultRowHeight="16.8" x14ac:dyDescent="0.3"/>
  <cols>
    <col min="1" max="1" width="28.796875" style="114" bestFit="1" customWidth="1"/>
    <col min="2" max="2" width="2.19921875" style="113" customWidth="1"/>
    <col min="3" max="3" width="27.5" style="113" bestFit="1" customWidth="1"/>
    <col min="4" max="4" width="2.3984375" style="113" customWidth="1"/>
    <col min="5" max="5" width="16.3984375" style="113" bestFit="1" customWidth="1"/>
    <col min="6" max="11" width="3.796875" style="113" customWidth="1"/>
    <col min="12" max="16384" width="9.59765625" style="113"/>
  </cols>
  <sheetData>
    <row r="1" spans="1:11" ht="22.2" thickTop="1" thickBot="1" x14ac:dyDescent="0.35">
      <c r="A1" s="210" t="s">
        <v>69</v>
      </c>
      <c r="C1" s="466" t="s">
        <v>93</v>
      </c>
      <c r="E1" s="108"/>
      <c r="F1" s="261" t="s">
        <v>154</v>
      </c>
      <c r="G1" s="262"/>
      <c r="H1" s="263"/>
      <c r="I1" s="263"/>
      <c r="J1" s="263"/>
      <c r="K1" s="264"/>
    </row>
    <row r="2" spans="1:11" ht="17.399999999999999" thickBot="1" x14ac:dyDescent="0.35">
      <c r="A2" s="323" t="s">
        <v>208</v>
      </c>
      <c r="C2" s="467" t="s">
        <v>246</v>
      </c>
      <c r="E2" s="405"/>
      <c r="F2" s="265" t="s">
        <v>148</v>
      </c>
      <c r="G2" s="266" t="s">
        <v>129</v>
      </c>
      <c r="H2" s="266" t="s">
        <v>130</v>
      </c>
      <c r="I2" s="266" t="s">
        <v>131</v>
      </c>
      <c r="J2" s="266" t="s">
        <v>132</v>
      </c>
      <c r="K2" s="267" t="s">
        <v>133</v>
      </c>
    </row>
    <row r="3" spans="1:11" ht="17.399999999999999" thickTop="1" x14ac:dyDescent="0.3">
      <c r="A3" s="323" t="s">
        <v>209</v>
      </c>
      <c r="C3" s="468" t="s">
        <v>247</v>
      </c>
      <c r="E3" s="268" t="s">
        <v>158</v>
      </c>
      <c r="F3" s="269">
        <v>6</v>
      </c>
      <c r="G3" s="270">
        <v>5</v>
      </c>
      <c r="H3" s="433">
        <v>0</v>
      </c>
      <c r="I3" s="433">
        <v>0</v>
      </c>
      <c r="J3" s="433">
        <v>0</v>
      </c>
      <c r="K3" s="434">
        <v>0</v>
      </c>
    </row>
    <row r="4" spans="1:11" ht="17.399999999999999" thickBot="1" x14ac:dyDescent="0.35">
      <c r="A4" s="469" t="s">
        <v>210</v>
      </c>
      <c r="C4" s="469" t="s">
        <v>248</v>
      </c>
      <c r="E4" s="271" t="s">
        <v>153</v>
      </c>
      <c r="F4" s="272">
        <v>0</v>
      </c>
      <c r="G4" s="272">
        <v>1</v>
      </c>
      <c r="H4" s="435">
        <v>1</v>
      </c>
      <c r="I4" s="435">
        <v>1</v>
      </c>
      <c r="J4" s="435">
        <v>0</v>
      </c>
      <c r="K4" s="436">
        <v>0</v>
      </c>
    </row>
    <row r="5" spans="1:11" ht="18" thickTop="1" thickBot="1" x14ac:dyDescent="0.35">
      <c r="E5" s="273" t="s">
        <v>149</v>
      </c>
      <c r="F5" s="274">
        <f t="shared" ref="F5:G5" si="0">SUM(F3:F4)</f>
        <v>6</v>
      </c>
      <c r="G5" s="274">
        <f t="shared" si="0"/>
        <v>6</v>
      </c>
      <c r="H5" s="274">
        <v>0</v>
      </c>
      <c r="I5" s="274">
        <v>0</v>
      </c>
      <c r="J5" s="274">
        <v>0</v>
      </c>
      <c r="K5" s="370">
        <v>0</v>
      </c>
    </row>
    <row r="6" spans="1:11" ht="22.2" thickTop="1" thickBot="1" x14ac:dyDescent="0.35">
      <c r="A6" s="210" t="s">
        <v>82</v>
      </c>
      <c r="C6" s="212" t="s">
        <v>57</v>
      </c>
      <c r="E6" s="275" t="s">
        <v>99</v>
      </c>
      <c r="F6" s="276">
        <f>10+LEFT(F2,1)+'Personal File'!$C$13</f>
        <v>12</v>
      </c>
      <c r="G6" s="276">
        <f>10+LEFT(G2,1)+'Personal File'!$C$13</f>
        <v>13</v>
      </c>
      <c r="H6" s="437">
        <f>10+LEFT(H2,1)+'Personal File'!$C$13</f>
        <v>14</v>
      </c>
      <c r="I6" s="437">
        <f>10+LEFT(I2,1)+'Personal File'!$C$13</f>
        <v>15</v>
      </c>
      <c r="J6" s="437">
        <f>10+LEFT(J2,1)+'Personal File'!$C$13</f>
        <v>16</v>
      </c>
      <c r="K6" s="438">
        <f>10+LEFT(K2,1)+'Personal File'!$C$13</f>
        <v>17</v>
      </c>
    </row>
    <row r="7" spans="1:11" ht="17.399999999999999" thickBot="1" x14ac:dyDescent="0.35">
      <c r="A7" s="385" t="s">
        <v>94</v>
      </c>
      <c r="C7" s="323" t="s">
        <v>196</v>
      </c>
      <c r="E7" s="277" t="s">
        <v>100</v>
      </c>
      <c r="F7" s="278">
        <v>0</v>
      </c>
      <c r="G7" s="278">
        <v>1</v>
      </c>
      <c r="H7" s="278">
        <v>0</v>
      </c>
      <c r="I7" s="278">
        <v>0</v>
      </c>
      <c r="J7" s="278">
        <v>0</v>
      </c>
      <c r="K7" s="369">
        <v>0</v>
      </c>
    </row>
    <row r="8" spans="1:11" ht="18" thickTop="1" thickBot="1" x14ac:dyDescent="0.35">
      <c r="A8" s="386" t="s">
        <v>215</v>
      </c>
      <c r="C8" s="115" t="s">
        <v>207</v>
      </c>
      <c r="E8" s="279"/>
      <c r="F8" s="279"/>
      <c r="G8" s="279"/>
      <c r="H8" s="279"/>
      <c r="I8" s="279"/>
      <c r="J8" s="279"/>
      <c r="K8" s="279"/>
    </row>
    <row r="9" spans="1:11" ht="18" thickTop="1" thickBot="1" x14ac:dyDescent="0.35">
      <c r="A9" s="387" t="s">
        <v>161</v>
      </c>
      <c r="E9" s="324" t="s">
        <v>150</v>
      </c>
      <c r="F9" s="325" t="s">
        <v>151</v>
      </c>
      <c r="G9" s="325"/>
      <c r="H9" s="326" t="s">
        <v>152</v>
      </c>
      <c r="I9" s="326"/>
      <c r="J9" s="327"/>
      <c r="K9" s="279"/>
    </row>
    <row r="10" spans="1:11" ht="22.2" thickTop="1" thickBot="1" x14ac:dyDescent="0.35">
      <c r="A10" s="387" t="s">
        <v>95</v>
      </c>
      <c r="C10" s="211" t="s">
        <v>96</v>
      </c>
      <c r="E10" s="328" t="s">
        <v>85</v>
      </c>
      <c r="F10" s="329">
        <f>'Personal File'!E3</f>
        <v>4</v>
      </c>
      <c r="G10" s="329"/>
      <c r="H10" s="330">
        <f>'Personal File'!E3</f>
        <v>4</v>
      </c>
      <c r="I10" s="329"/>
      <c r="J10" s="331"/>
      <c r="K10" s="279"/>
    </row>
    <row r="11" spans="1:11" x14ac:dyDescent="0.3">
      <c r="A11" s="387" t="s">
        <v>211</v>
      </c>
      <c r="C11" s="332" t="s">
        <v>97</v>
      </c>
    </row>
    <row r="12" spans="1:11" ht="23.4" thickBot="1" x14ac:dyDescent="0.35">
      <c r="A12" s="442" t="s">
        <v>217</v>
      </c>
      <c r="C12" s="337" t="s">
        <v>98</v>
      </c>
      <c r="E12" s="362" t="s">
        <v>190</v>
      </c>
      <c r="F12" s="205"/>
      <c r="G12" s="205"/>
      <c r="H12" s="205"/>
      <c r="I12" s="205"/>
      <c r="J12" s="205"/>
      <c r="K12" s="205"/>
    </row>
    <row r="13" spans="1:11" ht="18" thickTop="1" thickBot="1" x14ac:dyDescent="0.35">
      <c r="A13" s="443" t="s">
        <v>216</v>
      </c>
      <c r="C13" s="115" t="s">
        <v>70</v>
      </c>
      <c r="E13" s="333" t="s">
        <v>83</v>
      </c>
      <c r="F13" s="334">
        <v>0</v>
      </c>
      <c r="G13" s="335" t="s">
        <v>129</v>
      </c>
      <c r="H13" s="335" t="s">
        <v>130</v>
      </c>
      <c r="I13" s="335" t="s">
        <v>131</v>
      </c>
      <c r="J13" s="335" t="s">
        <v>132</v>
      </c>
      <c r="K13" s="336" t="s">
        <v>133</v>
      </c>
    </row>
    <row r="14" spans="1:11" ht="17.399999999999999" thickTop="1" x14ac:dyDescent="0.3">
      <c r="E14" s="338">
        <v>1</v>
      </c>
      <c r="F14" s="339">
        <f>2+'Personal File'!C13</f>
        <v>4</v>
      </c>
      <c r="G14" s="367">
        <v>1</v>
      </c>
      <c r="H14" s="341"/>
      <c r="I14" s="341"/>
      <c r="J14" s="341"/>
      <c r="K14" s="342"/>
    </row>
    <row r="15" spans="1:11" x14ac:dyDescent="0.3">
      <c r="E15" s="343">
        <v>2</v>
      </c>
      <c r="F15" s="344">
        <f t="shared" ref="F15" si="1">F14</f>
        <v>4</v>
      </c>
      <c r="G15" s="367">
        <v>2</v>
      </c>
      <c r="H15" s="345"/>
      <c r="I15" s="345"/>
      <c r="J15" s="345"/>
      <c r="K15" s="346"/>
    </row>
    <row r="16" spans="1:11" x14ac:dyDescent="0.3">
      <c r="E16" s="343">
        <v>3</v>
      </c>
      <c r="F16" s="344">
        <f t="shared" ref="F16" si="2">F15</f>
        <v>4</v>
      </c>
      <c r="G16" s="367">
        <v>3</v>
      </c>
      <c r="H16" s="345"/>
      <c r="I16" s="345"/>
      <c r="J16" s="345"/>
      <c r="K16" s="346"/>
    </row>
    <row r="17" spans="5:11" x14ac:dyDescent="0.3">
      <c r="E17" s="439">
        <v>4</v>
      </c>
      <c r="F17" s="440">
        <v>6</v>
      </c>
      <c r="G17" s="441">
        <v>4</v>
      </c>
      <c r="H17" s="345"/>
      <c r="I17" s="345"/>
      <c r="J17" s="345"/>
      <c r="K17" s="346"/>
    </row>
    <row r="18" spans="5:11" x14ac:dyDescent="0.3">
      <c r="E18" s="343">
        <v>5</v>
      </c>
      <c r="F18" s="344">
        <f t="shared" ref="F18:F32" si="3">F17</f>
        <v>6</v>
      </c>
      <c r="G18" s="367">
        <f t="shared" ref="G18:G20" si="4">F18-1</f>
        <v>5</v>
      </c>
      <c r="H18" s="340">
        <v>2</v>
      </c>
      <c r="I18" s="345"/>
      <c r="J18" s="345"/>
      <c r="K18" s="346"/>
    </row>
    <row r="19" spans="5:11" x14ac:dyDescent="0.3">
      <c r="E19" s="343">
        <v>6</v>
      </c>
      <c r="F19" s="344">
        <f t="shared" si="3"/>
        <v>6</v>
      </c>
      <c r="G19" s="344">
        <f t="shared" si="4"/>
        <v>5</v>
      </c>
      <c r="H19" s="344">
        <v>3</v>
      </c>
      <c r="I19" s="345"/>
      <c r="J19" s="345"/>
      <c r="K19" s="346"/>
    </row>
    <row r="20" spans="5:11" x14ac:dyDescent="0.3">
      <c r="E20" s="343">
        <v>7</v>
      </c>
      <c r="F20" s="344">
        <f t="shared" si="3"/>
        <v>6</v>
      </c>
      <c r="G20" s="367">
        <f t="shared" si="4"/>
        <v>5</v>
      </c>
      <c r="H20" s="340">
        <v>4</v>
      </c>
      <c r="I20" s="345"/>
      <c r="J20" s="345"/>
      <c r="K20" s="346"/>
    </row>
    <row r="21" spans="5:11" x14ac:dyDescent="0.3">
      <c r="E21" s="343">
        <v>8</v>
      </c>
      <c r="F21" s="344">
        <f t="shared" si="3"/>
        <v>6</v>
      </c>
      <c r="G21" s="367">
        <f t="shared" ref="G21:G24" si="5">F21</f>
        <v>6</v>
      </c>
      <c r="H21" s="367">
        <f t="shared" ref="H21:I33" si="6">G21-1</f>
        <v>5</v>
      </c>
      <c r="I21" s="345"/>
      <c r="J21" s="345"/>
      <c r="K21" s="346"/>
    </row>
    <row r="22" spans="5:11" x14ac:dyDescent="0.3">
      <c r="E22" s="343">
        <v>9</v>
      </c>
      <c r="F22" s="344">
        <f t="shared" si="3"/>
        <v>6</v>
      </c>
      <c r="G22" s="367">
        <f t="shared" si="5"/>
        <v>6</v>
      </c>
      <c r="H22" s="367">
        <f t="shared" si="6"/>
        <v>5</v>
      </c>
      <c r="I22" s="340">
        <v>1</v>
      </c>
      <c r="J22" s="345"/>
      <c r="K22" s="346"/>
    </row>
    <row r="23" spans="5:11" x14ac:dyDescent="0.3">
      <c r="E23" s="343">
        <v>10</v>
      </c>
      <c r="F23" s="344">
        <f t="shared" si="3"/>
        <v>6</v>
      </c>
      <c r="G23" s="367">
        <f t="shared" si="5"/>
        <v>6</v>
      </c>
      <c r="H23" s="367">
        <f t="shared" si="6"/>
        <v>5</v>
      </c>
      <c r="I23" s="340">
        <v>2</v>
      </c>
      <c r="J23" s="345"/>
      <c r="K23" s="346"/>
    </row>
    <row r="24" spans="5:11" x14ac:dyDescent="0.3">
      <c r="E24" s="343">
        <v>11</v>
      </c>
      <c r="F24" s="344">
        <f t="shared" si="3"/>
        <v>6</v>
      </c>
      <c r="G24" s="367">
        <f t="shared" si="5"/>
        <v>6</v>
      </c>
      <c r="H24" s="367">
        <f t="shared" si="6"/>
        <v>5</v>
      </c>
      <c r="I24" s="340">
        <v>3</v>
      </c>
      <c r="J24" s="345"/>
      <c r="K24" s="346"/>
    </row>
    <row r="25" spans="5:11" x14ac:dyDescent="0.3">
      <c r="E25" s="343">
        <v>12</v>
      </c>
      <c r="F25" s="344">
        <f t="shared" si="3"/>
        <v>6</v>
      </c>
      <c r="G25" s="367">
        <f t="shared" ref="G25:G33" si="7">F25+1</f>
        <v>7</v>
      </c>
      <c r="H25" s="367">
        <f t="shared" si="6"/>
        <v>6</v>
      </c>
      <c r="I25" s="340">
        <f t="shared" si="6"/>
        <v>5</v>
      </c>
      <c r="J25" s="345"/>
      <c r="K25" s="346"/>
    </row>
    <row r="26" spans="5:11" x14ac:dyDescent="0.3">
      <c r="E26" s="343">
        <v>13</v>
      </c>
      <c r="F26" s="344">
        <f t="shared" si="3"/>
        <v>6</v>
      </c>
      <c r="G26" s="367">
        <f t="shared" si="7"/>
        <v>7</v>
      </c>
      <c r="H26" s="367">
        <f t="shared" si="6"/>
        <v>6</v>
      </c>
      <c r="I26" s="340">
        <f t="shared" si="6"/>
        <v>5</v>
      </c>
      <c r="J26" s="340">
        <v>1</v>
      </c>
      <c r="K26" s="346"/>
    </row>
    <row r="27" spans="5:11" x14ac:dyDescent="0.3">
      <c r="E27" s="343">
        <v>14</v>
      </c>
      <c r="F27" s="344">
        <f t="shared" si="3"/>
        <v>6</v>
      </c>
      <c r="G27" s="367">
        <f t="shared" si="7"/>
        <v>7</v>
      </c>
      <c r="H27" s="367">
        <f t="shared" si="6"/>
        <v>6</v>
      </c>
      <c r="I27" s="340">
        <f t="shared" si="6"/>
        <v>5</v>
      </c>
      <c r="J27" s="340">
        <v>2</v>
      </c>
      <c r="K27" s="346"/>
    </row>
    <row r="28" spans="5:11" x14ac:dyDescent="0.3">
      <c r="E28" s="343">
        <v>15</v>
      </c>
      <c r="F28" s="344">
        <f t="shared" si="3"/>
        <v>6</v>
      </c>
      <c r="G28" s="367">
        <f t="shared" si="7"/>
        <v>7</v>
      </c>
      <c r="H28" s="367">
        <f t="shared" si="6"/>
        <v>6</v>
      </c>
      <c r="I28" s="340">
        <f t="shared" si="6"/>
        <v>5</v>
      </c>
      <c r="J28" s="340">
        <v>3</v>
      </c>
      <c r="K28" s="366"/>
    </row>
    <row r="29" spans="5:11" x14ac:dyDescent="0.3">
      <c r="E29" s="343">
        <v>16</v>
      </c>
      <c r="F29" s="344">
        <f t="shared" si="3"/>
        <v>6</v>
      </c>
      <c r="G29" s="367">
        <f t="shared" si="7"/>
        <v>7</v>
      </c>
      <c r="H29" s="367">
        <f t="shared" si="6"/>
        <v>6</v>
      </c>
      <c r="I29" s="340">
        <f t="shared" si="6"/>
        <v>5</v>
      </c>
      <c r="J29" s="340">
        <f t="shared" ref="J29" si="8">I29-1</f>
        <v>4</v>
      </c>
      <c r="K29" s="363"/>
    </row>
    <row r="30" spans="5:11" x14ac:dyDescent="0.3">
      <c r="E30" s="343">
        <v>17</v>
      </c>
      <c r="F30" s="344">
        <f t="shared" si="3"/>
        <v>6</v>
      </c>
      <c r="G30" s="367">
        <f t="shared" si="7"/>
        <v>7</v>
      </c>
      <c r="H30" s="367">
        <f t="shared" si="6"/>
        <v>6</v>
      </c>
      <c r="I30" s="340">
        <f t="shared" si="6"/>
        <v>5</v>
      </c>
      <c r="J30" s="340">
        <f t="shared" ref="J30" si="9">I30-1</f>
        <v>4</v>
      </c>
      <c r="K30" s="364">
        <v>1</v>
      </c>
    </row>
    <row r="31" spans="5:11" x14ac:dyDescent="0.3">
      <c r="E31" s="343">
        <v>18</v>
      </c>
      <c r="F31" s="344">
        <f t="shared" si="3"/>
        <v>6</v>
      </c>
      <c r="G31" s="367">
        <f t="shared" si="7"/>
        <v>7</v>
      </c>
      <c r="H31" s="367">
        <f t="shared" si="6"/>
        <v>6</v>
      </c>
      <c r="I31" s="340">
        <f t="shared" si="6"/>
        <v>5</v>
      </c>
      <c r="J31" s="340">
        <f t="shared" ref="J31" si="10">I31-1</f>
        <v>4</v>
      </c>
      <c r="K31" s="364">
        <v>2</v>
      </c>
    </row>
    <row r="32" spans="5:11" x14ac:dyDescent="0.3">
      <c r="E32" s="343">
        <v>19</v>
      </c>
      <c r="F32" s="344">
        <f t="shared" si="3"/>
        <v>6</v>
      </c>
      <c r="G32" s="367">
        <f t="shared" si="7"/>
        <v>7</v>
      </c>
      <c r="H32" s="367">
        <f t="shared" si="6"/>
        <v>6</v>
      </c>
      <c r="I32" s="340">
        <f t="shared" si="6"/>
        <v>5</v>
      </c>
      <c r="J32" s="340">
        <f t="shared" ref="J32" si="11">I32-1</f>
        <v>4</v>
      </c>
      <c r="K32" s="364">
        <v>3</v>
      </c>
    </row>
    <row r="33" spans="5:11" ht="17.399999999999999" thickBot="1" x14ac:dyDescent="0.35">
      <c r="E33" s="347">
        <v>20</v>
      </c>
      <c r="F33" s="348">
        <f>F27</f>
        <v>6</v>
      </c>
      <c r="G33" s="368">
        <f t="shared" si="7"/>
        <v>7</v>
      </c>
      <c r="H33" s="368">
        <f t="shared" si="6"/>
        <v>6</v>
      </c>
      <c r="I33" s="349">
        <f t="shared" si="6"/>
        <v>5</v>
      </c>
      <c r="J33" s="349">
        <f t="shared" ref="J33:K33" si="12">I33-1</f>
        <v>4</v>
      </c>
      <c r="K33" s="365">
        <f t="shared" si="12"/>
        <v>3</v>
      </c>
    </row>
    <row r="34" spans="5:11" ht="17.399999999999999" thickTop="1" x14ac:dyDescent="0.3"/>
  </sheetData>
  <sortState xmlns:xlrd2="http://schemas.microsoft.com/office/spreadsheetml/2017/richdata2" ref="A8:B14">
    <sortCondition ref="B8:B14"/>
    <sortCondition ref="A8:A14"/>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47"/>
  <sheetViews>
    <sheetView showGridLines="0" workbookViewId="0"/>
  </sheetViews>
  <sheetFormatPr defaultColWidth="13" defaultRowHeight="15.6" x14ac:dyDescent="0.3"/>
  <cols>
    <col min="1" max="1" width="21.59765625" style="112" bestFit="1" customWidth="1"/>
    <col min="2" max="2" width="14.59765625" style="112" bestFit="1" customWidth="1"/>
    <col min="3" max="3" width="5.59765625" style="112" bestFit="1" customWidth="1"/>
    <col min="4" max="4" width="6.5" style="112" bestFit="1" customWidth="1"/>
    <col min="5" max="5" width="7" style="112" bestFit="1" customWidth="1"/>
    <col min="6" max="6" width="6" style="112" bestFit="1" customWidth="1"/>
    <col min="7" max="7" width="9.3984375" style="112" bestFit="1" customWidth="1"/>
    <col min="8" max="8" width="4" style="112" bestFit="1" customWidth="1"/>
    <col min="9" max="9" width="4.69921875" style="112" bestFit="1" customWidth="1"/>
    <col min="10" max="10" width="5.69921875" style="112" bestFit="1" customWidth="1"/>
    <col min="11" max="11" width="6.296875" style="112" bestFit="1" customWidth="1"/>
    <col min="12" max="12" width="20" style="112" bestFit="1" customWidth="1"/>
    <col min="13" max="13" width="2.8984375" style="11" customWidth="1"/>
    <col min="14" max="14" width="5.8984375" style="11" bestFit="1" customWidth="1"/>
    <col min="15" max="16384" width="13" style="11"/>
  </cols>
  <sheetData>
    <row r="1" spans="1:14" ht="23.4" thickBot="1" x14ac:dyDescent="0.35">
      <c r="A1" s="116" t="s">
        <v>15</v>
      </c>
      <c r="B1" s="116"/>
      <c r="C1" s="116"/>
      <c r="D1" s="116"/>
      <c r="E1" s="116"/>
      <c r="F1" s="116"/>
      <c r="G1" s="116"/>
      <c r="H1" s="116"/>
      <c r="I1" s="116"/>
      <c r="J1" s="116"/>
      <c r="K1" s="116"/>
      <c r="L1" s="116"/>
    </row>
    <row r="2" spans="1:14" ht="16.8" thickTop="1" thickBot="1" x14ac:dyDescent="0.35">
      <c r="A2" s="117" t="s">
        <v>1</v>
      </c>
      <c r="B2" s="118" t="s">
        <v>2</v>
      </c>
      <c r="C2" s="118" t="s">
        <v>18</v>
      </c>
      <c r="D2" s="118" t="s">
        <v>19</v>
      </c>
      <c r="E2" s="119" t="s">
        <v>194</v>
      </c>
      <c r="F2" s="119" t="s">
        <v>191</v>
      </c>
      <c r="G2" s="118" t="s">
        <v>16</v>
      </c>
      <c r="H2" s="118" t="s">
        <v>20</v>
      </c>
      <c r="I2" s="120" t="s">
        <v>68</v>
      </c>
      <c r="J2" s="393" t="s">
        <v>74</v>
      </c>
      <c r="K2" s="120" t="s">
        <v>63</v>
      </c>
      <c r="L2" s="121" t="s">
        <v>0</v>
      </c>
      <c r="N2" s="122" t="s">
        <v>81</v>
      </c>
    </row>
    <row r="3" spans="1:14" x14ac:dyDescent="0.3">
      <c r="A3" s="247" t="s">
        <v>228</v>
      </c>
      <c r="B3" s="248" t="s">
        <v>233</v>
      </c>
      <c r="C3" s="249" t="str">
        <f>'Personal File'!$C$10</f>
        <v>+2</v>
      </c>
      <c r="D3" s="250" t="s">
        <v>72</v>
      </c>
      <c r="E3" s="250" t="s">
        <v>251</v>
      </c>
      <c r="F3" s="250" t="s">
        <v>71</v>
      </c>
      <c r="G3" s="317" t="s">
        <v>159</v>
      </c>
      <c r="H3" s="219">
        <v>4</v>
      </c>
      <c r="I3" s="245" t="str">
        <f>CONCATENATE("+",'Personal File'!$B$8+'Personal File'!$C$10+D3)</f>
        <v>+7</v>
      </c>
      <c r="J3" s="395">
        <f t="shared" ref="J3:J15" ca="1" si="0">RANDBETWEEN(1,20)</f>
        <v>1</v>
      </c>
      <c r="K3" s="246">
        <f t="shared" ref="K3:K5" ca="1" si="1">J3+I3</f>
        <v>8</v>
      </c>
      <c r="L3" s="256"/>
      <c r="N3" s="253">
        <v>2000</v>
      </c>
    </row>
    <row r="4" spans="1:14" x14ac:dyDescent="0.3">
      <c r="A4" s="446" t="s">
        <v>229</v>
      </c>
      <c r="B4" s="447" t="s">
        <v>233</v>
      </c>
      <c r="C4" s="448" t="str">
        <f>'Personal File'!$C$10</f>
        <v>+2</v>
      </c>
      <c r="D4" s="449" t="s">
        <v>72</v>
      </c>
      <c r="E4" s="449" t="s">
        <v>251</v>
      </c>
      <c r="F4" s="449" t="s">
        <v>71</v>
      </c>
      <c r="G4" s="450" t="s">
        <v>159</v>
      </c>
      <c r="H4" s="251" t="s">
        <v>84</v>
      </c>
      <c r="I4" s="451" t="str">
        <f>CONCATENATE("+",'Personal File'!$B$8+'Personal File'!$C$10+D4-5)</f>
        <v>+2</v>
      </c>
      <c r="J4" s="394">
        <f t="shared" ca="1" si="0"/>
        <v>10</v>
      </c>
      <c r="K4" s="452">
        <f t="shared" ca="1" si="1"/>
        <v>12</v>
      </c>
      <c r="L4" s="453"/>
      <c r="N4" s="454" t="s">
        <v>84</v>
      </c>
    </row>
    <row r="5" spans="1:14" x14ac:dyDescent="0.3">
      <c r="A5" s="195" t="s">
        <v>230</v>
      </c>
      <c r="B5" s="6" t="s">
        <v>233</v>
      </c>
      <c r="C5" s="7" t="str">
        <f>'Personal File'!$C$10</f>
        <v>+2</v>
      </c>
      <c r="D5" s="8" t="s">
        <v>72</v>
      </c>
      <c r="E5" s="8" t="s">
        <v>251</v>
      </c>
      <c r="F5" s="8" t="s">
        <v>71</v>
      </c>
      <c r="G5" s="9" t="s">
        <v>159</v>
      </c>
      <c r="H5" s="251" t="s">
        <v>84</v>
      </c>
      <c r="I5" s="10" t="str">
        <f>CONCATENATE("+",'Personal File'!$B$8+'Personal File'!$C$10+D5)</f>
        <v>+7</v>
      </c>
      <c r="J5" s="394">
        <f t="shared" ca="1" si="0"/>
        <v>5</v>
      </c>
      <c r="K5" s="5">
        <f t="shared" ca="1" si="1"/>
        <v>12</v>
      </c>
      <c r="L5" s="255"/>
      <c r="N5" s="202" t="s">
        <v>84</v>
      </c>
    </row>
    <row r="6" spans="1:14" x14ac:dyDescent="0.3">
      <c r="A6" s="247" t="s">
        <v>228</v>
      </c>
      <c r="B6" s="248" t="s">
        <v>233</v>
      </c>
      <c r="C6" s="249" t="str">
        <f>'Personal File'!$C$10</f>
        <v>+2</v>
      </c>
      <c r="D6" s="250" t="s">
        <v>72</v>
      </c>
      <c r="E6" s="250" t="s">
        <v>251</v>
      </c>
      <c r="F6" s="250" t="s">
        <v>71</v>
      </c>
      <c r="G6" s="317" t="s">
        <v>159</v>
      </c>
      <c r="H6" s="219">
        <v>4</v>
      </c>
      <c r="I6" s="245" t="str">
        <f>CONCATENATE("+",'Personal File'!$B$8+'Personal File'!$C$10+D6)</f>
        <v>+7</v>
      </c>
      <c r="J6" s="395">
        <f t="shared" ca="1" si="0"/>
        <v>10</v>
      </c>
      <c r="K6" s="246">
        <f t="shared" ref="K6:K8" ca="1" si="2">J6+I6</f>
        <v>17</v>
      </c>
      <c r="L6" s="256"/>
      <c r="N6" s="253">
        <v>2000</v>
      </c>
    </row>
    <row r="7" spans="1:14" x14ac:dyDescent="0.3">
      <c r="A7" s="446" t="s">
        <v>229</v>
      </c>
      <c r="B7" s="447" t="s">
        <v>233</v>
      </c>
      <c r="C7" s="448" t="str">
        <f>'Personal File'!$C$10</f>
        <v>+2</v>
      </c>
      <c r="D7" s="449" t="s">
        <v>72</v>
      </c>
      <c r="E7" s="449" t="s">
        <v>251</v>
      </c>
      <c r="F7" s="449" t="s">
        <v>71</v>
      </c>
      <c r="G7" s="450" t="s">
        <v>159</v>
      </c>
      <c r="H7" s="251" t="s">
        <v>84</v>
      </c>
      <c r="I7" s="451" t="str">
        <f>CONCATENATE("+",'Personal File'!$B$8+'Personal File'!$C$10+D7-5)</f>
        <v>+2</v>
      </c>
      <c r="J7" s="394">
        <f t="shared" ca="1" si="0"/>
        <v>4</v>
      </c>
      <c r="K7" s="452">
        <f t="shared" ca="1" si="2"/>
        <v>6</v>
      </c>
      <c r="L7" s="453"/>
      <c r="N7" s="454" t="s">
        <v>84</v>
      </c>
    </row>
    <row r="8" spans="1:14" x14ac:dyDescent="0.3">
      <c r="A8" s="195" t="s">
        <v>230</v>
      </c>
      <c r="B8" s="6" t="s">
        <v>233</v>
      </c>
      <c r="C8" s="7" t="str">
        <f>'Personal File'!$C$10</f>
        <v>+2</v>
      </c>
      <c r="D8" s="8" t="s">
        <v>72</v>
      </c>
      <c r="E8" s="8" t="s">
        <v>251</v>
      </c>
      <c r="F8" s="8" t="s">
        <v>71</v>
      </c>
      <c r="G8" s="9" t="s">
        <v>159</v>
      </c>
      <c r="H8" s="251" t="s">
        <v>84</v>
      </c>
      <c r="I8" s="10" t="str">
        <f>CONCATENATE("+",'Personal File'!$B$8+'Personal File'!$C$10+D8)</f>
        <v>+7</v>
      </c>
      <c r="J8" s="394">
        <f t="shared" ca="1" si="0"/>
        <v>19</v>
      </c>
      <c r="K8" s="5">
        <f t="shared" ca="1" si="2"/>
        <v>26</v>
      </c>
      <c r="L8" s="255"/>
      <c r="N8" s="202" t="s">
        <v>84</v>
      </c>
    </row>
    <row r="9" spans="1:14" x14ac:dyDescent="0.3">
      <c r="A9" s="247" t="s">
        <v>231</v>
      </c>
      <c r="B9" s="248" t="s">
        <v>234</v>
      </c>
      <c r="C9" s="249" t="str">
        <f>'Personal File'!$C$10</f>
        <v>+2</v>
      </c>
      <c r="D9" s="250" t="s">
        <v>72</v>
      </c>
      <c r="E9" s="250" t="s">
        <v>192</v>
      </c>
      <c r="F9" s="250" t="s">
        <v>71</v>
      </c>
      <c r="G9" s="317" t="s">
        <v>159</v>
      </c>
      <c r="H9" s="219">
        <v>1</v>
      </c>
      <c r="I9" s="245" t="str">
        <f>CONCATENATE("+",'Personal File'!$B$8+'Personal File'!$C$10+D9)</f>
        <v>+7</v>
      </c>
      <c r="J9" s="395">
        <f t="shared" ca="1" si="0"/>
        <v>14</v>
      </c>
      <c r="K9" s="246">
        <f t="shared" ref="K9:K10" ca="1" si="3">J9+I9</f>
        <v>21</v>
      </c>
      <c r="L9" s="256"/>
      <c r="N9" s="253">
        <v>1</v>
      </c>
    </row>
    <row r="10" spans="1:14" x14ac:dyDescent="0.3">
      <c r="A10" s="195" t="s">
        <v>232</v>
      </c>
      <c r="B10" s="6" t="s">
        <v>234</v>
      </c>
      <c r="C10" s="7" t="str">
        <f>'Personal File'!$C$10</f>
        <v>+2</v>
      </c>
      <c r="D10" s="8" t="s">
        <v>72</v>
      </c>
      <c r="E10" s="8" t="s">
        <v>192</v>
      </c>
      <c r="F10" s="8" t="s">
        <v>71</v>
      </c>
      <c r="G10" s="9" t="s">
        <v>159</v>
      </c>
      <c r="H10" s="251" t="s">
        <v>84</v>
      </c>
      <c r="I10" s="10" t="str">
        <f>CONCATENATE("+",'Personal File'!$B$8+'Personal File'!$C$10+D10)</f>
        <v>+7</v>
      </c>
      <c r="J10" s="394">
        <f t="shared" ca="1" si="0"/>
        <v>20</v>
      </c>
      <c r="K10" s="5">
        <f t="shared" ca="1" si="3"/>
        <v>27</v>
      </c>
      <c r="L10" s="255"/>
      <c r="N10" s="202" t="s">
        <v>84</v>
      </c>
    </row>
    <row r="11" spans="1:14" x14ac:dyDescent="0.3">
      <c r="A11" s="247" t="s">
        <v>231</v>
      </c>
      <c r="B11" s="248" t="s">
        <v>234</v>
      </c>
      <c r="C11" s="249" t="str">
        <f>'Personal File'!$C$10</f>
        <v>+2</v>
      </c>
      <c r="D11" s="250" t="s">
        <v>72</v>
      </c>
      <c r="E11" s="250" t="s">
        <v>192</v>
      </c>
      <c r="F11" s="250" t="s">
        <v>71</v>
      </c>
      <c r="G11" s="317" t="s">
        <v>159</v>
      </c>
      <c r="H11" s="219">
        <v>1</v>
      </c>
      <c r="I11" s="245" t="str">
        <f>CONCATENATE("+",'Personal File'!$B$8+'Personal File'!$C$10+D11)</f>
        <v>+7</v>
      </c>
      <c r="J11" s="395">
        <f t="shared" ca="1" si="0"/>
        <v>7</v>
      </c>
      <c r="K11" s="246">
        <f t="shared" ref="K11:K12" ca="1" si="4">J11+I11</f>
        <v>14</v>
      </c>
      <c r="L11" s="256"/>
      <c r="N11" s="253">
        <v>1</v>
      </c>
    </row>
    <row r="12" spans="1:14" x14ac:dyDescent="0.3">
      <c r="A12" s="195" t="s">
        <v>232</v>
      </c>
      <c r="B12" s="6" t="s">
        <v>234</v>
      </c>
      <c r="C12" s="7" t="str">
        <f>'Personal File'!$C$10</f>
        <v>+2</v>
      </c>
      <c r="D12" s="8" t="s">
        <v>72</v>
      </c>
      <c r="E12" s="8" t="s">
        <v>192</v>
      </c>
      <c r="F12" s="8" t="s">
        <v>71</v>
      </c>
      <c r="G12" s="9" t="s">
        <v>159</v>
      </c>
      <c r="H12" s="251" t="s">
        <v>84</v>
      </c>
      <c r="I12" s="10" t="str">
        <f>CONCATENATE("+",'Personal File'!$B$8+'Personal File'!$C$10+D12)</f>
        <v>+7</v>
      </c>
      <c r="J12" s="394">
        <f t="shared" ca="1" si="0"/>
        <v>20</v>
      </c>
      <c r="K12" s="5">
        <f t="shared" ca="1" si="4"/>
        <v>27</v>
      </c>
      <c r="L12" s="255"/>
      <c r="N12" s="202" t="s">
        <v>84</v>
      </c>
    </row>
    <row r="13" spans="1:14" x14ac:dyDescent="0.3">
      <c r="A13" s="247" t="s">
        <v>140</v>
      </c>
      <c r="B13" s="248" t="s">
        <v>141</v>
      </c>
      <c r="C13" s="249" t="str">
        <f>'Personal File'!$C$10</f>
        <v>+2</v>
      </c>
      <c r="D13" s="250" t="s">
        <v>50</v>
      </c>
      <c r="E13" s="250" t="s">
        <v>193</v>
      </c>
      <c r="F13" s="250" t="s">
        <v>71</v>
      </c>
      <c r="G13" s="218" t="s">
        <v>142</v>
      </c>
      <c r="H13" s="219" t="s">
        <v>84</v>
      </c>
      <c r="I13" s="245" t="str">
        <f>CONCATENATE("+",'Personal File'!$B$8+'Personal File'!$C$10+D13)</f>
        <v>+6</v>
      </c>
      <c r="J13" s="395">
        <f t="shared" ca="1" si="0"/>
        <v>6</v>
      </c>
      <c r="K13" s="246">
        <f t="shared" ref="K13" ca="1" si="5">J13+I13</f>
        <v>12</v>
      </c>
      <c r="L13" s="256"/>
      <c r="N13" s="253" t="s">
        <v>84</v>
      </c>
    </row>
    <row r="14" spans="1:14" x14ac:dyDescent="0.3">
      <c r="A14" s="195" t="s">
        <v>144</v>
      </c>
      <c r="B14" s="6" t="s">
        <v>141</v>
      </c>
      <c r="C14" s="7" t="s">
        <v>143</v>
      </c>
      <c r="D14" s="8" t="s">
        <v>50</v>
      </c>
      <c r="E14" s="8" t="s">
        <v>193</v>
      </c>
      <c r="F14" s="8" t="s">
        <v>71</v>
      </c>
      <c r="G14" s="223" t="s">
        <v>142</v>
      </c>
      <c r="H14" s="251" t="s">
        <v>84</v>
      </c>
      <c r="I14" s="10" t="str">
        <f>CONCATENATE("+",'Personal File'!$B$8+'Personal File'!$C$10+D14-5)</f>
        <v>+1</v>
      </c>
      <c r="J14" s="394">
        <f t="shared" ca="1" si="0"/>
        <v>10</v>
      </c>
      <c r="K14" s="5">
        <f t="shared" ref="K14" ca="1" si="6">J14+I14</f>
        <v>11</v>
      </c>
      <c r="L14" s="257"/>
      <c r="N14" s="202" t="s">
        <v>84</v>
      </c>
    </row>
    <row r="15" spans="1:14" x14ac:dyDescent="0.3">
      <c r="A15" s="230" t="s">
        <v>145</v>
      </c>
      <c r="B15" s="231" t="s">
        <v>141</v>
      </c>
      <c r="C15" s="232" t="str">
        <f>'Personal File'!$C$10</f>
        <v>+2</v>
      </c>
      <c r="D15" s="233" t="s">
        <v>50</v>
      </c>
      <c r="E15" s="233" t="s">
        <v>193</v>
      </c>
      <c r="F15" s="233" t="s">
        <v>71</v>
      </c>
      <c r="G15" s="239" t="s">
        <v>142</v>
      </c>
      <c r="H15" s="234" t="s">
        <v>84</v>
      </c>
      <c r="I15" s="240" t="str">
        <f>CONCATENATE("+",'Personal File'!$B$8+'Personal File'!$C$10+D15)</f>
        <v>+6</v>
      </c>
      <c r="J15" s="396">
        <f t="shared" ca="1" si="0"/>
        <v>18</v>
      </c>
      <c r="K15" s="315">
        <f t="shared" ref="K15" ca="1" si="7">J15+I15</f>
        <v>24</v>
      </c>
      <c r="L15" s="255"/>
      <c r="N15" s="252" t="s">
        <v>84</v>
      </c>
    </row>
    <row r="16" spans="1:14" ht="16.2" thickBot="1" x14ac:dyDescent="0.35">
      <c r="A16" s="196" t="s">
        <v>127</v>
      </c>
      <c r="B16" s="197" t="s">
        <v>127</v>
      </c>
      <c r="C16" s="235" t="str">
        <f>CONCATENATE('Personal File'!$C$10," +2")</f>
        <v>+2 +2</v>
      </c>
      <c r="D16" s="236" t="s">
        <v>50</v>
      </c>
      <c r="E16" s="236" t="s">
        <v>84</v>
      </c>
      <c r="F16" s="236" t="s">
        <v>84</v>
      </c>
      <c r="G16" s="237" t="s">
        <v>84</v>
      </c>
      <c r="H16" s="198" t="s">
        <v>84</v>
      </c>
      <c r="I16" s="238" t="str">
        <f>CONCATENATE("+",'Personal File'!$B$8+'Personal File'!$C$10+D16)</f>
        <v>+6</v>
      </c>
      <c r="J16" s="397">
        <f ca="1">RANDBETWEEN(1,20)</f>
        <v>1</v>
      </c>
      <c r="K16" s="123">
        <f t="shared" ref="K16" ca="1" si="8">J16+I16</f>
        <v>7</v>
      </c>
      <c r="L16" s="258"/>
      <c r="N16" s="200" t="s">
        <v>84</v>
      </c>
    </row>
    <row r="17" spans="1:14" ht="6" customHeight="1" thickTop="1" thickBot="1" x14ac:dyDescent="0.35">
      <c r="J17" s="110"/>
      <c r="K17" s="110"/>
    </row>
    <row r="18" spans="1:14" ht="16.8" thickTop="1" thickBot="1" x14ac:dyDescent="0.35">
      <c r="A18" s="117" t="s">
        <v>4</v>
      </c>
      <c r="B18" s="118" t="s">
        <v>5</v>
      </c>
      <c r="C18" s="118" t="s">
        <v>18</v>
      </c>
      <c r="D18" s="118" t="s">
        <v>19</v>
      </c>
      <c r="E18" s="119" t="s">
        <v>194</v>
      </c>
      <c r="F18" s="119" t="s">
        <v>191</v>
      </c>
      <c r="G18" s="118" t="s">
        <v>6</v>
      </c>
      <c r="H18" s="118" t="s">
        <v>20</v>
      </c>
      <c r="I18" s="120" t="s">
        <v>68</v>
      </c>
      <c r="J18" s="393" t="s">
        <v>74</v>
      </c>
      <c r="K18" s="120" t="s">
        <v>63</v>
      </c>
      <c r="L18" s="121" t="s">
        <v>0</v>
      </c>
      <c r="N18" s="122" t="s">
        <v>81</v>
      </c>
    </row>
    <row r="19" spans="1:14" ht="16.2" thickBot="1" x14ac:dyDescent="0.35">
      <c r="A19" s="294" t="s">
        <v>124</v>
      </c>
      <c r="B19" s="295" t="s">
        <v>125</v>
      </c>
      <c r="C19" s="296" t="s">
        <v>84</v>
      </c>
      <c r="D19" s="296" t="s">
        <v>50</v>
      </c>
      <c r="E19" s="297" t="s">
        <v>84</v>
      </c>
      <c r="F19" s="297" t="s">
        <v>84</v>
      </c>
      <c r="G19" s="297" t="s">
        <v>84</v>
      </c>
      <c r="H19" s="298" t="s">
        <v>84</v>
      </c>
      <c r="I19" s="299" t="str">
        <f>CONCATENATE("+",'Personal File'!$B$8+'Personal File'!$C$11+D19)</f>
        <v>+7</v>
      </c>
      <c r="J19" s="398">
        <f t="shared" ref="J19:J23" ca="1" si="9">RANDBETWEEN(1,20)</f>
        <v>15</v>
      </c>
      <c r="K19" s="292">
        <f t="shared" ref="K19:K23" ca="1" si="10">J19+I19</f>
        <v>22</v>
      </c>
      <c r="L19" s="293"/>
      <c r="N19" s="290" t="s">
        <v>84</v>
      </c>
    </row>
    <row r="20" spans="1:14" x14ac:dyDescent="0.3">
      <c r="A20" s="294" t="s">
        <v>201</v>
      </c>
      <c r="B20" s="295"/>
      <c r="C20" s="296">
        <v>0</v>
      </c>
      <c r="D20" s="296">
        <v>0</v>
      </c>
      <c r="E20" s="297" t="s">
        <v>193</v>
      </c>
      <c r="F20" s="297" t="s">
        <v>71</v>
      </c>
      <c r="G20" s="297" t="s">
        <v>84</v>
      </c>
      <c r="H20" s="298" t="s">
        <v>84</v>
      </c>
      <c r="I20" s="299" t="str">
        <f>CONCATENATE("+",'Personal File'!$B$8+'Personal File'!$C$11+D20-5)</f>
        <v>+2</v>
      </c>
      <c r="J20" s="398">
        <f t="shared" ref="J20" ca="1" si="11">RANDBETWEEN(1,20)</f>
        <v>5</v>
      </c>
      <c r="K20" s="292">
        <f t="shared" ca="1" si="10"/>
        <v>7</v>
      </c>
      <c r="L20" s="293"/>
      <c r="N20" s="290" t="s">
        <v>84</v>
      </c>
    </row>
    <row r="21" spans="1:14" x14ac:dyDescent="0.3">
      <c r="A21" s="294" t="s">
        <v>186</v>
      </c>
      <c r="B21" s="295" t="s">
        <v>155</v>
      </c>
      <c r="C21" s="296" t="s">
        <v>84</v>
      </c>
      <c r="D21" s="296" t="s">
        <v>71</v>
      </c>
      <c r="E21" s="297" t="s">
        <v>84</v>
      </c>
      <c r="F21" s="297" t="s">
        <v>84</v>
      </c>
      <c r="G21" s="297" t="s">
        <v>84</v>
      </c>
      <c r="H21" s="298" t="s">
        <v>84</v>
      </c>
      <c r="I21" s="299" t="str">
        <f>CONCATENATE("+",'Personal File'!$E$3+D21)</f>
        <v>+6</v>
      </c>
      <c r="J21" s="394">
        <f t="shared" ca="1" si="9"/>
        <v>14</v>
      </c>
      <c r="K21" s="292">
        <f t="shared" ca="1" si="10"/>
        <v>20</v>
      </c>
      <c r="L21" s="293"/>
      <c r="N21" s="291" t="s">
        <v>84</v>
      </c>
    </row>
    <row r="22" spans="1:14" x14ac:dyDescent="0.3">
      <c r="A22" s="455" t="s">
        <v>187</v>
      </c>
      <c r="B22" s="456" t="s">
        <v>84</v>
      </c>
      <c r="C22" s="457" t="s">
        <v>84</v>
      </c>
      <c r="D22" s="458">
        <f>2+2</f>
        <v>4</v>
      </c>
      <c r="E22" s="459" t="s">
        <v>84</v>
      </c>
      <c r="F22" s="459" t="s">
        <v>84</v>
      </c>
      <c r="G22" s="459" t="s">
        <v>84</v>
      </c>
      <c r="H22" s="460" t="s">
        <v>84</v>
      </c>
      <c r="I22" s="461" t="str">
        <f>CONCATENATE("+",'Personal File'!$E$3+D22)</f>
        <v>+8</v>
      </c>
      <c r="J22" s="394">
        <f t="shared" ca="1" si="9"/>
        <v>20</v>
      </c>
      <c r="K22" s="462">
        <f t="shared" ca="1" si="10"/>
        <v>28</v>
      </c>
      <c r="L22" s="463"/>
      <c r="N22" s="464" t="s">
        <v>84</v>
      </c>
    </row>
    <row r="23" spans="1:14" ht="16.2" thickBot="1" x14ac:dyDescent="0.35">
      <c r="A23" s="470" t="s">
        <v>146</v>
      </c>
      <c r="B23" s="471" t="s">
        <v>84</v>
      </c>
      <c r="C23" s="472" t="s">
        <v>84</v>
      </c>
      <c r="D23" s="473" t="s">
        <v>50</v>
      </c>
      <c r="E23" s="474" t="s">
        <v>84</v>
      </c>
      <c r="F23" s="474" t="s">
        <v>84</v>
      </c>
      <c r="G23" s="474" t="s">
        <v>84</v>
      </c>
      <c r="H23" s="475" t="s">
        <v>84</v>
      </c>
      <c r="I23" s="476" t="str">
        <f>CONCATENATE("+",'Personal File'!E12+D23)</f>
        <v>+28</v>
      </c>
      <c r="J23" s="399">
        <f t="shared" ca="1" si="9"/>
        <v>2</v>
      </c>
      <c r="K23" s="477">
        <f t="shared" ca="1" si="10"/>
        <v>30</v>
      </c>
      <c r="L23" s="478"/>
      <c r="N23" s="479" t="s">
        <v>84</v>
      </c>
    </row>
    <row r="24" spans="1:14" ht="6" customHeight="1" thickTop="1" thickBot="1" x14ac:dyDescent="0.35">
      <c r="D24" s="124"/>
      <c r="E24" s="124"/>
      <c r="F24" s="124"/>
      <c r="H24" s="125"/>
      <c r="I24" s="125"/>
      <c r="J24" s="125"/>
      <c r="K24" s="125"/>
    </row>
    <row r="25" spans="1:14" ht="16.8" thickTop="1" thickBot="1" x14ac:dyDescent="0.35">
      <c r="A25" s="117" t="s">
        <v>55</v>
      </c>
      <c r="B25" s="118" t="s">
        <v>9</v>
      </c>
      <c r="C25" s="118" t="s">
        <v>23</v>
      </c>
      <c r="D25" s="118" t="s">
        <v>63</v>
      </c>
      <c r="E25" s="118" t="s">
        <v>64</v>
      </c>
      <c r="F25" s="118" t="s">
        <v>65</v>
      </c>
      <c r="G25" s="118" t="s">
        <v>20</v>
      </c>
      <c r="H25" s="126" t="s">
        <v>0</v>
      </c>
      <c r="I25" s="127"/>
      <c r="J25" s="127"/>
      <c r="K25" s="127"/>
      <c r="L25" s="128"/>
      <c r="N25" s="122" t="s">
        <v>81</v>
      </c>
    </row>
    <row r="26" spans="1:14" x14ac:dyDescent="0.3">
      <c r="A26" s="217" t="s">
        <v>252</v>
      </c>
      <c r="B26" s="401">
        <v>4</v>
      </c>
      <c r="C26" s="402">
        <v>4</v>
      </c>
      <c r="D26" s="401">
        <v>-1</v>
      </c>
      <c r="E26" s="403">
        <v>0.2</v>
      </c>
      <c r="F26" s="404" t="s">
        <v>80</v>
      </c>
      <c r="G26" s="219">
        <v>20</v>
      </c>
      <c r="H26" s="220"/>
      <c r="I26" s="221"/>
      <c r="J26" s="221"/>
      <c r="K26" s="221"/>
      <c r="L26" s="222"/>
      <c r="N26" s="202">
        <v>400</v>
      </c>
    </row>
    <row r="27" spans="1:14" x14ac:dyDescent="0.3">
      <c r="A27" s="195" t="s">
        <v>254</v>
      </c>
      <c r="B27" s="6">
        <v>4</v>
      </c>
      <c r="C27" s="223" t="s">
        <v>84</v>
      </c>
      <c r="D27" s="224" t="s">
        <v>84</v>
      </c>
      <c r="E27" s="225" t="s">
        <v>84</v>
      </c>
      <c r="F27" s="223" t="s">
        <v>84</v>
      </c>
      <c r="G27" s="226" t="s">
        <v>84</v>
      </c>
      <c r="H27" s="227" t="s">
        <v>84</v>
      </c>
      <c r="I27" s="379"/>
      <c r="J27" s="228"/>
      <c r="K27" s="228"/>
      <c r="L27" s="229"/>
      <c r="N27" s="202" t="s">
        <v>84</v>
      </c>
    </row>
    <row r="28" spans="1:14" ht="16.2" thickBot="1" x14ac:dyDescent="0.35">
      <c r="A28" s="425"/>
      <c r="B28" s="259"/>
      <c r="C28" s="426"/>
      <c r="D28" s="259"/>
      <c r="E28" s="427"/>
      <c r="F28" s="426"/>
      <c r="G28" s="428"/>
      <c r="H28" s="429"/>
      <c r="I28" s="430"/>
      <c r="J28" s="431"/>
      <c r="K28" s="431"/>
      <c r="L28" s="432"/>
      <c r="N28" s="201" t="s">
        <v>84</v>
      </c>
    </row>
    <row r="29" spans="1:14" ht="6.75" customHeight="1" thickTop="1" thickBot="1" x14ac:dyDescent="0.35"/>
    <row r="30" spans="1:14" ht="16.8" thickTop="1" thickBot="1" x14ac:dyDescent="0.35">
      <c r="A30" s="110"/>
      <c r="B30" s="110"/>
      <c r="E30" s="169" t="s">
        <v>56</v>
      </c>
      <c r="F30" s="170"/>
      <c r="G30" s="170" t="s">
        <v>3</v>
      </c>
      <c r="H30" s="171" t="s">
        <v>20</v>
      </c>
      <c r="I30" s="171" t="s">
        <v>68</v>
      </c>
      <c r="J30" s="174" t="s">
        <v>0</v>
      </c>
      <c r="K30" s="175"/>
      <c r="L30" s="176"/>
      <c r="N30" s="122" t="s">
        <v>81</v>
      </c>
    </row>
    <row r="31" spans="1:14" ht="16.2" thickBot="1" x14ac:dyDescent="0.35">
      <c r="A31" s="110"/>
      <c r="B31" s="110"/>
      <c r="E31" s="444"/>
      <c r="F31" s="445"/>
      <c r="G31" s="172"/>
      <c r="H31" s="129"/>
      <c r="I31" s="173"/>
      <c r="J31" s="177"/>
      <c r="K31" s="178"/>
      <c r="L31" s="168"/>
      <c r="N31" s="201"/>
    </row>
    <row r="32" spans="1:14" ht="16.8" thickTop="1" thickBot="1" x14ac:dyDescent="0.35">
      <c r="A32" s="110"/>
      <c r="B32" s="110"/>
      <c r="N32" s="152"/>
    </row>
    <row r="33" spans="1:14" ht="16.8" thickTop="1" thickBot="1" x14ac:dyDescent="0.35">
      <c r="A33" s="110"/>
      <c r="B33" s="110"/>
      <c r="E33" s="300" t="s">
        <v>156</v>
      </c>
      <c r="F33" s="127"/>
      <c r="G33" s="127"/>
      <c r="H33" s="127"/>
      <c r="I33" s="301" t="s">
        <v>3</v>
      </c>
      <c r="J33" s="301" t="s">
        <v>83</v>
      </c>
      <c r="K33" s="301" t="s">
        <v>157</v>
      </c>
      <c r="L33" s="128" t="s">
        <v>61</v>
      </c>
      <c r="M33" s="204"/>
      <c r="N33" s="302" t="s">
        <v>81</v>
      </c>
    </row>
    <row r="34" spans="1:14" x14ac:dyDescent="0.3">
      <c r="A34" s="110"/>
      <c r="B34" s="110"/>
      <c r="E34" s="303" t="s">
        <v>235</v>
      </c>
      <c r="F34" s="304"/>
      <c r="G34" s="304"/>
      <c r="H34" s="305"/>
      <c r="I34" s="306">
        <v>2</v>
      </c>
      <c r="J34" s="307">
        <v>1</v>
      </c>
      <c r="K34" s="307">
        <v>4</v>
      </c>
      <c r="L34" s="308"/>
      <c r="M34" s="204"/>
      <c r="N34" s="254">
        <f t="shared" ref="N34" si="12">25*I34*J34*K34</f>
        <v>200</v>
      </c>
    </row>
    <row r="35" spans="1:14" x14ac:dyDescent="0.3">
      <c r="A35" s="110"/>
      <c r="B35" s="110"/>
      <c r="E35" s="373"/>
      <c r="F35" s="374"/>
      <c r="G35" s="374"/>
      <c r="H35" s="375"/>
      <c r="I35" s="376"/>
      <c r="J35" s="377"/>
      <c r="K35" s="377"/>
      <c r="L35" s="378"/>
      <c r="M35" s="204"/>
      <c r="N35" s="254"/>
    </row>
    <row r="36" spans="1:14" x14ac:dyDescent="0.3">
      <c r="A36" s="110"/>
      <c r="B36" s="110"/>
      <c r="E36" s="373"/>
      <c r="F36" s="374"/>
      <c r="G36" s="374"/>
      <c r="H36" s="375"/>
      <c r="I36" s="376"/>
      <c r="J36" s="377"/>
      <c r="K36" s="377"/>
      <c r="L36" s="378"/>
      <c r="M36" s="204"/>
      <c r="N36" s="254"/>
    </row>
    <row r="37" spans="1:14" x14ac:dyDescent="0.3">
      <c r="A37" s="110"/>
      <c r="B37" s="110"/>
      <c r="E37" s="373"/>
      <c r="F37" s="374"/>
      <c r="G37" s="374"/>
      <c r="H37" s="375"/>
      <c r="I37" s="376"/>
      <c r="J37" s="377"/>
      <c r="K37" s="377"/>
      <c r="L37" s="378"/>
      <c r="M37" s="204"/>
      <c r="N37" s="254"/>
    </row>
    <row r="38" spans="1:14" ht="16.2" thickBot="1" x14ac:dyDescent="0.35">
      <c r="A38" s="110"/>
      <c r="B38" s="110"/>
      <c r="E38" s="309"/>
      <c r="F38" s="310"/>
      <c r="G38" s="310"/>
      <c r="H38" s="311"/>
      <c r="I38" s="312"/>
      <c r="J38" s="313"/>
      <c r="K38" s="313"/>
      <c r="L38" s="314"/>
      <c r="M38" s="204"/>
      <c r="N38" s="201"/>
    </row>
    <row r="39" spans="1:14" ht="16.2" thickTop="1" x14ac:dyDescent="0.3">
      <c r="A39" s="110"/>
      <c r="B39" s="110"/>
      <c r="N39" s="152"/>
    </row>
    <row r="40" spans="1:14" x14ac:dyDescent="0.3">
      <c r="N40" s="152"/>
    </row>
    <row r="41" spans="1:14" x14ac:dyDescent="0.3">
      <c r="N41" s="152"/>
    </row>
    <row r="42" spans="1:14" x14ac:dyDescent="0.3">
      <c r="N42" s="152"/>
    </row>
    <row r="43" spans="1:14" x14ac:dyDescent="0.3">
      <c r="N43" s="152"/>
    </row>
    <row r="44" spans="1:14" x14ac:dyDescent="0.3">
      <c r="N44" s="152"/>
    </row>
    <row r="45" spans="1:14" x14ac:dyDescent="0.3">
      <c r="N45" s="152"/>
    </row>
    <row r="46" spans="1:14" x14ac:dyDescent="0.3">
      <c r="N46" s="152"/>
    </row>
    <row r="47" spans="1:14" x14ac:dyDescent="0.3">
      <c r="N47" s="152"/>
    </row>
  </sheetData>
  <sortState xmlns:xlrd2="http://schemas.microsoft.com/office/spreadsheetml/2017/richdata2" ref="A5:I5">
    <sortCondition ref="A5"/>
  </sortState>
  <phoneticPr fontId="0" type="noConversion"/>
  <conditionalFormatting sqref="J19:J23">
    <cfRule type="cellIs" dxfId="2" priority="1" operator="equal">
      <formula>20</formula>
    </cfRule>
    <cfRule type="cellIs" dxfId="1"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8"/>
  <sheetViews>
    <sheetView showGridLines="0" workbookViewId="0"/>
  </sheetViews>
  <sheetFormatPr defaultColWidth="13" defaultRowHeight="15.6" x14ac:dyDescent="0.3"/>
  <cols>
    <col min="1" max="1" width="17.19921875" style="112" bestFit="1" customWidth="1"/>
    <col min="2" max="2" width="5.59765625" style="112" bestFit="1" customWidth="1"/>
    <col min="3" max="3" width="5.3984375" style="125" bestFit="1" customWidth="1"/>
    <col min="4" max="5" width="23.796875" style="11" customWidth="1"/>
    <col min="6" max="6" width="2.09765625" style="112" customWidth="1"/>
    <col min="7" max="7" width="7.296875" style="11" bestFit="1" customWidth="1"/>
    <col min="8" max="16384" width="13" style="11"/>
  </cols>
  <sheetData>
    <row r="1" spans="1:8" ht="23.4" thickBot="1" x14ac:dyDescent="0.35">
      <c r="A1" s="116" t="s">
        <v>58</v>
      </c>
      <c r="B1" s="116"/>
      <c r="C1" s="130"/>
      <c r="D1" s="116"/>
      <c r="E1" s="116"/>
    </row>
    <row r="2" spans="1:8" s="112" customFormat="1" ht="16.8" thickTop="1" thickBot="1" x14ac:dyDescent="0.35">
      <c r="A2" s="131" t="s">
        <v>59</v>
      </c>
      <c r="B2" s="131" t="s">
        <v>3</v>
      </c>
      <c r="C2" s="132" t="s">
        <v>20</v>
      </c>
      <c r="D2" s="133" t="s">
        <v>60</v>
      </c>
      <c r="E2" s="134" t="s">
        <v>61</v>
      </c>
      <c r="G2" s="135" t="s">
        <v>81</v>
      </c>
    </row>
    <row r="3" spans="1:8" x14ac:dyDescent="0.3">
      <c r="A3" s="136" t="s">
        <v>73</v>
      </c>
      <c r="B3" s="137">
        <v>2</v>
      </c>
      <c r="C3" s="138">
        <v>2</v>
      </c>
      <c r="D3" s="139"/>
      <c r="E3" s="140"/>
      <c r="F3" s="110"/>
      <c r="G3" s="213">
        <v>0</v>
      </c>
      <c r="H3" s="204"/>
    </row>
    <row r="4" spans="1:8" x14ac:dyDescent="0.3">
      <c r="A4" s="136" t="s">
        <v>77</v>
      </c>
      <c r="B4" s="137">
        <v>1</v>
      </c>
      <c r="C4" s="138" t="s">
        <v>79</v>
      </c>
      <c r="D4" s="350"/>
      <c r="E4" s="216"/>
      <c r="F4"/>
      <c r="G4" s="214">
        <v>0</v>
      </c>
      <c r="H4" s="204"/>
    </row>
    <row r="5" spans="1:8" x14ac:dyDescent="0.3">
      <c r="A5" s="136"/>
      <c r="B5" s="359"/>
      <c r="C5" s="148"/>
      <c r="D5" s="360"/>
      <c r="E5" s="260"/>
      <c r="F5"/>
      <c r="G5" s="361"/>
    </row>
    <row r="6" spans="1:8" ht="16.2" thickBot="1" x14ac:dyDescent="0.35">
      <c r="A6" s="141"/>
      <c r="B6" s="142"/>
      <c r="C6" s="143"/>
      <c r="D6" s="144"/>
      <c r="E6" s="145"/>
      <c r="G6" s="215"/>
    </row>
    <row r="7" spans="1:8" ht="24" thickTop="1" thickBot="1" x14ac:dyDescent="0.35">
      <c r="A7" s="116" t="s">
        <v>62</v>
      </c>
      <c r="B7" s="146"/>
      <c r="C7" s="146"/>
      <c r="D7" s="116"/>
      <c r="E7" s="147"/>
    </row>
    <row r="8" spans="1:8" ht="16.8" thickTop="1" thickBot="1" x14ac:dyDescent="0.35">
      <c r="A8" s="131" t="s">
        <v>59</v>
      </c>
      <c r="B8" s="131" t="s">
        <v>3</v>
      </c>
      <c r="C8" s="132" t="s">
        <v>20</v>
      </c>
      <c r="D8" s="133" t="s">
        <v>60</v>
      </c>
      <c r="E8" s="134" t="s">
        <v>61</v>
      </c>
      <c r="G8" s="135" t="s">
        <v>81</v>
      </c>
    </row>
    <row r="9" spans="1:8" x14ac:dyDescent="0.3">
      <c r="A9" s="136" t="s">
        <v>78</v>
      </c>
      <c r="B9" s="137">
        <v>1</v>
      </c>
      <c r="C9" s="138">
        <v>0</v>
      </c>
      <c r="D9" s="350"/>
      <c r="E9" s="216"/>
      <c r="F9"/>
      <c r="G9" s="214">
        <v>0</v>
      </c>
      <c r="H9" s="204"/>
    </row>
    <row r="10" spans="1:8" x14ac:dyDescent="0.3">
      <c r="A10" s="136" t="s">
        <v>195</v>
      </c>
      <c r="B10" s="137">
        <v>1</v>
      </c>
      <c r="C10" s="138">
        <v>2.5</v>
      </c>
      <c r="D10" s="350" t="s">
        <v>243</v>
      </c>
      <c r="E10" s="216"/>
      <c r="F10"/>
      <c r="G10" s="214">
        <v>0</v>
      </c>
    </row>
    <row r="11" spans="1:8" x14ac:dyDescent="0.3">
      <c r="A11" s="358" t="s">
        <v>239</v>
      </c>
      <c r="B11" s="359">
        <v>2</v>
      </c>
      <c r="C11" s="148">
        <f>B11*1.5</f>
        <v>3</v>
      </c>
      <c r="D11" s="360"/>
      <c r="E11" s="260"/>
      <c r="F11"/>
      <c r="G11" s="361">
        <v>0</v>
      </c>
    </row>
    <row r="12" spans="1:8" x14ac:dyDescent="0.3">
      <c r="A12" s="358" t="s">
        <v>240</v>
      </c>
      <c r="B12" s="359">
        <v>2</v>
      </c>
      <c r="C12" s="148">
        <f>B12*0.5</f>
        <v>1</v>
      </c>
      <c r="D12" s="360"/>
      <c r="E12" s="260"/>
      <c r="F12"/>
      <c r="G12" s="361">
        <f>B12</f>
        <v>2</v>
      </c>
    </row>
    <row r="13" spans="1:8" x14ac:dyDescent="0.3">
      <c r="A13" s="358" t="s">
        <v>236</v>
      </c>
      <c r="B13" s="359">
        <v>1</v>
      </c>
      <c r="C13" s="148">
        <v>0</v>
      </c>
      <c r="D13" s="360"/>
      <c r="E13" s="260"/>
      <c r="F13"/>
      <c r="G13" s="361">
        <v>8</v>
      </c>
    </row>
    <row r="14" spans="1:8" x14ac:dyDescent="0.3">
      <c r="A14" s="358" t="s">
        <v>242</v>
      </c>
      <c r="B14" s="359">
        <v>1</v>
      </c>
      <c r="C14" s="148">
        <v>0</v>
      </c>
      <c r="D14" s="360"/>
      <c r="E14" s="260"/>
      <c r="F14"/>
      <c r="G14" s="465">
        <f>0.1*B14</f>
        <v>0.1</v>
      </c>
    </row>
    <row r="15" spans="1:8" x14ac:dyDescent="0.3">
      <c r="A15" s="358" t="s">
        <v>241</v>
      </c>
      <c r="B15" s="359">
        <v>5</v>
      </c>
      <c r="C15" s="148">
        <v>0</v>
      </c>
      <c r="D15" s="360"/>
      <c r="E15" s="260"/>
      <c r="F15"/>
      <c r="G15" s="465">
        <f>0.1*B15</f>
        <v>0.5</v>
      </c>
    </row>
    <row r="16" spans="1:8" x14ac:dyDescent="0.3">
      <c r="A16" s="358" t="s">
        <v>237</v>
      </c>
      <c r="B16" s="359">
        <v>1</v>
      </c>
      <c r="C16" s="148">
        <v>1</v>
      </c>
      <c r="D16" s="360"/>
      <c r="E16" s="260"/>
      <c r="F16"/>
      <c r="G16" s="465">
        <v>0.2</v>
      </c>
    </row>
    <row r="17" spans="1:7" x14ac:dyDescent="0.3">
      <c r="A17" s="358" t="s">
        <v>238</v>
      </c>
      <c r="B17" s="359">
        <v>1</v>
      </c>
      <c r="C17" s="148">
        <v>0.5</v>
      </c>
      <c r="D17" s="360"/>
      <c r="E17" s="260"/>
      <c r="F17"/>
      <c r="G17" s="361">
        <v>10</v>
      </c>
    </row>
    <row r="18" spans="1:7" x14ac:dyDescent="0.3">
      <c r="A18" s="358" t="s">
        <v>189</v>
      </c>
      <c r="B18" s="359">
        <v>1</v>
      </c>
      <c r="C18" s="148">
        <v>5</v>
      </c>
      <c r="D18" s="360"/>
      <c r="E18" s="260"/>
      <c r="F18"/>
      <c r="G18" s="361">
        <v>1</v>
      </c>
    </row>
    <row r="19" spans="1:7" ht="16.2" thickBot="1" x14ac:dyDescent="0.35">
      <c r="A19" s="141" t="s">
        <v>200</v>
      </c>
      <c r="B19" s="142">
        <v>676</v>
      </c>
      <c r="C19" s="143">
        <f>B19/100</f>
        <v>6.76</v>
      </c>
      <c r="D19" s="149"/>
      <c r="E19" s="145"/>
      <c r="F19" s="110"/>
      <c r="G19" s="215">
        <f>B19</f>
        <v>676</v>
      </c>
    </row>
    <row r="20" spans="1:7" ht="22.2" thickTop="1" x14ac:dyDescent="0.3">
      <c r="A20" s="408"/>
      <c r="B20" s="408"/>
      <c r="C20" s="408"/>
      <c r="D20" s="408"/>
      <c r="E20" s="409"/>
      <c r="F20" s="110"/>
      <c r="G20" s="110"/>
    </row>
    <row r="21" spans="1:7" x14ac:dyDescent="0.3">
      <c r="B21" s="151"/>
      <c r="E21" s="45" t="s">
        <v>198</v>
      </c>
      <c r="F21" s="204"/>
      <c r="G21" s="203">
        <f>SUM(G3:G20)</f>
        <v>697.8</v>
      </c>
    </row>
    <row r="22" spans="1:7" x14ac:dyDescent="0.3">
      <c r="B22" s="151"/>
      <c r="D22" s="400"/>
      <c r="E22" s="45" t="s">
        <v>128</v>
      </c>
      <c r="F22" s="110"/>
      <c r="G22" s="203">
        <f>SUM(Martial!N3:N38,Equipment!G3:G20)</f>
        <v>5299.8</v>
      </c>
    </row>
    <row r="23" spans="1:7" x14ac:dyDescent="0.3">
      <c r="B23" s="151"/>
      <c r="E23" s="45" t="s">
        <v>197</v>
      </c>
      <c r="F23" s="110"/>
      <c r="G23" s="203">
        <v>5400</v>
      </c>
    </row>
    <row r="24" spans="1:7" x14ac:dyDescent="0.3">
      <c r="B24" s="151"/>
      <c r="G24" s="400"/>
    </row>
    <row r="25" spans="1:7" x14ac:dyDescent="0.3">
      <c r="A25" s="11"/>
      <c r="B25" s="151"/>
      <c r="C25" s="11"/>
      <c r="F25" s="11"/>
    </row>
    <row r="26" spans="1:7" x14ac:dyDescent="0.3">
      <c r="A26" s="11"/>
      <c r="B26" s="151"/>
      <c r="C26" s="11"/>
      <c r="F26" s="11"/>
    </row>
    <row r="27" spans="1:7" x14ac:dyDescent="0.3">
      <c r="A27" s="11"/>
      <c r="B27" s="151"/>
      <c r="C27" s="11"/>
      <c r="F27" s="11"/>
    </row>
    <row r="28" spans="1:7" x14ac:dyDescent="0.3">
      <c r="A28" s="11"/>
      <c r="B28" s="151"/>
      <c r="C28" s="11"/>
      <c r="F28" s="11"/>
    </row>
  </sheetData>
  <sortState xmlns:xlrd2="http://schemas.microsoft.com/office/spreadsheetml/2017/richdata2" ref="A3:D3">
    <sortCondition ref="A3"/>
  </sortState>
  <phoneticPr fontId="0" type="noConversion"/>
  <conditionalFormatting sqref="G21:G23">
    <cfRule type="cellIs" dxfId="0" priority="2" operator="lessThan">
      <formula>0</formula>
    </cfRule>
  </conditionalFormatting>
  <printOptions gridLinesSet="0"/>
  <pageMargins left="0.62" right="0.33" top="0.5" bottom="0.63" header="0.5" footer="0.5"/>
  <pageSetup orientation="portrait" horizontalDpi="120" verticalDpi="144"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Personal File</vt:lpstr>
      <vt:lpstr>Skills</vt:lpstr>
      <vt:lpstr>Spells</vt:lpstr>
      <vt:lpstr>Feats</vt:lpstr>
      <vt:lpstr>Martial</vt:lpstr>
      <vt:lpstr>Equipment</vt:lpstr>
      <vt:lpstr>'Personal File'!Print_Area</vt:lpstr>
      <vt:lpstr>Skills!Print_Area</vt:lpstr>
      <vt:lpstr>Spells!Print_Area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2019-08-04T14:16:00Z</cp:lastPrinted>
  <dcterms:created xsi:type="dcterms:W3CDTF">2000-10-24T15:39:59Z</dcterms:created>
  <dcterms:modified xsi:type="dcterms:W3CDTF">2023-11-08T15:08:57Z</dcterms:modified>
</cp:coreProperties>
</file>