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A\Juegos\Loreseekers\PCs\"/>
    </mc:Choice>
  </mc:AlternateContent>
  <xr:revisionPtr revIDLastSave="0" documentId="13_ncr:1_{41CF1BF1-4F88-4E2A-BEAA-125D30A2C086}"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Beguiler"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2">Beguiler!$A$1:$I$2</definedName>
    <definedName name="_xlnm.Print_Area" localSheetId="6">Equipment!#REF!</definedName>
    <definedName name="_xlnm.Print_Area" localSheetId="4">Feats!#REF!</definedName>
    <definedName name="_xlnm.Print_Area" localSheetId="5">Martial!#REF!</definedName>
    <definedName name="_xlnm.Print_Area" localSheetId="0">'Personal File'!$A$1:$H$175</definedName>
    <definedName name="_xlnm.Print_Area" localSheetId="1">Skills!$A$1:$K$37</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19" l="1"/>
  <c r="G15" i="19"/>
  <c r="G12" i="19"/>
  <c r="M18" i="6"/>
  <c r="G18" i="6"/>
  <c r="E11" i="4" s="1"/>
  <c r="H3" i="6"/>
  <c r="H5" i="6"/>
  <c r="H6" i="6"/>
  <c r="B9" i="22"/>
  <c r="B6" i="22"/>
  <c r="C6" i="22"/>
  <c r="C5" i="22"/>
  <c r="B5" i="22"/>
  <c r="H30" i="15" l="1"/>
  <c r="F30" i="15"/>
  <c r="D30" i="15"/>
  <c r="E30" i="15" s="1"/>
  <c r="H27" i="15"/>
  <c r="F27" i="15"/>
  <c r="D27" i="15"/>
  <c r="E27" i="15" s="1"/>
  <c r="G30" i="15" l="1"/>
  <c r="I30" i="15" s="1"/>
  <c r="G27" i="15"/>
  <c r="I27" i="15" s="1"/>
  <c r="F34" i="15"/>
  <c r="F33" i="15"/>
  <c r="F32" i="15"/>
  <c r="F31" i="15"/>
  <c r="F28" i="15"/>
  <c r="F26" i="15"/>
  <c r="F25" i="15"/>
  <c r="F29" i="15"/>
  <c r="F24" i="15"/>
  <c r="E55" i="15"/>
  <c r="H21" i="15"/>
  <c r="H20" i="15"/>
  <c r="E13" i="4"/>
  <c r="G32" i="19"/>
  <c r="C33" i="19"/>
  <c r="C32" i="19"/>
  <c r="G16" i="19"/>
  <c r="G17" i="19"/>
  <c r="M24" i="6"/>
  <c r="F23" i="15"/>
  <c r="F49" i="15"/>
  <c r="F43" i="15"/>
  <c r="F36" i="15"/>
  <c r="F16" i="15"/>
  <c r="F9" i="15"/>
  <c r="F7" i="15"/>
  <c r="F22" i="15"/>
  <c r="F13" i="15"/>
  <c r="F35" i="15"/>
  <c r="F46" i="15"/>
  <c r="H35" i="15"/>
  <c r="H34" i="15"/>
  <c r="H33" i="15"/>
  <c r="H32" i="15"/>
  <c r="H31" i="15"/>
  <c r="H29" i="15"/>
  <c r="H28" i="15"/>
  <c r="H26" i="15"/>
  <c r="H25" i="15"/>
  <c r="H24" i="15"/>
  <c r="H23" i="15"/>
  <c r="H22" i="15"/>
  <c r="H19" i="15"/>
  <c r="H18" i="15"/>
  <c r="H17" i="15"/>
  <c r="H16" i="15"/>
  <c r="H15" i="15"/>
  <c r="H14" i="15"/>
  <c r="H13" i="15"/>
  <c r="H12" i="15"/>
  <c r="H11" i="15"/>
  <c r="B52" i="15"/>
  <c r="B8" i="4"/>
  <c r="B5" i="15"/>
  <c r="B4" i="15"/>
  <c r="B3" i="15"/>
  <c r="E54" i="15"/>
  <c r="C3" i="6"/>
  <c r="C5" i="6"/>
  <c r="C6" i="6"/>
  <c r="K3" i="6"/>
  <c r="K5" i="6"/>
  <c r="K6" i="6"/>
  <c r="K9" i="6"/>
  <c r="M22" i="6"/>
  <c r="M23" i="6"/>
  <c r="H45" i="15"/>
  <c r="G39" i="19" l="1"/>
  <c r="D29" i="15"/>
  <c r="G29" i="15" s="1"/>
  <c r="I29" i="15" s="1"/>
  <c r="D34" i="15"/>
  <c r="G34" i="15" s="1"/>
  <c r="D33" i="15"/>
  <c r="G33" i="15" s="1"/>
  <c r="D32" i="15"/>
  <c r="E32" i="15" s="1"/>
  <c r="D31" i="15"/>
  <c r="G31" i="15" s="1"/>
  <c r="D28" i="15"/>
  <c r="G28" i="15" s="1"/>
  <c r="D26" i="15"/>
  <c r="E26" i="15" s="1"/>
  <c r="D25" i="15"/>
  <c r="G25" i="15" s="1"/>
  <c r="E28" i="15" l="1"/>
  <c r="I31" i="15"/>
  <c r="I34" i="15"/>
  <c r="I33" i="15"/>
  <c r="I28" i="15"/>
  <c r="I25" i="15"/>
  <c r="E29" i="15"/>
  <c r="G32" i="15"/>
  <c r="I32" i="15" s="1"/>
  <c r="G26" i="15"/>
  <c r="I26" i="15" s="1"/>
  <c r="E34" i="15"/>
  <c r="E31" i="15"/>
  <c r="E33" i="15"/>
  <c r="E25" i="15"/>
  <c r="B15" i="4" l="1"/>
  <c r="B14" i="4"/>
  <c r="B13" i="4"/>
  <c r="B12" i="4"/>
  <c r="B11" i="4"/>
  <c r="B10" i="4"/>
  <c r="A10" i="20" l="1"/>
  <c r="I3" i="6" l="1"/>
  <c r="H3" i="15" l="1"/>
  <c r="H4" i="15"/>
  <c r="H5" i="15"/>
  <c r="H6" i="15"/>
  <c r="H7" i="15"/>
  <c r="H8" i="15"/>
  <c r="H9" i="15"/>
  <c r="H10" i="15"/>
  <c r="H36" i="15"/>
  <c r="H37" i="15"/>
  <c r="H38" i="15"/>
  <c r="H39" i="15"/>
  <c r="H40" i="15"/>
  <c r="H41" i="15"/>
  <c r="H42" i="15"/>
  <c r="H43" i="15"/>
  <c r="I10" i="6" l="1"/>
  <c r="I9" i="6" l="1"/>
  <c r="I11" i="6"/>
  <c r="I5" i="6"/>
  <c r="I6" i="6"/>
  <c r="H50" i="15" l="1"/>
  <c r="H49" i="15"/>
  <c r="H46" i="15" l="1"/>
  <c r="H51" i="15" l="1"/>
  <c r="H48" i="15"/>
  <c r="H47" i="15"/>
  <c r="H44" i="15"/>
  <c r="C12" i="4" l="1"/>
  <c r="E12" i="4" s="1"/>
  <c r="D3" i="15" l="1"/>
  <c r="D10" i="15"/>
  <c r="C10" i="4"/>
  <c r="C11" i="4"/>
  <c r="C13" i="4"/>
  <c r="C14" i="4"/>
  <c r="C15" i="4"/>
  <c r="D12" i="15" l="1"/>
  <c r="D41" i="15"/>
  <c r="D6" i="15"/>
  <c r="D24" i="15"/>
  <c r="D11" i="15"/>
  <c r="D14" i="15"/>
  <c r="D17" i="15"/>
  <c r="G10" i="15"/>
  <c r="I10" i="15" s="1"/>
  <c r="E10" i="15"/>
  <c r="D8" i="15"/>
  <c r="D18" i="15"/>
  <c r="D38" i="15"/>
  <c r="D22" i="15"/>
  <c r="D19" i="15"/>
  <c r="D13" i="15"/>
  <c r="D15" i="15"/>
  <c r="D39" i="15"/>
  <c r="D20" i="15"/>
  <c r="D42" i="15"/>
  <c r="D5" i="15"/>
  <c r="D35" i="15"/>
  <c r="E3" i="15"/>
  <c r="G3" i="15"/>
  <c r="I3" i="15" s="1"/>
  <c r="D43" i="15"/>
  <c r="D21" i="15"/>
  <c r="D4" i="15"/>
  <c r="D37" i="15"/>
  <c r="D7" i="15"/>
  <c r="D16" i="15"/>
  <c r="D40" i="15"/>
  <c r="D36" i="15"/>
  <c r="D23" i="15"/>
  <c r="D9" i="15"/>
  <c r="D44" i="15"/>
  <c r="E44" i="15" s="1"/>
  <c r="D45" i="15"/>
  <c r="E45" i="15" s="1"/>
  <c r="D51" i="15"/>
  <c r="E51" i="15" s="1"/>
  <c r="D49" i="15"/>
  <c r="E49" i="15" s="1"/>
  <c r="H10" i="6"/>
  <c r="D48" i="15"/>
  <c r="E48" i="15" s="1"/>
  <c r="D50" i="15"/>
  <c r="E50" i="15" s="1"/>
  <c r="D46" i="15"/>
  <c r="E46" i="15" s="1"/>
  <c r="D47" i="15"/>
  <c r="E47" i="15" s="1"/>
  <c r="B9" i="4"/>
  <c r="H9" i="6"/>
  <c r="H11" i="6"/>
  <c r="J11" i="6" s="1"/>
  <c r="E53" i="15"/>
  <c r="E15" i="4"/>
  <c r="E14" i="4" s="1"/>
  <c r="E5" i="15" l="1"/>
  <c r="G5" i="15"/>
  <c r="I5" i="15" s="1"/>
  <c r="E11" i="15"/>
  <c r="G11" i="15"/>
  <c r="I11" i="15" s="1"/>
  <c r="E42" i="15"/>
  <c r="G42" i="15"/>
  <c r="I42" i="15" s="1"/>
  <c r="G18" i="15"/>
  <c r="I18" i="15" s="1"/>
  <c r="E18" i="15"/>
  <c r="E24" i="15"/>
  <c r="G24" i="15"/>
  <c r="I24" i="15" s="1"/>
  <c r="E52" i="15"/>
  <c r="G39" i="15"/>
  <c r="I39" i="15" s="1"/>
  <c r="E39" i="15"/>
  <c r="E6" i="15"/>
  <c r="G6" i="15"/>
  <c r="I6" i="15" s="1"/>
  <c r="G8" i="15"/>
  <c r="I8" i="15" s="1"/>
  <c r="E8" i="15"/>
  <c r="G15" i="15"/>
  <c r="I15" i="15" s="1"/>
  <c r="E15" i="15"/>
  <c r="G41" i="15"/>
  <c r="I41" i="15" s="1"/>
  <c r="E41" i="15"/>
  <c r="G38" i="15"/>
  <c r="I38" i="15" s="1"/>
  <c r="E38" i="15"/>
  <c r="E13" i="15"/>
  <c r="G13" i="15"/>
  <c r="I13" i="15" s="1"/>
  <c r="E17" i="15"/>
  <c r="G17" i="15"/>
  <c r="I17" i="15" s="1"/>
  <c r="E12" i="15"/>
  <c r="G12" i="15"/>
  <c r="I12" i="15" s="1"/>
  <c r="G20" i="15"/>
  <c r="I20" i="15" s="1"/>
  <c r="E20" i="15"/>
  <c r="G19" i="15"/>
  <c r="I19" i="15" s="1"/>
  <c r="E19" i="15"/>
  <c r="G35" i="15"/>
  <c r="I35" i="15" s="1"/>
  <c r="E35" i="15"/>
  <c r="G22" i="15"/>
  <c r="I22" i="15" s="1"/>
  <c r="E22" i="15"/>
  <c r="E14" i="15"/>
  <c r="G14" i="15"/>
  <c r="I14" i="15" s="1"/>
  <c r="E16" i="15"/>
  <c r="G16" i="15"/>
  <c r="I16" i="15" s="1"/>
  <c r="G40" i="15"/>
  <c r="I40" i="15" s="1"/>
  <c r="E40" i="15"/>
  <c r="E7" i="15"/>
  <c r="G7" i="15"/>
  <c r="I7" i="15" s="1"/>
  <c r="E37" i="15"/>
  <c r="G37" i="15"/>
  <c r="I37" i="15" s="1"/>
  <c r="E4" i="15"/>
  <c r="G4" i="15"/>
  <c r="I4" i="15" s="1"/>
  <c r="E21" i="15"/>
  <c r="G21" i="15"/>
  <c r="I21" i="15" s="1"/>
  <c r="E43" i="15"/>
  <c r="G43" i="15"/>
  <c r="I43" i="15" s="1"/>
  <c r="G36" i="15"/>
  <c r="I36" i="15" s="1"/>
  <c r="E36" i="15"/>
  <c r="G9" i="15"/>
  <c r="I9" i="15" s="1"/>
  <c r="E9" i="15"/>
  <c r="E23" i="15"/>
  <c r="G23" i="15"/>
  <c r="I23" i="15" s="1"/>
  <c r="J10" i="6"/>
  <c r="J6" i="6"/>
  <c r="J9" i="6"/>
  <c r="J5" i="6"/>
  <c r="J3" i="6"/>
  <c r="G50" i="15" l="1"/>
  <c r="I50" i="15" s="1"/>
  <c r="G49" i="15"/>
  <c r="I49" i="15" s="1"/>
  <c r="G45" i="15"/>
  <c r="I45" i="15" s="1"/>
  <c r="G48" i="15"/>
  <c r="I48" i="15" s="1"/>
  <c r="G44" i="15"/>
  <c r="I44" i="15" s="1"/>
  <c r="G51" i="15"/>
  <c r="I51" i="15" s="1"/>
  <c r="G46" i="15"/>
  <c r="I46" i="15" s="1"/>
  <c r="G47" i="15"/>
  <c r="I47"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aid +1
haste +1    Shaken -2</t>
        </r>
      </text>
    </comment>
    <comment ref="E9" authorId="0" shapeId="0" xr:uid="{DC28B78B-DFCB-4B87-807E-EBDC509A2CBE}">
      <text>
        <r>
          <rPr>
            <sz val="12"/>
            <color indexed="81"/>
            <rFont val="Times New Roman"/>
            <family val="1"/>
          </rPr>
          <t>Next level
3000 XPs</t>
        </r>
      </text>
    </comment>
    <comment ref="E10" authorId="0" shapeId="0" xr:uid="{83BACB37-C3D9-44CB-8B7C-90A4B641D184}">
      <text>
        <r>
          <rPr>
            <sz val="12"/>
            <color indexed="81"/>
            <rFont val="Times New Roman"/>
            <family val="1"/>
          </rPr>
          <t>See PHB 162</t>
        </r>
      </text>
    </comment>
    <comment ref="E12" authorId="0" shapeId="0" xr:uid="{00000000-0006-0000-0000-000005000000}">
      <text>
        <r>
          <rPr>
            <sz val="12"/>
            <color indexed="81"/>
            <rFont val="Times New Roman"/>
            <family val="1"/>
          </rPr>
          <t>[(1 * 6 Rogue) * 75%] + 
[(1 * 6 Beguiler) * 75%] + 
(2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82FE85E4-2482-479D-A65D-94D7B21D9FA1}">
      <text>
        <r>
          <rPr>
            <sz val="12"/>
            <color indexed="81"/>
            <rFont val="Times New Roman"/>
            <family val="1"/>
          </rPr>
          <t>Armor
Tumble Synergy +2</t>
        </r>
      </text>
    </comment>
    <comment ref="F9" authorId="0" shapeId="0" xr:uid="{CA8590C1-9A96-411C-8550-FBD9DC32B520}">
      <text>
        <r>
          <rPr>
            <sz val="12"/>
            <color indexed="81"/>
            <rFont val="Times New Roman"/>
            <family val="1"/>
          </rPr>
          <t>Armor</t>
        </r>
      </text>
    </comment>
    <comment ref="F13" authorId="0" shapeId="0" xr:uid="{04259151-DD52-47DF-B9AC-BD8153AE1DB0}">
      <text>
        <r>
          <rPr>
            <sz val="12"/>
            <color indexed="81"/>
            <rFont val="Times New Roman"/>
            <family val="1"/>
          </rPr>
          <t>Smooth Talk +2
Polite +1
Bluff Synergy +2</t>
        </r>
      </text>
    </comment>
    <comment ref="F14" authorId="0" shapeId="0" xr:uid="{74D49D3D-ED67-4198-B2D0-10E534D854CE}">
      <text>
        <r>
          <rPr>
            <sz val="12"/>
            <color indexed="81"/>
            <rFont val="Times New Roman"/>
            <family val="1"/>
          </rPr>
          <t>MW Thieves’ Tools</t>
        </r>
      </text>
    </comment>
    <comment ref="F16" authorId="0" shapeId="0" xr:uid="{33D0E056-92E0-4829-AE2A-E8D9C026DC98}">
      <text>
        <r>
          <rPr>
            <sz val="12"/>
            <color indexed="81"/>
            <rFont val="Times New Roman"/>
            <family val="1"/>
          </rPr>
          <t>Armor</t>
        </r>
      </text>
    </comment>
    <comment ref="F22" authorId="0" shapeId="0" xr:uid="{51E67E54-C52E-4B5A-9E52-2E4D1480DC6A}">
      <text>
        <r>
          <rPr>
            <sz val="12"/>
            <color indexed="81"/>
            <rFont val="Times New Roman"/>
            <family val="1"/>
          </rPr>
          <t>Polite -2
Bluff Synergy +2</t>
        </r>
      </text>
    </comment>
    <comment ref="F23" authorId="0" shapeId="0" xr:uid="{D533DD9C-36BB-42B4-B4F3-C4C7893AA851}">
      <text>
        <r>
          <rPr>
            <sz val="12"/>
            <color indexed="81"/>
            <rFont val="Times New Roman"/>
            <family val="1"/>
          </rPr>
          <t>Armor
Tumble Synergy +2</t>
        </r>
      </text>
    </comment>
    <comment ref="F24" authorId="0" shapeId="0" xr:uid="{E8B7C224-41F4-456B-9344-321E4ED6CA4A}">
      <text>
        <r>
          <rPr>
            <sz val="12"/>
            <color indexed="81"/>
            <rFont val="Times New Roman"/>
            <family val="1"/>
          </rPr>
          <t>Absent-minded +1</t>
        </r>
      </text>
    </comment>
    <comment ref="F25" authorId="0" shapeId="0" xr:uid="{AC175B57-2933-4C8B-9983-7B74AFA54DCB}">
      <text>
        <r>
          <rPr>
            <sz val="12"/>
            <color indexed="81"/>
            <rFont val="Times New Roman"/>
            <family val="1"/>
          </rPr>
          <t>Absent-minded +1</t>
        </r>
      </text>
    </comment>
    <comment ref="F26" authorId="0" shapeId="0" xr:uid="{BA9B2BA6-35B1-46E9-B5B4-0FC4843DF829}">
      <text>
        <r>
          <rPr>
            <sz val="12"/>
            <color indexed="81"/>
            <rFont val="Times New Roman"/>
            <family val="1"/>
          </rPr>
          <t>Absent-minded +1</t>
        </r>
      </text>
    </comment>
    <comment ref="F27" authorId="0" shapeId="0" xr:uid="{96436389-F8AC-4E92-9276-60EBBA63BA90}">
      <text>
        <r>
          <rPr>
            <sz val="12"/>
            <color indexed="81"/>
            <rFont val="Times New Roman"/>
            <family val="1"/>
          </rPr>
          <t>Absent-minded +1</t>
        </r>
      </text>
    </comment>
    <comment ref="F28" authorId="0" shapeId="0" xr:uid="{6DB629E4-705A-4377-A57F-E4C46726A217}">
      <text>
        <r>
          <rPr>
            <sz val="12"/>
            <color indexed="81"/>
            <rFont val="Times New Roman"/>
            <family val="1"/>
          </rPr>
          <t>Absent-minded +1</t>
        </r>
      </text>
    </comment>
    <comment ref="F29" authorId="0" shapeId="0" xr:uid="{ABA65771-8F95-4C02-8E16-BFAB251F7E92}">
      <text>
        <r>
          <rPr>
            <sz val="12"/>
            <color indexed="81"/>
            <rFont val="Times New Roman"/>
            <family val="1"/>
          </rPr>
          <t>Absent-minded +1</t>
        </r>
      </text>
    </comment>
    <comment ref="F30" authorId="0" shapeId="0" xr:uid="{C7A1F7AF-8EE2-4347-8984-32157BD579B8}">
      <text>
        <r>
          <rPr>
            <sz val="12"/>
            <color indexed="81"/>
            <rFont val="Times New Roman"/>
            <family val="1"/>
          </rPr>
          <t>Absent-minded +1</t>
        </r>
      </text>
    </comment>
    <comment ref="F31" authorId="0" shapeId="0" xr:uid="{FB0999B6-20EB-4C7F-8BFF-52F6056451A6}">
      <text>
        <r>
          <rPr>
            <sz val="12"/>
            <color indexed="81"/>
            <rFont val="Times New Roman"/>
            <family val="1"/>
          </rPr>
          <t>Absent-minded +1</t>
        </r>
      </text>
    </comment>
    <comment ref="F32" authorId="0" shapeId="0" xr:uid="{045CF4B5-ABBF-4C0C-A778-0259F7BAB239}">
      <text>
        <r>
          <rPr>
            <sz val="12"/>
            <color indexed="81"/>
            <rFont val="Times New Roman"/>
            <family val="1"/>
          </rPr>
          <t>Absent-minded +1</t>
        </r>
      </text>
    </comment>
    <comment ref="F33" authorId="0" shapeId="0" xr:uid="{579E8F4B-E561-4BA4-B4C7-197C312F0EE0}">
      <text>
        <r>
          <rPr>
            <sz val="12"/>
            <color indexed="81"/>
            <rFont val="Times New Roman"/>
            <family val="1"/>
          </rPr>
          <t>Absent-minded +1</t>
        </r>
      </text>
    </comment>
    <comment ref="F34" authorId="0" shapeId="0" xr:uid="{CFFB5A3A-6D07-4C07-92DB-C869BE3DA284}">
      <text>
        <r>
          <rPr>
            <sz val="12"/>
            <color indexed="81"/>
            <rFont val="Times New Roman"/>
            <family val="1"/>
          </rPr>
          <t>Absent-minded +1</t>
        </r>
      </text>
    </comment>
    <comment ref="F35" authorId="0" shapeId="0" xr:uid="{357C8A8F-3F3E-4B13-818F-6B74AFAE3FE7}">
      <text>
        <r>
          <rPr>
            <sz val="12"/>
            <color indexed="81"/>
            <rFont val="Times New Roman"/>
            <family val="1"/>
          </rPr>
          <t>Absent-minded -1</t>
        </r>
      </text>
    </comment>
    <comment ref="F36" authorId="0" shapeId="0" xr:uid="{81267846-CC9B-4CEF-B0D2-43D619D4C5EF}">
      <text>
        <r>
          <rPr>
            <sz val="12"/>
            <color indexed="81"/>
            <rFont val="Times New Roman"/>
            <family val="1"/>
          </rPr>
          <t>Armor</t>
        </r>
      </text>
    </comment>
    <comment ref="F37" authorId="0" shapeId="0" xr:uid="{A3D48B6A-9272-4054-91FE-0C558076F8BE}">
      <text>
        <r>
          <rPr>
            <sz val="12"/>
            <color indexed="81"/>
            <rFont val="Times New Roman"/>
            <family val="1"/>
          </rPr>
          <t>MW Thieves’ Tools</t>
        </r>
      </text>
    </comment>
    <comment ref="F42" authorId="0" shapeId="0" xr:uid="{191808DC-37D1-4968-98F0-41BD2E214E19}">
      <text>
        <r>
          <rPr>
            <sz val="12"/>
            <color indexed="81"/>
            <rFont val="Times New Roman"/>
            <family val="1"/>
          </rPr>
          <t>Smooth Talk +2</t>
        </r>
      </text>
    </comment>
    <comment ref="F43" authorId="0" shapeId="0" xr:uid="{14028FCE-2F63-4836-9A28-0D0BB4D322E9}">
      <text>
        <r>
          <rPr>
            <sz val="12"/>
            <color indexed="81"/>
            <rFont val="Times New Roman"/>
            <family val="1"/>
          </rPr>
          <t>Armor</t>
        </r>
      </text>
    </comment>
    <comment ref="F45" authorId="0" shapeId="0" xr:uid="{E25989FE-74B0-4BA6-808C-0364A65E29C5}">
      <text>
        <r>
          <rPr>
            <sz val="12"/>
            <color indexed="81"/>
            <rFont val="Times New Roman"/>
            <family val="1"/>
          </rPr>
          <t>Magical Aptitude +2</t>
        </r>
      </text>
    </comment>
    <comment ref="F46" authorId="0" shapeId="0" xr:uid="{47749650-4367-41C7-B09C-CAAC28119EE2}">
      <text>
        <r>
          <rPr>
            <sz val="12"/>
            <color indexed="81"/>
            <rFont val="Times New Roman"/>
            <family val="1"/>
          </rPr>
          <t>Absent-minded -1</t>
        </r>
      </text>
    </comment>
    <comment ref="F49" authorId="0" shapeId="0" xr:uid="{6B4F4D1B-BD55-4867-AFAD-E4179830D196}">
      <text>
        <r>
          <rPr>
            <sz val="12"/>
            <color indexed="81"/>
            <rFont val="Times New Roman"/>
            <family val="1"/>
          </rPr>
          <t>Armor</t>
        </r>
      </text>
    </comment>
    <comment ref="F50" authorId="0" shapeId="0" xr:uid="{B8AA633B-4756-44BF-A120-D0D5802621FF}">
      <text>
        <r>
          <rPr>
            <sz val="12"/>
            <color indexed="81"/>
            <rFont val="Times New Roman"/>
            <family val="1"/>
          </rPr>
          <t>Magical Aptitude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55E854D1-9D06-4153-BF75-CF63385E7666}">
      <text>
        <r>
          <rPr>
            <sz val="12"/>
            <color indexed="81"/>
            <rFont val="Times New Roman"/>
            <family val="1"/>
          </rPr>
          <t>Wool or fur</t>
        </r>
      </text>
    </comment>
    <comment ref="D6" authorId="0" shapeId="0" xr:uid="{FF6BE36C-6093-4AF5-9BE6-459CF9BB67FA}">
      <text>
        <r>
          <rPr>
            <sz val="12"/>
            <color indexed="81"/>
            <rFont val="Times New Roman"/>
            <family val="1"/>
          </rPr>
          <t>Wool or wax</t>
        </r>
      </text>
    </comment>
    <comment ref="D7" authorId="0" shapeId="0" xr:uid="{ADD22287-771E-4561-B140-A1F35127D190}">
      <text>
        <r>
          <rPr>
            <sz val="12"/>
            <color indexed="81"/>
            <rFont val="Times New Roman"/>
            <family val="1"/>
          </rPr>
          <t>Copper wire</t>
        </r>
      </text>
    </comment>
    <comment ref="D8" authorId="0" shapeId="0" xr:uid="{8ACE96A2-8AB1-4C9E-951F-B2D963E96BCD}">
      <text>
        <r>
          <rPr>
            <sz val="12"/>
            <color indexed="81"/>
            <rFont val="Times New Roman"/>
            <family val="1"/>
          </rPr>
          <t>Brass key</t>
        </r>
      </text>
    </comment>
    <comment ref="D9" authorId="0" shapeId="0" xr:uid="{6C976BC4-9E0E-4BC8-B85B-F7CB29D22D60}">
      <text>
        <r>
          <rPr>
            <sz val="12"/>
            <color indexed="81"/>
            <rFont val="Times New Roman"/>
            <family val="1"/>
          </rPr>
          <t>Prism, lens, or monocle</t>
        </r>
      </text>
    </comment>
    <comment ref="D11" authorId="0" shapeId="0" xr:uid="{536A2A19-80B4-478C-AA10-7704E5273F21}">
      <text>
        <r>
          <rPr>
            <sz val="12"/>
            <color indexed="81"/>
            <rFont val="Times New Roman"/>
            <family val="1"/>
          </rPr>
          <t>Pinch of red, yellow, and blue powder</t>
        </r>
      </text>
    </comment>
    <comment ref="D12" authorId="0" shapeId="0" xr:uid="{1D2DDD50-1EF9-4BC5-8874-F59F02B8CF58}">
      <text>
        <r>
          <rPr>
            <sz val="12"/>
            <color indexed="81"/>
            <rFont val="Times New Roman"/>
            <family val="1"/>
          </rPr>
          <t>Goblin's ear</t>
        </r>
      </text>
    </comment>
    <comment ref="D17" authorId="0" shapeId="0" xr:uid="{48922F5C-00C9-4B1F-BC2D-AD12FCC9ACAA}">
      <text>
        <r>
          <rPr>
            <sz val="12"/>
            <color indexed="81"/>
            <rFont val="Times New Roman"/>
            <family val="1"/>
          </rPr>
          <t>Cured leather</t>
        </r>
      </text>
    </comment>
    <comment ref="D20" authorId="0" shapeId="0" xr:uid="{69E27941-43D4-40D3-95E9-70D0C43B7F0E}">
      <text>
        <r>
          <rPr>
            <sz val="12"/>
            <color indexed="81"/>
            <rFont val="Times New Roman"/>
            <family val="1"/>
          </rPr>
          <t>Fleece</t>
        </r>
      </text>
    </comment>
    <comment ref="D21" authorId="0" shapeId="0" xr:uid="{16EFC303-9C70-433C-921A-7D625D015D2A}">
      <text>
        <r>
          <rPr>
            <sz val="12"/>
            <color indexed="81"/>
            <rFont val="Times New Roman"/>
            <family val="1"/>
          </rPr>
          <t>Sand, rose petals, or live cricket</t>
        </r>
      </text>
    </comment>
    <comment ref="D25" authorId="0" shapeId="0" xr:uid="{7D6388CC-1D27-4DA5-B0E9-7E444FE69941}">
      <text>
        <r>
          <rPr>
            <sz val="12"/>
            <color indexed="81"/>
            <rFont val="Times New Roman"/>
            <family val="1"/>
          </rPr>
          <t>Small prism</t>
        </r>
      </text>
    </comment>
    <comment ref="D27" authorId="0" shapeId="0" xr:uid="{6A795BA4-64EA-4BD5-AB4B-3403B02793A6}">
      <text>
        <r>
          <rPr>
            <sz val="12"/>
            <color indexed="81"/>
            <rFont val="Times New Roman"/>
            <family val="1"/>
          </rPr>
          <t>Wool</t>
        </r>
      </text>
    </comment>
    <comment ref="D28" authorId="0" shapeId="0" xr:uid="{02A6D172-E1FE-446B-BEA4-C3FD023C494A}">
      <text>
        <r>
          <rPr>
            <sz val="12"/>
            <color indexed="81"/>
            <rFont val="Times New Roman"/>
            <family val="1"/>
          </rPr>
          <t>Copper piece</t>
        </r>
      </text>
    </comment>
    <comment ref="D30" authorId="0" shapeId="0" xr:uid="{406B37E5-2DB7-4FAE-B6AC-BAAFC08204E5}">
      <text>
        <r>
          <rPr>
            <sz val="12"/>
            <color indexed="81"/>
            <rFont val="Times New Roman"/>
            <family val="1"/>
          </rPr>
          <t>Salt</t>
        </r>
      </text>
    </comment>
    <comment ref="D31" authorId="0" shapeId="0" xr:uid="{4A87F19E-FFF8-4C27-AFFD-06FE6406082B}">
      <text>
        <r>
          <rPr>
            <sz val="12"/>
            <color indexed="81"/>
            <rFont val="Times New Roman"/>
            <family val="1"/>
          </rPr>
          <t>Incense or crystal rod with phosphorescent powder</t>
        </r>
      </text>
    </comment>
    <comment ref="D32" authorId="0" shapeId="0" xr:uid="{0EE8E9C2-F67B-4E0D-B3B0-84071D08124F}">
      <text>
        <r>
          <rPr>
            <sz val="12"/>
            <color indexed="81"/>
            <rFont val="Times New Roman"/>
            <family val="1"/>
          </rPr>
          <t>Pendulum</t>
        </r>
      </text>
    </comment>
    <comment ref="D34" authorId="0" shapeId="0" xr:uid="{59EB85F0-463B-44EA-B960-700F3937C8EA}">
      <text>
        <r>
          <rPr>
            <sz val="12"/>
            <color indexed="81"/>
            <rFont val="Times New Roman"/>
            <family val="1"/>
          </rPr>
          <t>Fleece</t>
        </r>
      </text>
    </comment>
    <comment ref="D37" authorId="0" shapeId="0" xr:uid="{707294A0-549F-48E4-B911-89A182DB16A4}">
      <text>
        <r>
          <rPr>
            <sz val="12"/>
            <color indexed="81"/>
            <rFont val="Times New Roman"/>
            <family val="1"/>
          </rPr>
          <t>Prism, lens, or monocle</t>
        </r>
      </text>
    </comment>
    <comment ref="D39" authorId="0" shapeId="0" xr:uid="{5B97A7DA-E35B-4DFE-A442-1C59C3648237}">
      <text>
        <r>
          <rPr>
            <sz val="12"/>
            <color indexed="81"/>
            <rFont val="Times New Roman"/>
            <family val="1"/>
          </rPr>
          <t>1 drop of bitumen and live spider (both to be eaten)</t>
        </r>
      </text>
    </comment>
    <comment ref="D45" authorId="0" shapeId="0" xr:uid="{9AD24B61-B57C-45CC-B0F5-4E99758A47E8}">
      <text>
        <r>
          <rPr>
            <sz val="12"/>
            <color indexed="81"/>
            <rFont val="Times New Roman"/>
            <family val="1"/>
          </rPr>
          <t>Small horn (hearing) or glass eye (seeing)</t>
        </r>
      </text>
    </comment>
    <comment ref="D46" authorId="0" shapeId="0" xr:uid="{9751367B-088F-41D8-9897-BC255C996279}">
      <text>
        <r>
          <rPr>
            <sz val="12"/>
            <color indexed="81"/>
            <rFont val="Times New Roman"/>
            <family val="1"/>
          </rPr>
          <t>Brass hoop</t>
        </r>
      </text>
    </comment>
    <comment ref="D47" authorId="0" shapeId="0" xr:uid="{22D304C6-9730-40EF-8449-5A3EE20D5A1E}">
      <text>
        <r>
          <rPr>
            <sz val="12"/>
            <color indexed="81"/>
            <rFont val="Times New Roman"/>
            <family val="1"/>
          </rPr>
          <t>Sand, rose petals, or live cricket</t>
        </r>
      </text>
    </comment>
    <comment ref="D49" authorId="0" shapeId="0" xr:uid="{5FE059CB-728B-4E24-9C51-9E0839E73D6B}">
      <text>
        <r>
          <rPr>
            <sz val="12"/>
            <color indexed="81"/>
            <rFont val="Times New Roman"/>
            <family val="1"/>
          </rPr>
          <t>Displacer beast hide leather strap tied into a loop</t>
        </r>
      </text>
    </comment>
    <comment ref="D52" authorId="0" shapeId="0" xr:uid="{86688AB5-9DA2-4FFD-ACD8-670D13D228ED}">
      <text>
        <r>
          <rPr>
            <sz val="12"/>
            <color indexed="81"/>
            <rFont val="Times New Roman"/>
            <family val="1"/>
          </rPr>
          <t>Roots</t>
        </r>
      </text>
    </comment>
    <comment ref="D54" authorId="0" shapeId="0" xr:uid="{DF53B775-6998-402F-ADE8-4724A7B93F06}">
      <text>
        <r>
          <rPr>
            <sz val="12"/>
            <color indexed="81"/>
            <rFont val="Times New Roman"/>
            <family val="1"/>
          </rPr>
          <t>Iron or holy symbol</t>
        </r>
      </text>
    </comment>
    <comment ref="D56" authorId="0" shapeId="0" xr:uid="{3FCB7343-0066-48E9-A477-6B2AC9B89ED0}">
      <text>
        <r>
          <rPr>
            <sz val="12"/>
            <color indexed="81"/>
            <rFont val="Times New Roman"/>
            <family val="1"/>
          </rPr>
          <t>Elelash in gum arabic</t>
        </r>
      </text>
    </comment>
    <comment ref="D57" authorId="0" shapeId="0" xr:uid="{A89E8E35-EAFB-4CAC-99BF-14FD339C722C}">
      <text>
        <r>
          <rPr>
            <sz val="12"/>
            <color indexed="81"/>
            <rFont val="Times New Roman"/>
            <family val="1"/>
          </rPr>
          <t>Pewter figurine</t>
        </r>
      </text>
    </comment>
    <comment ref="D58" authorId="0" shapeId="0" xr:uid="{4D1997B8-0D50-4FD6-A3FF-F5C5E12E9A2E}">
      <text>
        <r>
          <rPr>
            <sz val="12"/>
            <color indexed="81"/>
            <rFont val="Times New Roman"/>
            <family val="1"/>
          </rPr>
          <t>Fleece</t>
        </r>
      </text>
    </comment>
    <comment ref="D59" authorId="0" shapeId="0" xr:uid="{FB30B07D-992A-4ED0-8427-AB058CA983E5}">
      <text>
        <r>
          <rPr>
            <sz val="12"/>
            <color indexed="81"/>
            <rFont val="Times New Roman"/>
            <family val="1"/>
          </rPr>
          <t>Roots</t>
        </r>
      </text>
    </comment>
    <comment ref="D60" authorId="0" shapeId="0" xr:uid="{2C87E473-9709-4D93-BCE0-6A4E6D31C09D}">
      <text>
        <r>
          <rPr>
            <sz val="12"/>
            <color indexed="81"/>
            <rFont val="Times New Roman"/>
            <family val="1"/>
          </rPr>
          <t>Molasses</t>
        </r>
      </text>
    </comment>
    <comment ref="D65" authorId="0" shapeId="0" xr:uid="{642DB838-C539-475D-BBDA-65D54EBE8555}">
      <text>
        <r>
          <rPr>
            <sz val="12"/>
            <color indexed="81"/>
            <rFont val="Times New Roman"/>
            <family val="1"/>
          </rPr>
          <t>Three nutshells</t>
        </r>
      </text>
    </comment>
    <comment ref="D66" authorId="0" shapeId="0" xr:uid="{669724EB-42EE-43E1-AB4B-CB5EA1B5A90B}">
      <text>
        <r>
          <rPr>
            <sz val="12"/>
            <color indexed="81"/>
            <rFont val="Times New Roman"/>
            <family val="1"/>
          </rPr>
          <t>Vial of tears</t>
        </r>
      </text>
    </comment>
    <comment ref="D67" authorId="0" shapeId="0" xr:uid="{81F8B05C-355E-4FD2-BD82-3627F54F531C}">
      <text/>
    </comment>
    <comment ref="D70" authorId="0" shapeId="0" xr:uid="{AF6A516C-E707-4D1E-AB83-1FBCE9F2ECDC}">
      <text>
        <r>
          <rPr>
            <sz val="12"/>
            <color indexed="81"/>
            <rFont val="Times New Roman"/>
            <family val="1"/>
          </rPr>
          <t>Fur from scent hound</t>
        </r>
      </text>
    </comment>
    <comment ref="D73" authorId="0" shapeId="0" xr:uid="{648C74BA-F44D-4B91-80CC-98A395593C5E}">
      <text>
        <r>
          <rPr>
            <sz val="12"/>
            <color indexed="81"/>
            <rFont val="Times New Roman"/>
            <family val="1"/>
          </rPr>
          <t>Phosphor &amp; crystal prism</t>
        </r>
      </text>
    </comment>
    <comment ref="D75" authorId="0" shapeId="0" xr:uid="{85631D3B-29B9-4911-AFA4-181D4DF9B1F0}">
      <text>
        <r>
          <rPr>
            <sz val="12"/>
            <color indexed="81"/>
            <rFont val="Times New Roman"/>
            <family val="1"/>
          </rPr>
          <t>dried, powdered peased and powdered animal hoof</t>
        </r>
      </text>
    </comment>
    <comment ref="D78" authorId="0" shapeId="0" xr:uid="{B09BEF8E-6FE9-44CD-96A0-18FC29D0E54D}">
      <text>
        <r>
          <rPr>
            <sz val="12"/>
            <color indexed="81"/>
            <rFont val="Times New Roman"/>
            <family val="1"/>
          </rPr>
          <t>clay, crystal, glass, or mineral spheres</t>
        </r>
      </text>
    </comment>
    <comment ref="D79" authorId="0" shapeId="0" xr:uid="{913B90A7-1BDE-47BF-A53B-72BCA0A683DE}">
      <text>
        <r>
          <rPr>
            <sz val="12"/>
            <color indexed="81"/>
            <rFont val="Times New Roman"/>
            <family val="1"/>
          </rPr>
          <t>white silk</t>
        </r>
      </text>
    </comment>
    <comment ref="D80" authorId="0" shapeId="0" xr:uid="{D0D69EEC-56C1-430D-AB13-43FE69CB1896}">
      <text>
        <r>
          <rPr>
            <sz val="12"/>
            <color indexed="81"/>
            <rFont val="Times New Roman"/>
            <family val="1"/>
          </rPr>
          <t>metal bar or rod, which can be as small as a three-penny nail</t>
        </r>
      </text>
    </comment>
    <comment ref="D83" authorId="0" shapeId="0" xr:uid="{6315898C-0A82-4450-A464-D628A1401195}">
      <text>
        <r>
          <rPr>
            <sz val="12"/>
            <color indexed="81"/>
            <rFont val="Times New Roman"/>
            <family val="1"/>
          </rPr>
          <t>eggshells from 2 different kids of creatures</t>
        </r>
      </text>
    </comment>
    <comment ref="D85" authorId="0" shapeId="0" xr:uid="{32D09122-F82C-4613-A985-360CA32D41D0}">
      <text/>
    </comment>
    <comment ref="D94" authorId="0" shapeId="0" xr:uid="{EF57A877-0E79-4459-8E97-72AAE1E85747}">
      <text>
        <r>
          <rPr>
            <sz val="12"/>
            <rFont val="Times New Roman"/>
            <family val="1"/>
          </rPr>
          <t>An ointment for the eyes that costs 250 gp and is made from mushroom powder, saffron, and fat.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A4AB48E9-495B-4AF2-904B-40BE146220F8}">
      <text>
        <r>
          <rPr>
            <sz val="12"/>
            <color indexed="81"/>
            <rFont val="Times New Roman"/>
            <family val="1"/>
          </rPr>
          <t xml:space="preserve">You are descended from creatures native to the Lower Planes.
You share some of your ancestors' natural resistance to poison, and you are resistant to the magic of good foes.
</t>
        </r>
        <r>
          <rPr>
            <b/>
            <sz val="12"/>
            <color indexed="81"/>
            <rFont val="Times New Roman"/>
            <family val="1"/>
          </rPr>
          <t xml:space="preserve">Prerequisite: </t>
        </r>
        <r>
          <rPr>
            <sz val="12"/>
            <color indexed="81"/>
            <rFont val="Times New Roman"/>
            <family val="1"/>
          </rPr>
          <t xml:space="preserve">Non-good alignment.
</t>
        </r>
        <r>
          <rPr>
            <b/>
            <sz val="12"/>
            <color indexed="81"/>
            <rFont val="Times New Roman"/>
            <family val="1"/>
          </rPr>
          <t xml:space="preserve">Benefit: </t>
        </r>
        <r>
          <rPr>
            <sz val="12"/>
            <color indexed="81"/>
            <rFont val="Times New Roman"/>
            <family val="1"/>
          </rPr>
          <t>You gain a +4 bonus on Fortitude saving throws against poison.
You also gain a +1 bonus on saving throws against spells or other effects produced by good creatures.
Complete Mage 43</t>
        </r>
      </text>
    </comment>
    <comment ref="A3" authorId="0" shapeId="0" xr:uid="{42C7A97C-7376-4E2C-8D6B-69BAA70613A9}">
      <text>
        <r>
          <rPr>
            <sz val="12"/>
            <color indexed="81"/>
            <rFont val="Times New Roman"/>
            <family val="1"/>
          </rPr>
          <t xml:space="preserve">Your people are accustomed to dealing with strangers and foreigners without needing to draw weapons to make their point.
</t>
        </r>
        <r>
          <rPr>
            <b/>
            <sz val="12"/>
            <color indexed="81"/>
            <rFont val="Times New Roman"/>
            <family val="1"/>
          </rPr>
          <t xml:space="preserve">Regions: </t>
        </r>
        <r>
          <rPr>
            <sz val="12"/>
            <color indexed="81"/>
            <rFont val="Times New Roman"/>
            <family val="1"/>
          </rPr>
          <t xml:space="preserve">Luiren, Silverymoon, Thesk, Waterdeep, gold dwarf, lightfoot halfling.
</t>
        </r>
        <r>
          <rPr>
            <b/>
            <sz val="12"/>
            <color indexed="81"/>
            <rFont val="Times New Roman"/>
            <family val="1"/>
          </rPr>
          <t xml:space="preserve">Benefit: </t>
        </r>
        <r>
          <rPr>
            <sz val="12"/>
            <color indexed="81"/>
            <rFont val="Times New Roman"/>
            <family val="1"/>
          </rPr>
          <t>You gain a +2 bonus on all Diplomacy and Sense Motive checks.
FRCS 37 - 38</t>
        </r>
      </text>
    </comment>
    <comment ref="A4" authorId="0" shapeId="0" xr:uid="{98A7E4B5-E47F-48F3-8103-18EC0C8862E3}">
      <text>
        <r>
          <rPr>
            <sz val="12"/>
            <color indexed="81"/>
            <rFont val="Times New Roman"/>
            <family val="1"/>
          </rPr>
          <t xml:space="preserve">You have picked up a smattering of even the most obscure
skills.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You can use any skill as if you had 1/2 rank in that skill.  This benefit allows you to attempt checks with skills that normally don’t allow untrained skill checks (such as Decipher Script and Knowledge).  If a skill doesn’t allow skill checks (such as Speak Language), this feat has no effect.
</t>
        </r>
        <r>
          <rPr>
            <b/>
            <sz val="12"/>
            <color indexed="81"/>
            <rFont val="Times New Roman"/>
            <family val="1"/>
          </rPr>
          <t xml:space="preserve">Normal:  </t>
        </r>
        <r>
          <rPr>
            <sz val="12"/>
            <color indexed="81"/>
            <rFont val="Times New Roman"/>
            <family val="1"/>
          </rPr>
          <t>Without this feat, you can’t attempt some skill checks (Decipher Script, Disable Device, Handle Animal, Knowledge, Open Lock, Profession, Sleight of Hand, Speak Language, Spellcraft, Tumble, and Use Magic Device) unless you have ranks in the skill.
Complete Adventurer 110</t>
        </r>
      </text>
    </comment>
    <comment ref="A5" authorId="0" shapeId="0" xr:uid="{73C21A6B-DF6F-4CE0-917A-48C20A5C1ACF}">
      <text>
        <r>
          <rPr>
            <sz val="12"/>
            <color indexed="81"/>
            <rFont val="Times New Roman"/>
            <family val="1"/>
          </rPr>
          <t xml:space="preserve">You have a knack for magical endeavors.
</t>
        </r>
        <r>
          <rPr>
            <b/>
            <sz val="12"/>
            <color indexed="81"/>
            <rFont val="Times New Roman"/>
            <family val="1"/>
          </rPr>
          <t xml:space="preserve">Benefit: </t>
        </r>
        <r>
          <rPr>
            <sz val="12"/>
            <color indexed="81"/>
            <rFont val="Times New Roman"/>
            <family val="1"/>
          </rPr>
          <t>You get a +2 bonus on all Spellcraft checks and Use Magic Device checks.
PHB 97</t>
        </r>
      </text>
    </comment>
    <comment ref="C6" authorId="0" shapeId="0" xr:uid="{A1CE6251-56F3-4C6E-8A7D-F239BFB36D87}">
      <text>
        <r>
          <rPr>
            <sz val="12"/>
            <color indexed="81"/>
            <rFont val="Times New Roman"/>
            <family val="1"/>
          </rPr>
          <t xml:space="preserve">You are fascinated by knowledge and learning and are capable of pursuing complex trains of thought quite quickly. However, your preoccupation with such thoughts makes you a little less aware of your surroundings.
</t>
        </r>
        <r>
          <rPr>
            <b/>
            <sz val="12"/>
            <color indexed="81"/>
            <rFont val="Times New Roman"/>
            <family val="1"/>
          </rPr>
          <t xml:space="preserve">Benefit: </t>
        </r>
        <r>
          <rPr>
            <sz val="12"/>
            <color indexed="81"/>
            <rFont val="Times New Roman"/>
            <family val="1"/>
          </rPr>
          <t xml:space="preserve">You gain a +1 bonus on Knowledge checks (although this does not let you use a Knowledge skill untrained).
</t>
        </r>
        <r>
          <rPr>
            <b/>
            <sz val="12"/>
            <color indexed="81"/>
            <rFont val="Times New Roman"/>
            <family val="1"/>
          </rPr>
          <t xml:space="preserve">Drawback: </t>
        </r>
        <r>
          <rPr>
            <sz val="12"/>
            <color indexed="81"/>
            <rFont val="Times New Roman"/>
            <family val="1"/>
          </rPr>
          <t xml:space="preserve">You take a –1 penalty on Spot checks and Listen checks.
</t>
        </r>
        <r>
          <rPr>
            <b/>
            <sz val="12"/>
            <color indexed="81"/>
            <rFont val="Times New Roman"/>
            <family val="1"/>
          </rPr>
          <t xml:space="preserve">Roleplaying Ideas: </t>
        </r>
        <r>
          <rPr>
            <sz val="12"/>
            <color indexed="81"/>
            <rFont val="Times New Roman"/>
            <family val="1"/>
          </rPr>
          <t>Characters with this trait might fl it from idea to idea, trailing off in mid-sentence or mumbling their way through complex ideas. Conversely, characters with this trait might be extremely articulate but still allow their thoughts to move faster than the pace of a conversation.
Unearthed Arcana 87</t>
        </r>
      </text>
    </comment>
    <comment ref="C7" authorId="0" shapeId="0" xr:uid="{2629EF4B-9BBF-4B6D-9542-162E9CDBCD6B}">
      <text>
        <r>
          <rPr>
            <sz val="12"/>
            <color indexed="81"/>
            <rFont val="Times New Roman"/>
            <family val="1"/>
          </rPr>
          <t xml:space="preserve">You are courteous and well spoken.
</t>
        </r>
        <r>
          <rPr>
            <b/>
            <sz val="12"/>
            <color indexed="81"/>
            <rFont val="Times New Roman"/>
            <family val="1"/>
          </rPr>
          <t xml:space="preserve">Benefit: </t>
        </r>
        <r>
          <rPr>
            <sz val="12"/>
            <color indexed="81"/>
            <rFont val="Times New Roman"/>
            <family val="1"/>
          </rPr>
          <t xml:space="preserve">You gain a +1 bonus on Diplomacy checks.
</t>
        </r>
        <r>
          <rPr>
            <b/>
            <sz val="12"/>
            <color indexed="81"/>
            <rFont val="Times New Roman"/>
            <family val="1"/>
          </rPr>
          <t xml:space="preserve">Drawback: </t>
        </r>
        <r>
          <rPr>
            <sz val="12"/>
            <color indexed="81"/>
            <rFont val="Times New Roman"/>
            <family val="1"/>
          </rPr>
          <t xml:space="preserve">You take a –2 penalty on Intimidate checks.
</t>
        </r>
        <r>
          <rPr>
            <b/>
            <sz val="12"/>
            <color indexed="81"/>
            <rFont val="Times New Roman"/>
            <family val="1"/>
          </rPr>
          <t xml:space="preserve">Roleplaying Ideas: </t>
        </r>
        <r>
          <rPr>
            <sz val="12"/>
            <color indexed="81"/>
            <rFont val="Times New Roman"/>
            <family val="1"/>
          </rPr>
          <t>Characters with this trait might be honestly polite and kind, or they might simply be adept at mimicking social conventions to get what they want.
Unearthed Arcana 89</t>
        </r>
      </text>
    </comment>
    <comment ref="A8" authorId="0" shapeId="0" xr:uid="{DB90D070-7ED5-4209-8697-1DA1BE415602}">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8" authorId="0" shapeId="0" xr:uid="{A7B83539-80C6-466D-91B5-A51C45F9A3C8}">
      <text>
        <r>
          <rPr>
            <sz val="12"/>
            <color indexed="81"/>
            <rFont val="Times New Roman"/>
            <family val="1"/>
          </rPr>
          <t xml:space="preserve">Your vision is obscured.
</t>
        </r>
        <r>
          <rPr>
            <b/>
            <sz val="12"/>
            <color indexed="81"/>
            <rFont val="Times New Roman"/>
            <family val="1"/>
          </rPr>
          <t xml:space="preserve">Effect: </t>
        </r>
        <r>
          <rPr>
            <sz val="12"/>
            <color indexed="81"/>
            <rFont val="Times New Roman"/>
            <family val="1"/>
          </rPr>
          <t>In combat, every time you attack an opponent that has concealment, roll your miss chance twice. If either or both results indicate that you miss, your attack fails.
Unearthed Arcana 91</t>
        </r>
      </text>
    </comment>
    <comment ref="A9" authorId="0" shapeId="0" xr:uid="{00000000-0006-0000-0300-00000B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10" authorId="0" shapeId="0" xr:uid="{00000000-0006-0000-0300-00000A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A11" authorId="0" shapeId="0" xr:uid="{00000000-0006-0000-0300-000010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2" authorId="0" shapeId="0" xr:uid="{36167DFC-EA59-4A63-B1CC-8EFED5FC14EC}">
      <text>
        <r>
          <rPr>
            <sz val="12"/>
            <color indexed="81"/>
            <rFont val="Times New Roman"/>
            <family val="1"/>
          </rPr>
          <t>Hand crossbow, rapier, sap, shortbow, and short sword.
PHB 50</t>
        </r>
      </text>
    </comment>
    <comment ref="A14" authorId="0" shapeId="0" xr:uid="{1169ADC8-47C7-46DD-B07C-589D491E3AEC}">
      <text>
        <r>
          <rPr>
            <sz val="12"/>
            <color indexed="81"/>
            <rFont val="Times New Roman"/>
            <family val="1"/>
          </rPr>
          <t>Normally, armor of any type interferes with an arcane spellcaster’s gestures, which can cause your spells to fail if those spells have a somatic component.  A beguiler’s limited focus and specialized training, however, allow you to avoid any chance of arcane spell failure as long as you restrict yourself to light armor.
This training does not extend to any other form of armor, nor does this ability apply to spells gained from other spellcasting classes.
PHB II 7</t>
        </r>
      </text>
    </comment>
    <comment ref="A15" authorId="0" shapeId="0" xr:uid="{09C509B7-427E-4156-8357-04E87ECC81FB}">
      <text>
        <r>
          <rPr>
            <sz val="12"/>
            <color indexed="81"/>
            <rFont val="Times New Roman"/>
            <family val="1"/>
          </rPr>
          <t>Beguilers can use the Search skill to locate traps when the task has a Diffi culty Class higher than 20.
Finding a nonmagical trap has a DC of at least 20, or higher if it is well hidden. Finding a magic trap has a DC of 25 + the level of the spell used to create it.
Beguilers can use the Disable Device skill to disarm magic traps. A magic trap typically has a DC of 25 + the level of the spell used to create it.
A beguiler who beats a trap’s DC by 10 or more with a Disable Device check can study a trap, fi gure out how it works, and bypass it (with his allies) without disarming it.
PHB II 7</t>
        </r>
      </text>
    </comment>
    <comment ref="A16" authorId="0" shapeId="0" xr:uid="{B74C03FB-F4AA-4AEC-8235-78248ACE9BA7}">
      <text>
        <r>
          <rPr>
            <sz val="12"/>
            <color indexed="81"/>
            <rFont val="Times New Roman"/>
            <family val="1"/>
          </rPr>
          <t>Starting at 2nd level, a beguiler’s spells become more effective when cast against an unwary foe. You gain a +1 bonus to the spell’s save DC when you cast a spell that targets any foe who would be denied a Dexterity bonus to AC (whether the target actually has a Dexterity bonus or not).
At 8th level, you gain a +2 bonus on rolls made to overcome the spell resistance of any affected target.
At 14th level, the bonus to your spell’s save DC increases to +2.  At 20th level, you become able to automatically overcome the spell resistance of any affected target.
PHB II 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400-000005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7" authorId="0" shapeId="0" xr:uid="{8C23856B-BB9E-4787-8BBC-1CB87C78E474}">
      <text>
        <r>
          <rPr>
            <b/>
            <sz val="12"/>
            <color indexed="81"/>
            <rFont val="Times New Roman"/>
            <family val="1"/>
          </rPr>
          <t xml:space="preserve">Price (Item Level): </t>
        </r>
        <r>
          <rPr>
            <sz val="12"/>
            <color indexed="81"/>
            <rFont val="Times New Roman"/>
            <family val="1"/>
          </rPr>
          <t xml:space="preserve">10 gp (1/2)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(manipulation)
</t>
        </r>
        <r>
          <rPr>
            <b/>
            <sz val="12"/>
            <color indexed="81"/>
            <rFont val="Times New Roman"/>
            <family val="1"/>
          </rPr>
          <t xml:space="preserve">Weight: </t>
        </r>
        <r>
          <rPr>
            <sz val="12"/>
            <color indexed="81"/>
            <rFont val="Times New Roman"/>
            <family val="1"/>
          </rPr>
          <t>—
A single, softly glowing thread runs along one side of this linen bandage.  Applying a blessed bandage immediately stabilizes the recipient (but heals no damage).
Magic Item Compendium 152</t>
        </r>
      </text>
    </comment>
  </commentList>
</comments>
</file>

<file path=xl/sharedStrings.xml><?xml version="1.0" encoding="utf-8"?>
<sst xmlns="http://schemas.openxmlformats.org/spreadsheetml/2006/main" count="1022" uniqueCount="395">
  <si>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</si>
  <si>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</si>
  <si>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</si>
  <si>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</si>
  <si>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</si>
  <si>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</si>
  <si>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</si>
  <si>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</si>
  <si>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</si>
  <si>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</si>
  <si>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</si>
  <si>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</si>
  <si>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</si>
  <si>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</si>
  <si>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</si>
  <si>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</si>
  <si>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</si>
  <si>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</si>
  <si>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</si>
  <si>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</si>
  <si>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</si>
  <si>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</si>
  <si>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</si>
  <si>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</si>
  <si>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</si>
  <si>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</si>
  <si>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</si>
  <si>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</si>
  <si>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</si>
  <si>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</si>
  <si>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</si>
  <si>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</si>
  <si>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</si>
  <si>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</si>
  <si>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</si>
  <si>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</si>
  <si>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</si>
  <si>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</si>
  <si>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</si>
  <si>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</si>
  <si>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</si>
  <si>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</si>
  <si>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</si>
  <si>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</si>
  <si>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</si>
  <si>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</si>
  <si>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</si>
  <si>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</si>
  <si>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</si>
  <si>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</si>
  <si>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</si>
  <si>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</si>
  <si>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</si>
  <si>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</si>
  <si>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</si>
  <si>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</si>
  <si>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</si>
  <si>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</si>
  <si>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</si>
  <si>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</si>
  <si>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</si>
  <si>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</si>
  <si>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Check</t>
  </si>
  <si>
    <t>Arcane</t>
  </si>
  <si>
    <t>Speed</t>
  </si>
  <si>
    <t>Speak Language</t>
  </si>
  <si>
    <t>Sleight of Hand</t>
  </si>
  <si>
    <t>Survival</t>
  </si>
  <si>
    <t>Weapon Proficiencies</t>
  </si>
  <si>
    <t>Atk</t>
  </si>
  <si>
    <t>Feats</t>
  </si>
  <si>
    <t>Rogue</t>
  </si>
  <si>
    <t>Evasion</t>
  </si>
  <si>
    <t>Trapfinding</t>
  </si>
  <si>
    <t>+2 to Disable Device &amp; Open Locks</t>
  </si>
  <si>
    <t>Roll</t>
  </si>
  <si>
    <t>Simple Weapons</t>
  </si>
  <si>
    <t>Rogue 1</t>
  </si>
  <si>
    <t>Light Armor</t>
  </si>
  <si>
    <t>19-20, x2</t>
  </si>
  <si>
    <t>Prcg/Slash</t>
  </si>
  <si>
    <t>Sap</t>
  </si>
  <si>
    <t>Skill/Save</t>
  </si>
  <si>
    <t>Piercing</t>
  </si>
  <si>
    <t>x2</t>
  </si>
  <si>
    <t>Bludgeon</t>
  </si>
  <si>
    <t>+0</t>
  </si>
  <si>
    <t>1d6</t>
  </si>
  <si>
    <t>Map Case</t>
  </si>
  <si>
    <t>waterproof</t>
  </si>
  <si>
    <t>Rogue Weapons</t>
  </si>
  <si>
    <t>Thrown Weapon</t>
  </si>
  <si>
    <t>Equipment Carried</t>
  </si>
  <si>
    <t>30’</t>
  </si>
  <si>
    <t>-</t>
  </si>
  <si>
    <t>Waterdeep</t>
  </si>
  <si>
    <t>Value</t>
  </si>
  <si>
    <t>Scrolls and Potions</t>
  </si>
  <si>
    <t>Level</t>
  </si>
  <si>
    <t>CLev</t>
  </si>
  <si>
    <t>Total Equity:</t>
  </si>
  <si>
    <t>Properties</t>
  </si>
  <si>
    <t>Constitution</t>
  </si>
  <si>
    <t>Dexterity</t>
  </si>
  <si>
    <t>Wisdom</t>
  </si>
  <si>
    <t>Intelligence</t>
  </si>
  <si>
    <t>Charisma</t>
  </si>
  <si>
    <t>Strength</t>
  </si>
  <si>
    <t>Race</t>
  </si>
  <si>
    <t>Class</t>
  </si>
  <si>
    <t>Region</t>
  </si>
  <si>
    <t>Deity</t>
  </si>
  <si>
    <t>Alignment</t>
  </si>
  <si>
    <t>Attack Bonus</t>
  </si>
  <si>
    <t>Initiative</t>
  </si>
  <si>
    <t>XP</t>
  </si>
  <si>
    <t>Sex</t>
  </si>
  <si>
    <t>Age</t>
  </si>
  <si>
    <t>Height</t>
  </si>
  <si>
    <t>Weight</t>
  </si>
  <si>
    <t>Base Speed</t>
  </si>
  <si>
    <t>Lb. Capacity</t>
  </si>
  <si>
    <t>Lb. Carried</t>
  </si>
  <si>
    <t>Hit Points</t>
  </si>
  <si>
    <t>Touch AC</t>
  </si>
  <si>
    <t>FF AC</t>
  </si>
  <si>
    <t>AC</t>
  </si>
  <si>
    <t>1d4</t>
  </si>
  <si>
    <t>Amelia</t>
  </si>
  <si>
    <t>Barton</t>
  </si>
  <si>
    <t>Played by Ernest S. Hakey III</t>
  </si>
  <si>
    <t>Rogue Features</t>
  </si>
  <si>
    <t>Sneak Attack +1d6</t>
  </si>
  <si>
    <t>Human</t>
  </si>
  <si>
    <t>Common, Chondathan,</t>
  </si>
  <si>
    <t>Illuskan, Goblin, Orc</t>
  </si>
  <si>
    <t>4’ 10”</t>
  </si>
  <si>
    <t>110 lbs.</t>
  </si>
  <si>
    <t>Lawful Neutral</t>
  </si>
  <si>
    <t>Oghma</t>
  </si>
  <si>
    <t>Human: Fiendish Heritage</t>
  </si>
  <si>
    <t>Regional: Smooth Talk</t>
  </si>
  <si>
    <t>1st: Jack Of All Trades</t>
  </si>
  <si>
    <t>Flaw: Magical Aptitude</t>
  </si>
  <si>
    <t>Murky-Eyed</t>
  </si>
  <si>
    <t>Flaws &amp; Traits</t>
  </si>
  <si>
    <t>Absent-minded</t>
  </si>
  <si>
    <t>Polite</t>
  </si>
  <si>
    <t>Knowledge:  Arcana</t>
  </si>
  <si>
    <t>Knowledge:  Archit./Engin.</t>
  </si>
  <si>
    <t>Knowledge:  Dungeoneering</t>
  </si>
  <si>
    <t>Knowledge:  History</t>
  </si>
  <si>
    <t>Knowledge:  Nobility &amp; Royalty</t>
  </si>
  <si>
    <t>Knowledge:  Nature</t>
  </si>
  <si>
    <t>Knowledge:  The Planes</t>
  </si>
  <si>
    <t>Knowledge:  Religion</t>
  </si>
  <si>
    <t>Perform:  Dance</t>
  </si>
  <si>
    <t>Profession:  [type]</t>
  </si>
  <si>
    <r>
      <t xml:space="preserve">Craft:  </t>
    </r>
    <r>
      <rPr>
        <b/>
        <sz val="13"/>
        <color rgb="FF008000"/>
        <rFont val="Calibri Light"/>
        <family val="2"/>
      </rPr>
      <t>[type]</t>
    </r>
  </si>
  <si>
    <t>Dagger</t>
  </si>
  <si>
    <t>1d4 nonlethal</t>
  </si>
  <si>
    <t>0 charges</t>
  </si>
  <si>
    <r>
      <t xml:space="preserve">Wand of </t>
    </r>
    <r>
      <rPr>
        <i/>
        <sz val="12"/>
        <rFont val="Calibri Light"/>
        <family val="2"/>
      </rPr>
      <t>…</t>
    </r>
  </si>
  <si>
    <r>
      <t xml:space="preserve">Scroll of </t>
    </r>
    <r>
      <rPr>
        <i/>
        <sz val="12"/>
        <rFont val="Calibri Light"/>
        <family val="2"/>
      </rPr>
      <t>…</t>
    </r>
  </si>
  <si>
    <t>Beguiler 1</t>
  </si>
  <si>
    <t>Armored Mage (light)</t>
  </si>
  <si>
    <t>Cloaked Casting (+2)</t>
  </si>
  <si>
    <t>Beguiler Features</t>
  </si>
  <si>
    <t>Leather Armor</t>
  </si>
  <si>
    <t>Rapier</t>
  </si>
  <si>
    <t>18-20, x2</t>
  </si>
  <si>
    <t>MW Light Crossbow</t>
  </si>
  <si>
    <t>1d8</t>
  </si>
  <si>
    <t>80’</t>
  </si>
  <si>
    <t>Traveler’s Outfit</t>
  </si>
  <si>
    <t>Wooden Holy Symbol</t>
  </si>
  <si>
    <t>Belt Pouch</t>
  </si>
  <si>
    <t>Satchel</t>
  </si>
  <si>
    <t>five</t>
  </si>
  <si>
    <t>one</t>
  </si>
  <si>
    <t>Spellbook/Journal</t>
  </si>
  <si>
    <t>Sack</t>
  </si>
  <si>
    <t>Ink Vials</t>
  </si>
  <si>
    <t>Antitoxin</t>
  </si>
  <si>
    <r>
      <t xml:space="preserve">Potion of </t>
    </r>
    <r>
      <rPr>
        <i/>
        <sz val="12"/>
        <rFont val="Calibri Light"/>
        <family val="2"/>
      </rPr>
      <t>Cure Light Wounds</t>
    </r>
  </si>
  <si>
    <t>Blessed Bandages</t>
  </si>
  <si>
    <t>Soft Equity Ceiling:</t>
  </si>
  <si>
    <t xml:space="preserve">Pack Saddle </t>
  </si>
  <si>
    <t xml:space="preserve">Bit &amp; Bridle </t>
  </si>
  <si>
    <t xml:space="preserve">Bedroll </t>
  </si>
  <si>
    <t xml:space="preserve">Waterskin </t>
  </si>
  <si>
    <t xml:space="preserve">Hooded Lantern </t>
  </si>
  <si>
    <t>Flask of Acid</t>
  </si>
  <si>
    <t xml:space="preserve">Bell </t>
  </si>
  <si>
    <t xml:space="preserve">Flint &amp; Steel </t>
  </si>
  <si>
    <t xml:space="preserve">Flasks of Oil </t>
  </si>
  <si>
    <t xml:space="preserve">Candles </t>
  </si>
  <si>
    <t xml:space="preserve">Tindertwigs </t>
  </si>
  <si>
    <t xml:space="preserve">Artisan’s Outfit </t>
  </si>
  <si>
    <t xml:space="preserve">Entertainer’s Outfit </t>
  </si>
  <si>
    <t xml:space="preserve">Monk’s Outfit </t>
  </si>
  <si>
    <t xml:space="preserve">Peasant’s Outfit </t>
  </si>
  <si>
    <t xml:space="preserve">Thieves’ Tools </t>
  </si>
  <si>
    <t xml:space="preserve">50’ of Silk Rope </t>
  </si>
  <si>
    <t>On Donkey “Finley”</t>
  </si>
  <si>
    <r>
      <t>33</t>
    </r>
    <r>
      <rPr>
        <sz val="13"/>
        <rFont val="Calibri Light"/>
        <family val="2"/>
      </rPr>
      <t>/</t>
    </r>
    <r>
      <rPr>
        <sz val="13"/>
        <color indexed="52"/>
        <rFont val="Calibri Light"/>
        <family val="2"/>
      </rPr>
      <t>66</t>
    </r>
    <r>
      <rPr>
        <sz val="13"/>
        <rFont val="Calibri Light"/>
        <family val="2"/>
      </rPr>
      <t>/</t>
    </r>
    <r>
      <rPr>
        <sz val="13"/>
        <color indexed="10"/>
        <rFont val="Calibri Light"/>
        <family val="2"/>
      </rPr>
      <t>100</t>
    </r>
  </si>
  <si>
    <t>Female</t>
  </si>
  <si>
    <t>Beguiler</t>
  </si>
  <si>
    <t>+2 in The North</t>
  </si>
  <si>
    <t>+2 in Waterdeep</t>
  </si>
  <si>
    <t>MW Thieves’ Tools</t>
  </si>
  <si>
    <t>1000</t>
  </si>
  <si>
    <t>Knowledge:  Local (Waterdeep)</t>
  </si>
  <si>
    <t>Knowledge:  Geography</t>
  </si>
  <si>
    <t>Knowledge:  Local (North)</t>
  </si>
  <si>
    <t>Beguiler Spells</t>
  </si>
  <si>
    <t>Spell</t>
  </si>
  <si>
    <t>School</t>
  </si>
  <si>
    <t>Components</t>
  </si>
  <si>
    <t>Casting</t>
  </si>
  <si>
    <t>Range</t>
  </si>
  <si>
    <t>Duration</t>
  </si>
  <si>
    <t>Reference</t>
  </si>
  <si>
    <t>Page</t>
  </si>
  <si>
    <t>Dancing Lights</t>
  </si>
  <si>
    <t>Illusion</t>
  </si>
  <si>
    <t>V S</t>
  </si>
  <si>
    <t>1 SA</t>
  </si>
  <si>
    <t>100’ + 10’/lvl</t>
  </si>
  <si>
    <t>1 minute</t>
  </si>
  <si>
    <t>PHB</t>
  </si>
  <si>
    <t>216</t>
  </si>
  <si>
    <t>Daze</t>
  </si>
  <si>
    <t>Enchantment</t>
  </si>
  <si>
    <t>V S M</t>
  </si>
  <si>
    <t>25’ + 2½’/lvl</t>
  </si>
  <si>
    <t>1 round</t>
  </si>
  <si>
    <t>217</t>
  </si>
  <si>
    <t>Detect Magic</t>
  </si>
  <si>
    <t>Universal</t>
  </si>
  <si>
    <t>60’</t>
  </si>
  <si>
    <t>1 min/lvl</t>
  </si>
  <si>
    <t>219</t>
  </si>
  <si>
    <t>Ghost Sound</t>
  </si>
  <si>
    <t>1 rnd/lvl</t>
  </si>
  <si>
    <t>235</t>
  </si>
  <si>
    <t>Message</t>
  </si>
  <si>
    <t>Transmutation</t>
  </si>
  <si>
    <t>V S F</t>
  </si>
  <si>
    <t>10 min/lvl</t>
  </si>
  <si>
    <t>Open/Close</t>
  </si>
  <si>
    <t>Instant</t>
  </si>
  <si>
    <t>Read Magic</t>
  </si>
  <si>
    <t>Personal</t>
  </si>
  <si>
    <t>269</t>
  </si>
  <si>
    <t>Charm Person</t>
  </si>
  <si>
    <t>1 hr/lvl</t>
  </si>
  <si>
    <t>Color Spray</t>
  </si>
  <si>
    <t>Comprehend Languages</t>
  </si>
  <si>
    <t>Divination</t>
  </si>
  <si>
    <t>V S M/DF</t>
  </si>
  <si>
    <t>Detect Secret Doors</t>
  </si>
  <si>
    <t>Disguise Self</t>
  </si>
  <si>
    <t>Expeditious Retreat</t>
  </si>
  <si>
    <t>Hypnotism</t>
  </si>
  <si>
    <t>2d4 rnds.</t>
  </si>
  <si>
    <t>Mage Armor</t>
  </si>
  <si>
    <t>Conjuration</t>
  </si>
  <si>
    <t>Touch</t>
  </si>
  <si>
    <t>Obscuring Mist</t>
  </si>
  <si>
    <t>30’ radius</t>
  </si>
  <si>
    <t>Rouse</t>
  </si>
  <si>
    <t>PHB II</t>
  </si>
  <si>
    <t>Silent Image</t>
  </si>
  <si>
    <t>400’ + 40’/lvl</t>
  </si>
  <si>
    <t>Concentrat.</t>
  </si>
  <si>
    <t>Sleep</t>
  </si>
  <si>
    <t>Undetectable Alignment</t>
  </si>
  <si>
    <t>Abjuration</t>
  </si>
  <si>
    <t>24 hours</t>
  </si>
  <si>
    <t>Net of Shadows</t>
  </si>
  <si>
    <t>1d6 rounds</t>
  </si>
  <si>
    <t>Spell Compendium</t>
  </si>
  <si>
    <t>Whelm</t>
  </si>
  <si>
    <t>Blinding Color Surge</t>
  </si>
  <si>
    <t>Evocation</t>
  </si>
  <si>
    <t>Blur</t>
  </si>
  <si>
    <t>V</t>
  </si>
  <si>
    <t>Daze Monster</t>
  </si>
  <si>
    <t>Detect Thoughts</t>
  </si>
  <si>
    <t>V S F/DF</t>
  </si>
  <si>
    <t>Fog Cloud</t>
  </si>
  <si>
    <t>Glitterdust</t>
  </si>
  <si>
    <t>Hypnotic Pattern</t>
  </si>
  <si>
    <t>special</t>
  </si>
  <si>
    <t>Invisibility</t>
  </si>
  <si>
    <t>Knock</t>
  </si>
  <si>
    <t>Minor Image</t>
  </si>
  <si>
    <t>Mirror Image</t>
  </si>
  <si>
    <t>Misdirection</t>
  </si>
  <si>
    <t>See Invisibilty</t>
  </si>
  <si>
    <t>Silence</t>
  </si>
  <si>
    <t>Spider Climb</t>
  </si>
  <si>
    <t>Stay the Hand</t>
  </si>
  <si>
    <t>Touch of Idiocy</t>
  </si>
  <si>
    <t>Vertigo</t>
  </si>
  <si>
    <t>Whelming Blast</t>
  </si>
  <si>
    <t>Arcane Sight</t>
  </si>
  <si>
    <t>Clairaudience/voyance</t>
  </si>
  <si>
    <t>10 minutes</t>
  </si>
  <si>
    <t>Crown of Veils</t>
  </si>
  <si>
    <t>Deep Slumber</t>
  </si>
  <si>
    <t>Dispel Magic</t>
  </si>
  <si>
    <t>Displacement</t>
  </si>
  <si>
    <t>V M</t>
  </si>
  <si>
    <t>Glibness</t>
  </si>
  <si>
    <t>S</t>
  </si>
  <si>
    <t>Halt</t>
  </si>
  <si>
    <t>1 IA</t>
  </si>
  <si>
    <t>Haste</t>
  </si>
  <si>
    <t>Hesitate</t>
  </si>
  <si>
    <t>Hold Person</t>
  </si>
  <si>
    <t>Inevitable Defeat</t>
  </si>
  <si>
    <t>Invisibility Sphere</t>
  </si>
  <si>
    <t>10’ radius</t>
  </si>
  <si>
    <t>Legion of Sentinels</t>
  </si>
  <si>
    <t>Major Image</t>
  </si>
  <si>
    <t>Nondetection</t>
  </si>
  <si>
    <t>Slow</t>
  </si>
  <si>
    <t>Suggestion</t>
  </si>
  <si>
    <t>Vertigo Field</t>
  </si>
  <si>
    <t>Zone of Silence</t>
  </si>
  <si>
    <t>1 FR</t>
  </si>
  <si>
    <t>5’ radius</t>
  </si>
  <si>
    <t>Charm Monster</t>
  </si>
  <si>
    <t>1 day/lvl</t>
  </si>
  <si>
    <t>Confusion</t>
  </si>
  <si>
    <t>Crushing Despair</t>
  </si>
  <si>
    <t>Freedom of Movement</t>
  </si>
  <si>
    <t>Greater Invisibility</t>
  </si>
  <si>
    <t>Greater Mirror Image</t>
  </si>
  <si>
    <t>Locate Creature</t>
  </si>
  <si>
    <t>Mass Whelm</t>
  </si>
  <si>
    <t>Phantom Battle</t>
  </si>
  <si>
    <t>Rainbow Pattern</t>
  </si>
  <si>
    <t>S M F</t>
  </si>
  <si>
    <t>Shadow Well</t>
  </si>
  <si>
    <t>Solid Fog</t>
  </si>
  <si>
    <t>Break Enchantment</t>
  </si>
  <si>
    <t>Dominate Person</t>
  </si>
  <si>
    <t>Feeblemind</t>
  </si>
  <si>
    <t>Friend to Foe</t>
  </si>
  <si>
    <t>Hold Monster</t>
  </si>
  <si>
    <t>Incite Riot</t>
  </si>
  <si>
    <t>Mind Fog</t>
  </si>
  <si>
    <t>Rary’s Telepathic Bond</t>
  </si>
  <si>
    <t>Seeming</t>
  </si>
  <si>
    <t>Sending</t>
  </si>
  <si>
    <t>12 hours</t>
  </si>
  <si>
    <t>Swift Etherealness</t>
  </si>
  <si>
    <t>Greater Dispel Magic</t>
  </si>
  <si>
    <t>Freezing Glance</t>
  </si>
  <si>
    <t>Frostburn</t>
  </si>
  <si>
    <t>Mass Suggestion</t>
  </si>
  <si>
    <t>Mislead</t>
  </si>
  <si>
    <t>Overwhelm</t>
  </si>
  <si>
    <t>Repulsion</t>
  </si>
  <si>
    <t>V S DF</t>
  </si>
  <si>
    <t>10’/lvl</t>
  </si>
  <si>
    <t>Shadow Walk</t>
  </si>
  <si>
    <t>True Seeing</t>
  </si>
  <si>
    <t>Veil</t>
  </si>
  <si>
    <t>Conc+1 hr/lvl</t>
  </si>
  <si>
    <t>Beguiler Spells per Day</t>
  </si>
  <si>
    <t>DC</t>
  </si>
  <si>
    <t>Cast?</t>
  </si>
  <si>
    <t>0th</t>
  </si>
  <si>
    <t>1st</t>
  </si>
  <si>
    <t>2nd</t>
  </si>
  <si>
    <t>3rd</t>
  </si>
  <si>
    <t>4th</t>
  </si>
  <si>
    <t>5th</t>
  </si>
  <si>
    <t>6th</t>
  </si>
  <si>
    <t>7th</t>
  </si>
  <si>
    <t>Total Daily Spells</t>
  </si>
  <si>
    <t>Caster Level</t>
  </si>
  <si>
    <t>1</t>
  </si>
  <si>
    <t>Bolts</t>
  </si>
  <si>
    <t>Intelligence Bonus</t>
  </si>
  <si>
    <t>Inkpen</t>
  </si>
  <si>
    <t>Carried by Donkey:</t>
  </si>
  <si>
    <t>Revelation Crystal</t>
  </si>
  <si>
    <t>MIC 66</t>
  </si>
  <si>
    <t>+1 vs Good</t>
  </si>
  <si>
    <t>+1 vs Good; +4 vs Poisons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</si>
</sst>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3" x14ac:knownFonts="1">
    <font>
      <sz val="12"/>
      <name val="Times New Roman"/>
    </font>
    <font>
      <sz val="12"/>
      <name val="Times New Roman"/>
      <family val="1"/>
    </font>
    <font>
      <sz val="12"/>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2"/>
      <color indexed="81"/>
      <name val="Times New Roman"/>
      <family val="1"/>
    </font>
    <font>
      <i/>
      <sz val="12"/>
      <color indexed="81"/>
      <name val="Times New Roman"/>
      <family val="1"/>
    </font>
    <font>
      <i/>
      <sz val="22"/>
      <color theme="6" tint="-0.249977111117893"/>
      <name val="Calibri Light"/>
      <family val="2"/>
    </font>
    <font>
      <i/>
      <sz val="22"/>
      <color theme="7" tint="0.39997558519241921"/>
      <name val="Calibri Light"/>
      <family val="2"/>
    </font>
    <font>
      <b/>
      <sz val="12"/>
      <name val="Calibri Light"/>
      <family val="2"/>
    </font>
    <font>
      <sz val="12"/>
      <color rgb="FFFF0000"/>
      <name val="Calibri Light"/>
      <family val="2"/>
    </font>
    <font>
      <i/>
      <sz val="12"/>
      <color indexed="42"/>
      <name val="Calibri Light"/>
      <family val="2"/>
    </font>
    <font>
      <sz val="12"/>
      <name val="Calibri Light"/>
      <family val="2"/>
    </font>
    <font>
      <b/>
      <sz val="13"/>
      <name val="Calibri Light"/>
      <family val="2"/>
    </font>
    <font>
      <sz val="13"/>
      <name val="Calibri Light"/>
      <family val="2"/>
    </font>
    <font>
      <b/>
      <sz val="13"/>
      <color rgb="FF7030A0"/>
      <name val="Calibri Light"/>
      <family val="2"/>
    </font>
    <font>
      <b/>
      <sz val="13"/>
      <color indexed="10"/>
      <name val="Calibri Light"/>
      <family val="2"/>
    </font>
    <font>
      <sz val="13"/>
      <color indexed="23"/>
      <name val="Calibri Light"/>
      <family val="2"/>
    </font>
    <font>
      <sz val="13"/>
      <color indexed="17"/>
      <name val="Calibri Light"/>
      <family val="2"/>
    </font>
    <font>
      <sz val="13"/>
      <color indexed="51"/>
      <name val="Calibri Light"/>
      <family val="2"/>
    </font>
    <font>
      <sz val="13"/>
      <color indexed="10"/>
      <name val="Calibri Light"/>
      <family val="2"/>
    </font>
    <font>
      <b/>
      <sz val="13"/>
      <color indexed="46"/>
      <name val="Calibri Light"/>
      <family val="2"/>
    </font>
    <font>
      <b/>
      <sz val="13"/>
      <color indexed="12"/>
      <name val="Calibri Light"/>
      <family val="2"/>
    </font>
    <font>
      <b/>
      <sz val="13"/>
      <color rgb="FF00CC00"/>
      <name val="Calibri Light"/>
      <family val="2"/>
    </font>
    <font>
      <b/>
      <sz val="13"/>
      <color indexed="17"/>
      <name val="Calibri Light"/>
      <family val="2"/>
    </font>
    <font>
      <b/>
      <sz val="13"/>
      <color indexed="51"/>
      <name val="Calibri Light"/>
      <family val="2"/>
    </font>
    <font>
      <b/>
      <sz val="13"/>
      <color indexed="52"/>
      <name val="Calibri Light"/>
      <family val="2"/>
    </font>
    <font>
      <i/>
      <sz val="18"/>
      <name val="Calibri Light"/>
      <family val="2"/>
    </font>
    <font>
      <sz val="18"/>
      <name val="Calibri Light"/>
      <family val="2"/>
    </font>
    <font>
      <b/>
      <sz val="18"/>
      <name val="Calibri Light"/>
      <family val="2"/>
    </font>
    <font>
      <i/>
      <sz val="18"/>
      <color indexed="17"/>
      <name val="Calibri Light"/>
      <family val="2"/>
    </font>
    <font>
      <b/>
      <sz val="13"/>
      <color indexed="9"/>
      <name val="Calibri Light"/>
      <family val="2"/>
    </font>
    <font>
      <b/>
      <sz val="13"/>
      <color rgb="FFFFC000"/>
      <name val="Calibri Light"/>
      <family val="2"/>
    </font>
    <font>
      <b/>
      <sz val="13"/>
      <color rgb="FFFF0000"/>
      <name val="Calibri Light"/>
      <family val="2"/>
    </font>
    <font>
      <b/>
      <sz val="13"/>
      <color rgb="FF0000FF"/>
      <name val="Calibri Light"/>
      <family val="2"/>
    </font>
    <font>
      <sz val="12"/>
      <color indexed="17"/>
      <name val="Calibri Light"/>
      <family val="2"/>
    </font>
    <font>
      <sz val="13"/>
      <color indexed="46"/>
      <name val="Calibri Light"/>
      <family val="2"/>
    </font>
    <font>
      <sz val="12"/>
      <color indexed="51"/>
      <name val="Calibri Light"/>
      <family val="2"/>
    </font>
    <font>
      <sz val="13"/>
      <color indexed="52"/>
      <name val="Calibri Light"/>
      <family val="2"/>
    </font>
    <font>
      <sz val="12"/>
      <color indexed="52"/>
      <name val="Calibri Light"/>
      <family val="2"/>
    </font>
    <font>
      <sz val="12"/>
      <color indexed="46"/>
      <name val="Calibri Light"/>
      <family val="2"/>
    </font>
    <font>
      <sz val="13"/>
      <color indexed="12"/>
      <name val="Calibri Light"/>
      <family val="2"/>
    </font>
    <font>
      <sz val="12"/>
      <color indexed="10"/>
      <name val="Calibri Light"/>
      <family val="2"/>
    </font>
    <font>
      <b/>
      <sz val="12"/>
      <color indexed="9"/>
      <name val="Calibri Light"/>
      <family val="2"/>
    </font>
    <font>
      <i/>
      <sz val="16"/>
      <color indexed="53"/>
      <name val="Calibri Light"/>
      <family val="2"/>
    </font>
    <font>
      <i/>
      <sz val="16"/>
      <color indexed="10"/>
      <name val="Calibri Light"/>
      <family val="2"/>
    </font>
    <font>
      <i/>
      <sz val="16"/>
      <color indexed="57"/>
      <name val="Calibri Light"/>
      <family val="2"/>
    </font>
    <font>
      <b/>
      <sz val="12"/>
      <color rgb="FFFFC000"/>
      <name val="Calibri Light"/>
      <family val="2"/>
    </font>
    <font>
      <sz val="12"/>
      <color rgb="FFFFC000"/>
      <name val="Calibri Light"/>
      <family val="2"/>
    </font>
    <font>
      <i/>
      <sz val="12"/>
      <name val="Calibri Light"/>
      <family val="2"/>
    </font>
    <font>
      <sz val="11"/>
      <name val="Calibri Light"/>
      <family val="2"/>
    </font>
    <font>
      <sz val="12"/>
      <color theme="0"/>
      <name val="Calibri Light"/>
      <family val="2"/>
    </font>
    <font>
      <b/>
      <sz val="13"/>
      <color rgb="FF00B0F0"/>
      <name val="Calibri Light"/>
      <family val="2"/>
    </font>
    <font>
      <b/>
      <sz val="13"/>
      <color rgb="FF008000"/>
      <name val="Calibri Light"/>
      <family val="2"/>
    </font>
    <font>
      <i/>
      <sz val="16"/>
      <color rgb="FF9933FF"/>
      <name val="Calibri Light"/>
      <family val="2"/>
    </font>
    <font>
      <sz val="13"/>
      <color rgb="FFFF0000"/>
      <name val="Calibri Light"/>
      <family val="2"/>
    </font>
    <font>
      <b/>
      <sz val="12"/>
      <color rgb="FF009900"/>
      <name val="Calibri Light"/>
      <family val="2"/>
    </font>
    <font>
      <b/>
      <sz val="12"/>
      <color theme="0"/>
      <name val="Calibri Light"/>
      <family val="2"/>
    </font>
    <font>
      <i/>
      <sz val="18"/>
      <color rgb="FF9933FF"/>
      <name val="Calibri Light"/>
      <family val="2"/>
    </font>
    <font>
      <sz val="13"/>
      <color rgb="FF9933FF"/>
      <name val="Calibri Light"/>
      <family val="2"/>
    </font>
    <font>
      <b/>
      <sz val="13"/>
      <color rgb="FF9933FF"/>
      <name val="Calibri Light"/>
      <family val="2"/>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
      <patternFill patternType="solid">
        <fgColor rgb="FF9933FF"/>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00FF00"/>
        <bgColor indexed="64"/>
      </patternFill>
    </fill>
  </fills>
  <borders count="13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double">
        <color indexed="64"/>
      </right>
      <top style="hair">
        <color indexed="64"/>
      </top>
      <bottom/>
      <diagonal/>
    </border>
    <border>
      <left style="thin">
        <color indexed="64"/>
      </left>
      <right style="thin">
        <color indexed="64"/>
      </right>
      <top style="hair">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bottom style="thin">
        <color indexed="64"/>
      </bottom>
      <diagonal/>
    </border>
    <border>
      <left/>
      <right style="medium">
        <color auto="1"/>
      </right>
      <top style="thin">
        <color auto="1"/>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s>
  <cellStyleXfs count="9">
    <xf numFmtId="0" fontId="0" fillId="0" borderId="0"/>
    <xf numFmtId="0" fontId="3" fillId="0" borderId="0" applyNumberFormat="0" applyFill="0" applyBorder="0" applyAlignment="0" applyProtection="0">
      <alignment vertical="top"/>
      <protection locked="0"/>
    </xf>
    <xf numFmtId="9" fontId="1" fillId="0" borderId="0" applyFont="0" applyFill="0" applyBorder="0" applyAlignment="0" applyProtection="0"/>
    <xf numFmtId="9" fontId="2" fillId="0" borderId="0" applyFont="0" applyFill="0" applyBorder="0" applyAlignment="0" applyProtection="0"/>
    <xf numFmtId="0" fontId="5" fillId="0" borderId="0"/>
    <xf numFmtId="0" fontId="1" fillId="0" borderId="0"/>
    <xf numFmtId="0" fontId="6" fillId="0" borderId="0"/>
    <xf numFmtId="9" fontId="1" fillId="0" borderId="0" applyFont="0" applyFill="0" applyBorder="0" applyAlignment="0" applyProtection="0"/>
    <xf numFmtId="0" fontId="1" fillId="0" borderId="0"/>
  </cellStyleXfs>
  <cellXfs count="495">
    <xf numFmtId="0" fontId="0" fillId="0" borderId="0" xfId="0"/>
    <xf numFmtId="0" fontId="9" fillId="2" borderId="52" xfId="0" applyFont="1" applyFill="1" applyBorder="1" applyAlignment="1">
      <alignment horizontal="right"/>
    </xf>
    <xf numFmtId="0" fontId="9" fillId="2" borderId="53" xfId="0" applyFont="1" applyFill="1" applyBorder="1" applyAlignment="1">
      <alignment horizontal="left"/>
    </xf>
    <xf numFmtId="0" fontId="10" fillId="2" borderId="53" xfId="0" applyFont="1" applyFill="1" applyBorder="1" applyAlignment="1">
      <alignment horizontal="left"/>
    </xf>
    <xf numFmtId="0" fontId="11" fillId="2" borderId="53" xfId="0" applyFont="1" applyFill="1" applyBorder="1" applyAlignment="1">
      <alignment horizontal="centerContinuous"/>
    </xf>
    <xf numFmtId="0" fontId="12" fillId="2" borderId="53" xfId="0" applyFont="1" applyFill="1" applyBorder="1" applyAlignment="1">
      <alignment horizontal="center"/>
    </xf>
    <xf numFmtId="0" fontId="13" fillId="2" borderId="54" xfId="1" applyFont="1" applyFill="1" applyBorder="1" applyAlignment="1" applyProtection="1">
      <alignment horizontal="right" vertical="center"/>
    </xf>
    <xf numFmtId="0" fontId="14" fillId="0" borderId="0" xfId="0" applyFont="1"/>
    <xf numFmtId="0" fontId="15" fillId="0" borderId="1" xfId="0" applyFont="1" applyBorder="1" applyAlignment="1">
      <alignment horizontal="right"/>
    </xf>
    <xf numFmtId="0" fontId="16" fillId="0" borderId="0" xfId="0" applyFont="1" applyAlignment="1">
      <alignment horizontal="centerContinuous"/>
    </xf>
    <xf numFmtId="0" fontId="15" fillId="0" borderId="0" xfId="0" applyFont="1" applyAlignment="1">
      <alignment horizontal="right"/>
    </xf>
    <xf numFmtId="0" fontId="16" fillId="0" borderId="0" xfId="0" applyFont="1" applyAlignment="1">
      <alignment horizontal="center"/>
    </xf>
    <xf numFmtId="0" fontId="16" fillId="0" borderId="2" xfId="0" applyFont="1" applyBorder="1" applyAlignment="1">
      <alignment horizontal="left"/>
    </xf>
    <xf numFmtId="0" fontId="15" fillId="4" borderId="59" xfId="0" applyFont="1" applyFill="1" applyBorder="1" applyAlignment="1">
      <alignment horizontal="right"/>
    </xf>
    <xf numFmtId="1" fontId="16" fillId="0" borderId="96" xfId="0" applyNumberFormat="1" applyFont="1" applyBorder="1" applyAlignment="1">
      <alignment horizontal="centerContinuous"/>
    </xf>
    <xf numFmtId="1" fontId="14" fillId="0" borderId="97" xfId="0" applyNumberFormat="1" applyFont="1" applyBorder="1" applyAlignment="1">
      <alignment horizontal="centerContinuous"/>
    </xf>
    <xf numFmtId="0" fontId="15" fillId="4" borderId="60" xfId="0" applyFont="1" applyFill="1" applyBorder="1" applyAlignment="1">
      <alignment horizontal="right"/>
    </xf>
    <xf numFmtId="1" fontId="16" fillId="0" borderId="61" xfId="0" applyNumberFormat="1" applyFont="1" applyBorder="1" applyAlignment="1">
      <alignment horizontal="center"/>
    </xf>
    <xf numFmtId="0" fontId="16" fillId="0" borderId="0" xfId="0" applyFont="1" applyAlignment="1">
      <alignment horizontal="left"/>
    </xf>
    <xf numFmtId="0" fontId="18" fillId="2" borderId="13" xfId="0" applyFont="1" applyFill="1" applyBorder="1" applyAlignment="1">
      <alignment horizontal="right"/>
    </xf>
    <xf numFmtId="0" fontId="19" fillId="0" borderId="14" xfId="0" applyFont="1" applyBorder="1" applyAlignment="1">
      <alignment horizontal="center"/>
    </xf>
    <xf numFmtId="0" fontId="18" fillId="4" borderId="47" xfId="0" applyFont="1" applyFill="1" applyBorder="1" applyAlignment="1">
      <alignment horizontal="right"/>
    </xf>
    <xf numFmtId="49" fontId="20" fillId="0" borderId="30" xfId="0" applyNumberFormat="1" applyFont="1" applyBorder="1" applyAlignment="1">
      <alignment horizontal="center" shrinkToFit="1"/>
    </xf>
    <xf numFmtId="0" fontId="23" fillId="2" borderId="4" xfId="0" applyFont="1" applyFill="1" applyBorder="1" applyAlignment="1">
      <alignment horizontal="right"/>
    </xf>
    <xf numFmtId="49" fontId="19" fillId="0" borderId="14" xfId="0" applyNumberFormat="1" applyFont="1" applyBorder="1" applyAlignment="1">
      <alignment horizontal="center"/>
    </xf>
    <xf numFmtId="0" fontId="18" fillId="4" borderId="46" xfId="0" applyFont="1" applyFill="1" applyBorder="1" applyAlignment="1">
      <alignment horizontal="right"/>
    </xf>
    <xf numFmtId="164" fontId="15" fillId="5" borderId="28" xfId="0" applyNumberFormat="1" applyFont="1" applyFill="1" applyBorder="1" applyAlignment="1">
      <alignment horizontal="center"/>
    </xf>
    <xf numFmtId="49" fontId="19" fillId="0" borderId="3" xfId="0" applyNumberFormat="1" applyFont="1" applyBorder="1" applyAlignment="1">
      <alignment horizontal="center"/>
    </xf>
    <xf numFmtId="0" fontId="15" fillId="0" borderId="27" xfId="0" applyFont="1" applyBorder="1" applyAlignment="1">
      <alignment horizontal="center" vertical="center"/>
    </xf>
    <xf numFmtId="0" fontId="25" fillId="2" borderId="4" xfId="0" applyFont="1" applyFill="1" applyBorder="1" applyAlignment="1">
      <alignment horizontal="right"/>
    </xf>
    <xf numFmtId="0" fontId="26" fillId="4" borderId="87" xfId="0" applyFont="1" applyFill="1" applyBorder="1" applyAlignment="1">
      <alignment horizontal="right"/>
    </xf>
    <xf numFmtId="49" fontId="16" fillId="0" borderId="27" xfId="0" applyNumberFormat="1" applyFont="1" applyBorder="1" applyAlignment="1">
      <alignment horizontal="center"/>
    </xf>
    <xf numFmtId="0" fontId="27" fillId="2" borderId="4" xfId="0" applyFont="1" applyFill="1" applyBorder="1" applyAlignment="1">
      <alignment horizontal="right"/>
    </xf>
    <xf numFmtId="0" fontId="28" fillId="2" borderId="15" xfId="0" applyFont="1" applyFill="1" applyBorder="1" applyAlignment="1">
      <alignment horizontal="right"/>
    </xf>
    <xf numFmtId="49" fontId="19" fillId="0" borderId="23" xfId="0" applyNumberFormat="1" applyFont="1" applyBorder="1" applyAlignment="1">
      <alignment horizontal="center"/>
    </xf>
    <xf numFmtId="0" fontId="26" fillId="4" borderId="88" xfId="0" applyFont="1" applyFill="1" applyBorder="1" applyAlignment="1">
      <alignment horizontal="right"/>
    </xf>
    <xf numFmtId="49" fontId="16" fillId="0" borderId="12" xfId="0" applyNumberFormat="1" applyFont="1" applyBorder="1" applyAlignment="1">
      <alignment horizontal="center"/>
    </xf>
    <xf numFmtId="0" fontId="29" fillId="0" borderId="1" xfId="0" applyFont="1" applyBorder="1"/>
    <xf numFmtId="0" fontId="30" fillId="0" borderId="0" xfId="0" applyFont="1"/>
    <xf numFmtId="0" fontId="31" fillId="0" borderId="0" xfId="0" applyFont="1"/>
    <xf numFmtId="49" fontId="31" fillId="0" borderId="0" xfId="0" applyNumberFormat="1" applyFont="1"/>
    <xf numFmtId="0" fontId="31" fillId="0" borderId="2" xfId="0" applyFont="1" applyBorder="1"/>
    <xf numFmtId="0" fontId="16" fillId="0" borderId="5" xfId="0" applyFont="1" applyBorder="1"/>
    <xf numFmtId="0" fontId="16" fillId="0" borderId="6" xfId="0" applyFont="1" applyBorder="1"/>
    <xf numFmtId="0" fontId="16" fillId="0" borderId="7" xfId="0" applyFont="1" applyBorder="1"/>
    <xf numFmtId="0" fontId="11" fillId="0" borderId="0" xfId="0" applyFont="1"/>
    <xf numFmtId="0" fontId="16" fillId="0" borderId="1" xfId="0" applyFont="1" applyBorder="1"/>
    <xf numFmtId="0" fontId="16" fillId="0" borderId="0" xfId="0" applyFont="1"/>
    <xf numFmtId="0" fontId="16" fillId="0" borderId="2" xfId="0" applyFont="1" applyBorder="1"/>
    <xf numFmtId="0" fontId="16" fillId="0" borderId="8" xfId="0" applyFont="1" applyBorder="1"/>
    <xf numFmtId="0" fontId="16" fillId="0" borderId="9" xfId="0" applyFont="1" applyBorder="1"/>
    <xf numFmtId="0" fontId="16" fillId="0" borderId="10" xfId="0" applyFont="1" applyBorder="1"/>
    <xf numFmtId="0" fontId="11" fillId="0" borderId="0" xfId="0" applyFont="1" applyAlignment="1">
      <alignment horizontal="right"/>
    </xf>
    <xf numFmtId="0" fontId="14" fillId="0" borderId="0" xfId="0" applyFont="1" applyAlignment="1">
      <alignment horizontal="left"/>
    </xf>
    <xf numFmtId="0" fontId="32" fillId="0" borderId="22" xfId="0" applyFont="1" applyBorder="1" applyAlignment="1">
      <alignment horizontal="centerContinuous"/>
    </xf>
    <xf numFmtId="0" fontId="31" fillId="0" borderId="0" xfId="0" applyFont="1" applyAlignment="1">
      <alignment horizontal="centerContinuous"/>
    </xf>
    <xf numFmtId="0" fontId="33" fillId="3" borderId="55" xfId="0" applyFont="1" applyFill="1" applyBorder="1" applyAlignment="1">
      <alignment horizontal="centerContinuous" vertical="center"/>
    </xf>
    <xf numFmtId="0" fontId="33" fillId="3" borderId="34" xfId="0" applyFont="1" applyFill="1" applyBorder="1" applyAlignment="1">
      <alignment horizontal="center" vertical="center"/>
    </xf>
    <xf numFmtId="0" fontId="33" fillId="3" borderId="34" xfId="0" applyFont="1" applyFill="1" applyBorder="1" applyAlignment="1">
      <alignment horizontal="center" vertical="center" wrapText="1"/>
    </xf>
    <xf numFmtId="0" fontId="33" fillId="3" borderId="56" xfId="0" applyFont="1" applyFill="1" applyBorder="1" applyAlignment="1">
      <alignment horizontal="center" vertical="center"/>
    </xf>
    <xf numFmtId="0" fontId="11" fillId="0" borderId="0" xfId="0" applyFont="1" applyAlignment="1">
      <alignment vertical="center"/>
    </xf>
    <xf numFmtId="0" fontId="35" fillId="0" borderId="1" xfId="0" applyFont="1" applyBorder="1"/>
    <xf numFmtId="0" fontId="15" fillId="0" borderId="24" xfId="0" applyFont="1" applyBorder="1" applyAlignment="1">
      <alignment horizontal="center"/>
    </xf>
    <xf numFmtId="0" fontId="16" fillId="0" borderId="24" xfId="0" applyFont="1" applyBorder="1" applyAlignment="1">
      <alignment horizontal="center"/>
    </xf>
    <xf numFmtId="0" fontId="36" fillId="0" borderId="24" xfId="0" applyFont="1" applyBorder="1" applyAlignment="1">
      <alignment horizontal="center" wrapText="1"/>
    </xf>
    <xf numFmtId="1" fontId="16" fillId="0" borderId="24" xfId="0" applyNumberFormat="1" applyFont="1" applyBorder="1" applyAlignment="1">
      <alignment horizontal="center" wrapText="1"/>
    </xf>
    <xf numFmtId="49" fontId="16" fillId="0" borderId="24" xfId="0" applyNumberFormat="1" applyFont="1" applyBorder="1" applyAlignment="1">
      <alignment horizontal="center" wrapText="1"/>
    </xf>
    <xf numFmtId="0" fontId="16" fillId="0" borderId="26" xfId="0" applyFont="1" applyBorder="1" applyAlignment="1">
      <alignment horizontal="center"/>
    </xf>
    <xf numFmtId="0" fontId="17" fillId="0" borderId="1" xfId="0" applyFont="1" applyBorder="1"/>
    <xf numFmtId="0" fontId="23" fillId="0" borderId="25" xfId="0" applyFont="1" applyBorder="1" applyAlignment="1">
      <alignment horizontal="center"/>
    </xf>
    <xf numFmtId="0" fontId="16" fillId="0" borderId="26" xfId="0" quotePrefix="1" applyFont="1" applyBorder="1" applyAlignment="1">
      <alignment horizontal="center"/>
    </xf>
    <xf numFmtId="0" fontId="36" fillId="0" borderId="57" xfId="0" applyFont="1" applyBorder="1"/>
    <xf numFmtId="0" fontId="15" fillId="0" borderId="58" xfId="0" applyFont="1" applyBorder="1" applyAlignment="1">
      <alignment horizontal="center"/>
    </xf>
    <xf numFmtId="0" fontId="16" fillId="0" borderId="58" xfId="0" applyFont="1" applyBorder="1" applyAlignment="1">
      <alignment horizontal="center"/>
    </xf>
    <xf numFmtId="0" fontId="34" fillId="0" borderId="58" xfId="0" applyFont="1" applyBorder="1" applyAlignment="1">
      <alignment horizontal="center" wrapText="1"/>
    </xf>
    <xf numFmtId="1" fontId="16" fillId="0" borderId="58" xfId="0" applyNumberFormat="1" applyFont="1" applyBorder="1" applyAlignment="1">
      <alignment horizontal="center" wrapText="1"/>
    </xf>
    <xf numFmtId="49" fontId="16" fillId="0" borderId="58" xfId="0" applyNumberFormat="1" applyFont="1" applyBorder="1" applyAlignment="1">
      <alignment horizontal="center" wrapText="1"/>
    </xf>
    <xf numFmtId="0" fontId="16" fillId="0" borderId="62" xfId="0" quotePrefix="1" applyFont="1" applyBorder="1" applyAlignment="1">
      <alignment horizontal="center"/>
    </xf>
    <xf numFmtId="49" fontId="16" fillId="0" borderId="25" xfId="0" applyNumberFormat="1" applyFont="1" applyBorder="1" applyAlignment="1">
      <alignment horizontal="center"/>
    </xf>
    <xf numFmtId="0" fontId="37" fillId="0" borderId="0" xfId="0" applyFont="1"/>
    <xf numFmtId="0" fontId="23" fillId="0" borderId="1" xfId="0" applyFont="1" applyBorder="1"/>
    <xf numFmtId="49" fontId="38" fillId="0" borderId="24" xfId="0" applyNumberFormat="1" applyFont="1" applyBorder="1" applyAlignment="1">
      <alignment horizontal="center"/>
    </xf>
    <xf numFmtId="0" fontId="38" fillId="0" borderId="25" xfId="0" applyFont="1" applyBorder="1" applyAlignment="1">
      <alignment horizontal="center"/>
    </xf>
    <xf numFmtId="0" fontId="39" fillId="0" borderId="0" xfId="0" applyFont="1"/>
    <xf numFmtId="0" fontId="28" fillId="6" borderId="1" xfId="0" applyFont="1" applyFill="1" applyBorder="1"/>
    <xf numFmtId="0" fontId="16" fillId="6" borderId="24" xfId="0" applyFont="1" applyFill="1" applyBorder="1" applyAlignment="1">
      <alignment horizontal="center"/>
    </xf>
    <xf numFmtId="49" fontId="40" fillId="6" borderId="24" xfId="0" applyNumberFormat="1" applyFont="1" applyFill="1" applyBorder="1" applyAlignment="1">
      <alignment horizontal="center"/>
    </xf>
    <xf numFmtId="0" fontId="40" fillId="6" borderId="25" xfId="0" applyFont="1" applyFill="1" applyBorder="1" applyAlignment="1">
      <alignment horizontal="center"/>
    </xf>
    <xf numFmtId="0" fontId="28" fillId="6" borderId="25" xfId="0" applyFont="1" applyFill="1" applyBorder="1" applyAlignment="1">
      <alignment horizontal="center"/>
    </xf>
    <xf numFmtId="49" fontId="16" fillId="6" borderId="25" xfId="0" applyNumberFormat="1" applyFont="1" applyFill="1" applyBorder="1" applyAlignment="1">
      <alignment horizontal="center"/>
    </xf>
    <xf numFmtId="0" fontId="16" fillId="6" borderId="26" xfId="0" applyFont="1" applyFill="1" applyBorder="1" applyAlignment="1">
      <alignment horizontal="center"/>
    </xf>
    <xf numFmtId="0" fontId="41" fillId="0" borderId="0" xfId="0" applyFont="1"/>
    <xf numFmtId="0" fontId="18" fillId="0" borderId="1" xfId="0" applyFont="1" applyBorder="1"/>
    <xf numFmtId="49" fontId="22" fillId="0" borderId="24" xfId="0" applyNumberFormat="1" applyFont="1" applyBorder="1" applyAlignment="1">
      <alignment horizontal="center"/>
    </xf>
    <xf numFmtId="0" fontId="22" fillId="0" borderId="25" xfId="0" applyFont="1" applyBorder="1" applyAlignment="1">
      <alignment horizontal="center"/>
    </xf>
    <xf numFmtId="0" fontId="18" fillId="0" borderId="25" xfId="0" applyFont="1" applyBorder="1" applyAlignment="1">
      <alignment horizontal="center"/>
    </xf>
    <xf numFmtId="0" fontId="42" fillId="0" borderId="0" xfId="0" applyFont="1"/>
    <xf numFmtId="0" fontId="24" fillId="0" borderId="1" xfId="0" applyFont="1" applyBorder="1"/>
    <xf numFmtId="49" fontId="43" fillId="0" borderId="24" xfId="0" applyNumberFormat="1" applyFont="1" applyBorder="1" applyAlignment="1">
      <alignment horizontal="center"/>
    </xf>
    <xf numFmtId="0" fontId="43" fillId="0" borderId="25" xfId="0" applyFont="1" applyBorder="1" applyAlignment="1">
      <alignment horizontal="center"/>
    </xf>
    <xf numFmtId="0" fontId="24" fillId="0" borderId="25" xfId="0" applyFont="1" applyBorder="1" applyAlignment="1">
      <alignment horizontal="center"/>
    </xf>
    <xf numFmtId="0" fontId="26" fillId="6" borderId="1" xfId="0" applyFont="1" applyFill="1" applyBorder="1"/>
    <xf numFmtId="49" fontId="20" fillId="6" borderId="24" xfId="0" applyNumberFormat="1" applyFont="1" applyFill="1" applyBorder="1" applyAlignment="1">
      <alignment horizontal="center"/>
    </xf>
    <xf numFmtId="0" fontId="20" fillId="6" borderId="25" xfId="0" applyFont="1" applyFill="1" applyBorder="1" applyAlignment="1">
      <alignment horizontal="center"/>
    </xf>
    <xf numFmtId="0" fontId="26" fillId="6" borderId="25" xfId="0" applyFont="1" applyFill="1" applyBorder="1" applyAlignment="1">
      <alignment horizontal="center"/>
    </xf>
    <xf numFmtId="0" fontId="26" fillId="9" borderId="1" xfId="0" applyFont="1" applyFill="1" applyBorder="1"/>
    <xf numFmtId="0" fontId="16" fillId="9" borderId="24" xfId="0" applyFont="1" applyFill="1" applyBorder="1" applyAlignment="1">
      <alignment horizontal="center"/>
    </xf>
    <xf numFmtId="49" fontId="20" fillId="9" borderId="24" xfId="0" applyNumberFormat="1" applyFont="1" applyFill="1" applyBorder="1" applyAlignment="1">
      <alignment horizontal="center"/>
    </xf>
    <xf numFmtId="0" fontId="20" fillId="9" borderId="25" xfId="0" applyFont="1" applyFill="1" applyBorder="1" applyAlignment="1">
      <alignment horizontal="center"/>
    </xf>
    <xf numFmtId="0" fontId="26" fillId="9" borderId="25" xfId="0" applyFont="1" applyFill="1" applyBorder="1" applyAlignment="1">
      <alignment horizontal="center"/>
    </xf>
    <xf numFmtId="49" fontId="16" fillId="9" borderId="25" xfId="0" applyNumberFormat="1" applyFont="1" applyFill="1" applyBorder="1" applyAlignment="1">
      <alignment horizontal="center"/>
    </xf>
    <xf numFmtId="0" fontId="16" fillId="9" borderId="26" xfId="0" applyFont="1" applyFill="1" applyBorder="1" applyAlignment="1">
      <alignment horizontal="center"/>
    </xf>
    <xf numFmtId="0" fontId="44" fillId="0" borderId="0" xfId="0" applyFont="1"/>
    <xf numFmtId="0" fontId="28" fillId="0" borderId="1" xfId="0" applyFont="1" applyBorder="1"/>
    <xf numFmtId="49" fontId="40" fillId="0" borderId="24" xfId="0" applyNumberFormat="1" applyFont="1" applyBorder="1" applyAlignment="1">
      <alignment horizontal="center"/>
    </xf>
    <xf numFmtId="0" fontId="40" fillId="0" borderId="25" xfId="0" applyFont="1" applyBorder="1" applyAlignment="1">
      <alignment horizontal="center"/>
    </xf>
    <xf numFmtId="0" fontId="28" fillId="0" borderId="25" xfId="0" applyFont="1" applyBorder="1" applyAlignment="1">
      <alignment horizontal="center"/>
    </xf>
    <xf numFmtId="0" fontId="16" fillId="6" borderId="26" xfId="0" quotePrefix="1" applyFont="1" applyFill="1" applyBorder="1" applyAlignment="1">
      <alignment horizontal="center"/>
    </xf>
    <xf numFmtId="0" fontId="27" fillId="0" borderId="1" xfId="0" applyFont="1" applyBorder="1"/>
    <xf numFmtId="49" fontId="21" fillId="0" borderId="24" xfId="0" applyNumberFormat="1" applyFont="1" applyBorder="1" applyAlignment="1">
      <alignment horizontal="center"/>
    </xf>
    <xf numFmtId="0" fontId="21" fillId="0" borderId="25" xfId="0" applyFont="1" applyBorder="1" applyAlignment="1">
      <alignment horizontal="center"/>
    </xf>
    <xf numFmtId="0" fontId="27" fillId="0" borderId="25" xfId="0" applyFont="1" applyBorder="1" applyAlignment="1">
      <alignment horizontal="center"/>
    </xf>
    <xf numFmtId="0" fontId="23" fillId="6" borderId="1" xfId="0" applyFont="1" applyFill="1" applyBorder="1"/>
    <xf numFmtId="49" fontId="38" fillId="6" borderId="24" xfId="0" applyNumberFormat="1" applyFont="1" applyFill="1" applyBorder="1" applyAlignment="1">
      <alignment horizontal="center"/>
    </xf>
    <xf numFmtId="0" fontId="38" fillId="6" borderId="25" xfId="0" applyFont="1" applyFill="1" applyBorder="1" applyAlignment="1">
      <alignment horizontal="center"/>
    </xf>
    <xf numFmtId="0" fontId="23" fillId="6" borderId="25" xfId="0" applyFont="1" applyFill="1" applyBorder="1" applyAlignment="1">
      <alignment horizontal="center"/>
    </xf>
    <xf numFmtId="0" fontId="27" fillId="6" borderId="1" xfId="0" applyFont="1" applyFill="1" applyBorder="1"/>
    <xf numFmtId="49" fontId="21" fillId="6" borderId="24" xfId="0" applyNumberFormat="1" applyFont="1" applyFill="1" applyBorder="1" applyAlignment="1">
      <alignment horizontal="center"/>
    </xf>
    <xf numFmtId="0" fontId="21" fillId="6" borderId="25" xfId="0" applyFont="1" applyFill="1" applyBorder="1" applyAlignment="1">
      <alignment horizontal="center"/>
    </xf>
    <xf numFmtId="0" fontId="27" fillId="6" borderId="25" xfId="0" applyFont="1" applyFill="1" applyBorder="1" applyAlignment="1">
      <alignment horizontal="center"/>
    </xf>
    <xf numFmtId="0" fontId="28" fillId="9" borderId="1" xfId="0" applyFont="1" applyFill="1" applyBorder="1"/>
    <xf numFmtId="49" fontId="21" fillId="9" borderId="24" xfId="0" applyNumberFormat="1" applyFont="1" applyFill="1" applyBorder="1" applyAlignment="1">
      <alignment horizontal="center"/>
    </xf>
    <xf numFmtId="0" fontId="21" fillId="9" borderId="25" xfId="0" applyFont="1" applyFill="1" applyBorder="1" applyAlignment="1">
      <alignment horizontal="center"/>
    </xf>
    <xf numFmtId="0" fontId="27" fillId="9" borderId="25" xfId="0" applyFont="1" applyFill="1" applyBorder="1" applyAlignment="1">
      <alignment horizontal="center"/>
    </xf>
    <xf numFmtId="0" fontId="16" fillId="9" borderId="26" xfId="0" quotePrefix="1" applyFont="1" applyFill="1" applyBorder="1" applyAlignment="1">
      <alignment horizontal="center"/>
    </xf>
    <xf numFmtId="0" fontId="11" fillId="0" borderId="0" xfId="0" applyFont="1" applyAlignment="1">
      <alignment horizontal="center"/>
    </xf>
    <xf numFmtId="1" fontId="11" fillId="0" borderId="0" xfId="0" applyNumberFormat="1" applyFont="1" applyAlignment="1">
      <alignment horizontal="center"/>
    </xf>
    <xf numFmtId="1" fontId="14" fillId="0" borderId="0" xfId="0" applyNumberFormat="1" applyFont="1" applyAlignment="1">
      <alignment horizontal="center"/>
    </xf>
    <xf numFmtId="0" fontId="11" fillId="0" borderId="0" xfId="0" applyFont="1" applyAlignment="1">
      <alignment horizontal="left"/>
    </xf>
    <xf numFmtId="0" fontId="46" fillId="0" borderId="29" xfId="0" applyFont="1" applyBorder="1" applyAlignment="1">
      <alignment horizontal="centerContinuous"/>
    </xf>
    <xf numFmtId="0" fontId="29" fillId="0" borderId="0" xfId="0" applyFont="1" applyAlignment="1">
      <alignment horizontal="centerContinuous" vertical="center"/>
    </xf>
    <xf numFmtId="0" fontId="14" fillId="0" borderId="0" xfId="0" applyFont="1" applyAlignment="1">
      <alignment vertical="center"/>
    </xf>
    <xf numFmtId="0" fontId="45" fillId="7" borderId="16" xfId="0" applyFont="1" applyFill="1" applyBorder="1" applyAlignment="1">
      <alignment horizontal="center" vertical="center"/>
    </xf>
    <xf numFmtId="0" fontId="45" fillId="7" borderId="17" xfId="0" applyFont="1" applyFill="1" applyBorder="1" applyAlignment="1">
      <alignment horizontal="center" vertical="center"/>
    </xf>
    <xf numFmtId="49" fontId="45" fillId="7" borderId="17" xfId="0" applyNumberFormat="1" applyFont="1" applyFill="1" applyBorder="1" applyAlignment="1">
      <alignment horizontal="center" vertical="center"/>
    </xf>
    <xf numFmtId="0" fontId="45" fillId="7" borderId="21" xfId="0" applyFont="1" applyFill="1" applyBorder="1" applyAlignment="1">
      <alignment horizontal="center" vertical="center"/>
    </xf>
    <xf numFmtId="0" fontId="49" fillId="8" borderId="21" xfId="0" applyFont="1" applyFill="1" applyBorder="1" applyAlignment="1">
      <alignment horizontal="center" vertical="center"/>
    </xf>
    <xf numFmtId="0" fontId="45" fillId="7" borderId="18" xfId="0" applyFont="1" applyFill="1" applyBorder="1" applyAlignment="1">
      <alignment horizontal="center" vertical="center"/>
    </xf>
    <xf numFmtId="0" fontId="45" fillId="7" borderId="29" xfId="0" applyFont="1" applyFill="1" applyBorder="1" applyAlignment="1">
      <alignment horizontal="center" vertical="center"/>
    </xf>
    <xf numFmtId="0" fontId="12" fillId="0" borderId="0" xfId="0" applyFont="1" applyAlignment="1">
      <alignment horizontal="center" vertical="center"/>
    </xf>
    <xf numFmtId="1" fontId="14" fillId="0" borderId="94" xfId="0" applyNumberFormat="1" applyFont="1" applyBorder="1" applyAlignment="1">
      <alignment horizontal="center" vertical="center"/>
    </xf>
    <xf numFmtId="0" fontId="14" fillId="0" borderId="15" xfId="0" applyFont="1" applyBorder="1" applyAlignment="1">
      <alignment horizontal="center" vertical="center"/>
    </xf>
    <xf numFmtId="0" fontId="14" fillId="0" borderId="42" xfId="0" applyFont="1" applyBorder="1" applyAlignment="1">
      <alignment horizontal="center" vertical="center"/>
    </xf>
    <xf numFmtId="0" fontId="14" fillId="0" borderId="42" xfId="0" quotePrefix="1" applyFont="1" applyBorder="1" applyAlignment="1">
      <alignment horizontal="center" vertical="center" wrapText="1"/>
    </xf>
    <xf numFmtId="49" fontId="14" fillId="0" borderId="42" xfId="2" applyNumberFormat="1" applyFont="1" applyBorder="1" applyAlignment="1">
      <alignment horizontal="center" vertical="center"/>
    </xf>
    <xf numFmtId="0" fontId="14" fillId="0" borderId="42" xfId="0" applyFont="1" applyBorder="1" applyAlignment="1">
      <alignment horizontal="center" vertical="center" shrinkToFit="1"/>
    </xf>
    <xf numFmtId="164" fontId="14" fillId="0" borderId="43" xfId="0" applyNumberFormat="1" applyFont="1" applyBorder="1" applyAlignment="1">
      <alignment horizontal="center" vertical="center"/>
    </xf>
    <xf numFmtId="1" fontId="50" fillId="8" borderId="43" xfId="0" applyNumberFormat="1" applyFont="1" applyFill="1" applyBorder="1" applyAlignment="1">
      <alignment horizontal="center" vertical="center"/>
    </xf>
    <xf numFmtId="1" fontId="14" fillId="0" borderId="43" xfId="0" applyNumberFormat="1" applyFont="1" applyBorder="1" applyAlignment="1">
      <alignment horizontal="center" vertical="center"/>
    </xf>
    <xf numFmtId="0" fontId="14" fillId="0" borderId="31" xfId="0" applyFont="1" applyBorder="1" applyAlignment="1">
      <alignment horizontal="center" vertical="center"/>
    </xf>
    <xf numFmtId="0" fontId="14" fillId="0" borderId="0" xfId="0" applyFont="1" applyAlignment="1">
      <alignment horizontal="center" vertical="center"/>
    </xf>
    <xf numFmtId="1" fontId="14" fillId="0" borderId="101" xfId="0" applyNumberFormat="1" applyFont="1" applyBorder="1" applyAlignment="1">
      <alignment horizontal="center" vertical="center"/>
    </xf>
    <xf numFmtId="0" fontId="14" fillId="10" borderId="15" xfId="0" applyFont="1" applyFill="1" applyBorder="1" applyAlignment="1">
      <alignment horizontal="center" vertical="center"/>
    </xf>
    <xf numFmtId="0" fontId="14" fillId="10" borderId="42" xfId="0" applyFont="1" applyFill="1" applyBorder="1" applyAlignment="1">
      <alignment horizontal="center" vertical="center"/>
    </xf>
    <xf numFmtId="49" fontId="14" fillId="10" borderId="42" xfId="0" applyNumberFormat="1" applyFont="1" applyFill="1" applyBorder="1" applyAlignment="1">
      <alignment horizontal="center" vertical="center"/>
    </xf>
    <xf numFmtId="164" fontId="14" fillId="10" borderId="42" xfId="0" applyNumberFormat="1" applyFont="1" applyFill="1" applyBorder="1" applyAlignment="1">
      <alignment horizontal="center" vertical="center"/>
    </xf>
    <xf numFmtId="164" fontId="14" fillId="10" borderId="43" xfId="0" applyNumberFormat="1" applyFont="1" applyFill="1" applyBorder="1" applyAlignment="1">
      <alignment horizontal="center" vertical="center"/>
    </xf>
    <xf numFmtId="1" fontId="14" fillId="10" borderId="43" xfId="0" applyNumberFormat="1" applyFont="1" applyFill="1" applyBorder="1" applyAlignment="1">
      <alignment horizontal="center" vertical="center"/>
    </xf>
    <xf numFmtId="0" fontId="14" fillId="10" borderId="31" xfId="0" quotePrefix="1" applyFont="1" applyFill="1" applyBorder="1" applyAlignment="1">
      <alignment horizontal="center" vertical="center"/>
    </xf>
    <xf numFmtId="1" fontId="14" fillId="0" borderId="49" xfId="0" applyNumberFormat="1" applyFont="1" applyBorder="1" applyAlignment="1">
      <alignment horizontal="center" vertical="center"/>
    </xf>
    <xf numFmtId="0" fontId="14" fillId="0" borderId="0" xfId="0" applyFont="1" applyAlignment="1">
      <alignment horizontal="centerContinuous" vertical="center"/>
    </xf>
    <xf numFmtId="164" fontId="14" fillId="0" borderId="0" xfId="0" applyNumberFormat="1" applyFont="1" applyAlignment="1">
      <alignment horizontal="center" vertical="center"/>
    </xf>
    <xf numFmtId="0" fontId="45" fillId="7" borderId="21" xfId="0" applyFont="1" applyFill="1" applyBorder="1" applyAlignment="1">
      <alignment horizontal="centerContinuous" vertical="center"/>
    </xf>
    <xf numFmtId="0" fontId="45" fillId="7" borderId="68" xfId="0" applyFont="1" applyFill="1" applyBorder="1" applyAlignment="1">
      <alignment horizontal="centerContinuous" vertical="center"/>
    </xf>
    <xf numFmtId="0" fontId="45" fillId="7" borderId="45" xfId="0" applyFont="1" applyFill="1" applyBorder="1" applyAlignment="1">
      <alignment horizontal="centerContinuous" vertical="center"/>
    </xf>
    <xf numFmtId="0" fontId="14" fillId="0" borderId="71" xfId="0" applyFont="1" applyBorder="1" applyAlignment="1">
      <alignment horizontal="center" vertical="center" shrinkToFit="1"/>
    </xf>
    <xf numFmtId="0" fontId="14" fillId="0" borderId="67" xfId="0" applyFont="1" applyBorder="1" applyAlignment="1">
      <alignment horizontal="center" vertical="center"/>
    </xf>
    <xf numFmtId="164" fontId="14" fillId="0" borderId="66" xfId="0" applyNumberFormat="1" applyFont="1" applyBorder="1" applyAlignment="1">
      <alignment horizontal="centerContinuous" vertical="center"/>
    </xf>
    <xf numFmtId="164" fontId="14" fillId="0" borderId="76" xfId="0" applyNumberFormat="1" applyFont="1" applyBorder="1" applyAlignment="1">
      <alignment horizontal="centerContinuous" vertical="center"/>
    </xf>
    <xf numFmtId="0" fontId="14" fillId="0" borderId="77" xfId="0" quotePrefix="1" applyFont="1" applyBorder="1" applyAlignment="1">
      <alignment horizontal="centerContinuous" vertical="center"/>
    </xf>
    <xf numFmtId="1" fontId="14" fillId="0" borderId="48" xfId="0" applyNumberFormat="1"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74" xfId="0" quotePrefix="1" applyFont="1" applyBorder="1" applyAlignment="1">
      <alignment horizontal="center" vertical="center"/>
    </xf>
    <xf numFmtId="9" fontId="14" fillId="0" borderId="74" xfId="0" applyNumberFormat="1" applyFont="1" applyBorder="1" applyAlignment="1">
      <alignment horizontal="center" vertical="center"/>
    </xf>
    <xf numFmtId="164" fontId="14" fillId="0" borderId="74" xfId="0" applyNumberFormat="1" applyFont="1" applyBorder="1" applyAlignment="1">
      <alignment horizontal="center" vertical="center"/>
    </xf>
    <xf numFmtId="164" fontId="14" fillId="0" borderId="75" xfId="0" quotePrefix="1" applyNumberFormat="1" applyFont="1" applyBorder="1" applyAlignment="1">
      <alignment horizontal="centerContinuous" vertical="center"/>
    </xf>
    <xf numFmtId="164" fontId="14" fillId="0" borderId="78" xfId="0" applyNumberFormat="1" applyFont="1" applyBorder="1" applyAlignment="1">
      <alignment horizontal="centerContinuous" vertical="center"/>
    </xf>
    <xf numFmtId="0" fontId="14" fillId="0" borderId="79" xfId="0" applyFont="1" applyBorder="1" applyAlignment="1">
      <alignment horizontal="centerContinuous" vertical="center"/>
    </xf>
    <xf numFmtId="1" fontId="14" fillId="0" borderId="44" xfId="0" applyNumberFormat="1" applyFont="1" applyBorder="1" applyAlignment="1">
      <alignment horizontal="center" vertical="center"/>
    </xf>
    <xf numFmtId="0" fontId="52" fillId="0" borderId="0" xfId="0" applyFont="1" applyAlignment="1">
      <alignment horizontal="right" vertical="center"/>
    </xf>
    <xf numFmtId="0" fontId="45" fillId="7" borderId="19" xfId="0" applyFont="1" applyFill="1" applyBorder="1" applyAlignment="1">
      <alignment horizontal="centerContinuous" vertical="center"/>
    </xf>
    <xf numFmtId="0" fontId="45" fillId="7" borderId="20" xfId="0" applyFont="1" applyFill="1" applyBorder="1" applyAlignment="1">
      <alignment horizontal="centerContinuous" vertical="center"/>
    </xf>
    <xf numFmtId="0" fontId="14" fillId="0" borderId="64" xfId="0" applyFont="1" applyBorder="1" applyAlignment="1">
      <alignment horizontal="centerContinuous" vertical="center"/>
    </xf>
    <xf numFmtId="0" fontId="14" fillId="0" borderId="65" xfId="0" applyFont="1" applyBorder="1" applyAlignment="1">
      <alignment horizontal="centerContinuous" vertical="center"/>
    </xf>
    <xf numFmtId="0" fontId="14" fillId="0" borderId="66" xfId="0" applyFont="1" applyBorder="1" applyAlignment="1">
      <alignment horizontal="centerContinuous" vertical="center"/>
    </xf>
    <xf numFmtId="164" fontId="14" fillId="0" borderId="67" xfId="0" applyNumberFormat="1" applyFont="1" applyBorder="1" applyAlignment="1">
      <alignment horizontal="center" vertical="center"/>
    </xf>
    <xf numFmtId="49" fontId="14" fillId="0" borderId="67" xfId="0" applyNumberFormat="1" applyFont="1" applyBorder="1" applyAlignment="1">
      <alignment horizontal="center" vertical="center"/>
    </xf>
    <xf numFmtId="49" fontId="14" fillId="0" borderId="66" xfId="0" applyNumberFormat="1" applyFont="1" applyBorder="1" applyAlignment="1">
      <alignment horizontal="centerContinuous" vertical="center"/>
    </xf>
    <xf numFmtId="49" fontId="14" fillId="0" borderId="76" xfId="0" applyNumberFormat="1" applyFont="1" applyBorder="1" applyAlignment="1">
      <alignment horizontal="centerContinuous" vertical="center"/>
    </xf>
    <xf numFmtId="0" fontId="14" fillId="0" borderId="77" xfId="0" applyFont="1" applyBorder="1" applyAlignment="1">
      <alignment horizontal="centerContinuous" vertical="center"/>
    </xf>
    <xf numFmtId="1" fontId="14" fillId="0" borderId="32" xfId="0" applyNumberFormat="1" applyFont="1" applyBorder="1" applyAlignment="1">
      <alignment horizontal="center" vertical="center"/>
    </xf>
    <xf numFmtId="0" fontId="14" fillId="0" borderId="8" xfId="0" applyFont="1" applyBorder="1" applyAlignment="1">
      <alignment horizontal="centerContinuous" vertical="center"/>
    </xf>
    <xf numFmtId="0" fontId="14" fillId="0" borderId="63" xfId="0" applyFont="1" applyBorder="1" applyAlignment="1">
      <alignment horizontal="centerContinuous" vertical="center"/>
    </xf>
    <xf numFmtId="0" fontId="14" fillId="0" borderId="43" xfId="0" applyFont="1" applyBorder="1" applyAlignment="1">
      <alignment horizontal="centerContinuous" vertical="center"/>
    </xf>
    <xf numFmtId="164" fontId="14" fillId="0" borderId="42" xfId="0" applyNumberFormat="1" applyFont="1" applyBorder="1" applyAlignment="1">
      <alignment horizontal="center" vertical="center"/>
    </xf>
    <xf numFmtId="49" fontId="14" fillId="0" borderId="42" xfId="0" applyNumberFormat="1" applyFont="1" applyBorder="1" applyAlignment="1">
      <alignment horizontal="center" vertical="center"/>
    </xf>
    <xf numFmtId="49" fontId="14" fillId="0" borderId="43" xfId="0" applyNumberFormat="1" applyFont="1" applyBorder="1" applyAlignment="1">
      <alignment horizontal="centerContinuous" vertical="center"/>
    </xf>
    <xf numFmtId="49" fontId="14" fillId="0" borderId="9" xfId="0" applyNumberFormat="1" applyFont="1" applyBorder="1" applyAlignment="1">
      <alignment horizontal="centerContinuous" vertical="center"/>
    </xf>
    <xf numFmtId="0" fontId="14" fillId="0" borderId="10" xfId="0" applyFont="1" applyBorder="1" applyAlignment="1">
      <alignment horizontal="centerContinuous" vertical="center"/>
    </xf>
    <xf numFmtId="0" fontId="45" fillId="7" borderId="89" xfId="0" applyFont="1" applyFill="1" applyBorder="1" applyAlignment="1">
      <alignment horizontal="center" vertical="center"/>
    </xf>
    <xf numFmtId="0" fontId="14" fillId="0" borderId="64" xfId="0" applyFont="1" applyBorder="1" applyAlignment="1">
      <alignment horizontal="centerContinuous" vertical="center" shrinkToFit="1"/>
    </xf>
    <xf numFmtId="0" fontId="45" fillId="0" borderId="76" xfId="0" applyFont="1" applyBorder="1" applyAlignment="1">
      <alignment horizontal="centerContinuous" vertical="center"/>
    </xf>
    <xf numFmtId="0" fontId="14" fillId="0" borderId="90" xfId="0" applyFont="1" applyBorder="1" applyAlignment="1">
      <alignment horizontal="centerContinuous" vertical="center" shrinkToFit="1"/>
    </xf>
    <xf numFmtId="0" fontId="45" fillId="0" borderId="91" xfId="0" applyFont="1" applyBorder="1" applyAlignment="1">
      <alignment horizontal="centerContinuous" vertical="center"/>
    </xf>
    <xf numFmtId="0" fontId="14" fillId="0" borderId="72" xfId="0" applyFont="1" applyBorder="1" applyAlignment="1">
      <alignment horizontal="center" vertical="center"/>
    </xf>
    <xf numFmtId="0" fontId="14" fillId="0" borderId="92" xfId="0" applyFont="1" applyBorder="1" applyAlignment="1">
      <alignment horizontal="centerContinuous" vertical="center"/>
    </xf>
    <xf numFmtId="0" fontId="14" fillId="0" borderId="0" xfId="0" applyFont="1" applyAlignment="1">
      <alignment horizontal="right" vertical="center"/>
    </xf>
    <xf numFmtId="0" fontId="14" fillId="0" borderId="98" xfId="0" applyFont="1" applyBorder="1" applyAlignment="1">
      <alignment horizontal="centerContinuous" vertical="center" shrinkToFit="1"/>
    </xf>
    <xf numFmtId="0" fontId="45" fillId="0" borderId="99" xfId="0" applyFont="1" applyBorder="1" applyAlignment="1">
      <alignment horizontal="centerContinuous" vertical="center"/>
    </xf>
    <xf numFmtId="0" fontId="14" fillId="0" borderId="95" xfId="0" applyFont="1" applyBorder="1" applyAlignment="1">
      <alignment horizontal="center" vertical="center"/>
    </xf>
    <xf numFmtId="0" fontId="14" fillId="0" borderId="100" xfId="0" applyFont="1" applyBorder="1" applyAlignment="1">
      <alignment horizontal="centerContinuous" vertical="center" shrinkToFit="1"/>
    </xf>
    <xf numFmtId="0" fontId="14" fillId="0" borderId="93" xfId="0" applyFont="1" applyBorder="1" applyAlignment="1">
      <alignment horizontal="centerContinuous" vertical="center" shrinkToFit="1"/>
    </xf>
    <xf numFmtId="0" fontId="45" fillId="0" borderId="78" xfId="0" applyFont="1" applyBorder="1" applyAlignment="1">
      <alignment horizontal="centerContinuous" vertical="center"/>
    </xf>
    <xf numFmtId="0" fontId="14" fillId="0" borderId="79" xfId="0" applyFont="1" applyBorder="1" applyAlignment="1">
      <alignment horizontal="centerContinuous" vertical="center" shrinkToFit="1"/>
    </xf>
    <xf numFmtId="0" fontId="29" fillId="0" borderId="0" xfId="0" applyFont="1" applyAlignment="1">
      <alignment horizontal="centerContinuous"/>
    </xf>
    <xf numFmtId="164" fontId="29" fillId="0" borderId="0" xfId="0" applyNumberFormat="1" applyFont="1" applyAlignment="1">
      <alignment horizontal="centerContinuous"/>
    </xf>
    <xf numFmtId="0" fontId="14" fillId="0" borderId="0" xfId="0" applyFont="1" applyAlignment="1">
      <alignment horizontal="center"/>
    </xf>
    <xf numFmtId="0" fontId="45" fillId="3" borderId="33" xfId="0" applyFont="1" applyFill="1" applyBorder="1" applyAlignment="1">
      <alignment horizontal="center"/>
    </xf>
    <xf numFmtId="0" fontId="45" fillId="3" borderId="34" xfId="0" applyFont="1" applyFill="1" applyBorder="1" applyAlignment="1">
      <alignment horizontal="center"/>
    </xf>
    <xf numFmtId="164" fontId="45" fillId="3" borderId="34" xfId="0" applyNumberFormat="1" applyFont="1" applyFill="1" applyBorder="1" applyAlignment="1">
      <alignment horizontal="center"/>
    </xf>
    <xf numFmtId="0" fontId="45" fillId="3" borderId="33" xfId="0" applyFont="1" applyFill="1" applyBorder="1" applyAlignment="1">
      <alignment horizontal="right"/>
    </xf>
    <xf numFmtId="0" fontId="45" fillId="3" borderId="35" xfId="0" applyFont="1" applyFill="1" applyBorder="1"/>
    <xf numFmtId="1" fontId="45" fillId="3" borderId="29" xfId="0" applyNumberFormat="1" applyFont="1" applyFill="1" applyBorder="1" applyAlignment="1">
      <alignment horizontal="center" vertical="center"/>
    </xf>
    <xf numFmtId="0" fontId="14" fillId="0" borderId="69" xfId="0" applyFont="1" applyBorder="1" applyAlignment="1">
      <alignment horizontal="center" shrinkToFit="1"/>
    </xf>
    <xf numFmtId="0" fontId="14" fillId="0" borderId="84" xfId="0" applyFont="1" applyBorder="1" applyAlignment="1">
      <alignment horizontal="center" shrinkToFit="1"/>
    </xf>
    <xf numFmtId="164" fontId="14" fillId="0" borderId="41" xfId="0" applyNumberFormat="1" applyFont="1" applyBorder="1" applyAlignment="1">
      <alignment horizontal="center" shrinkToFit="1"/>
    </xf>
    <xf numFmtId="0" fontId="14" fillId="0" borderId="41" xfId="0" applyFont="1" applyBorder="1" applyAlignment="1">
      <alignment horizontal="left"/>
    </xf>
    <xf numFmtId="0" fontId="14" fillId="0" borderId="40" xfId="0" applyFont="1" applyBorder="1" applyAlignment="1">
      <alignment horizontal="left" shrinkToFit="1"/>
    </xf>
    <xf numFmtId="1" fontId="14" fillId="0" borderId="48" xfId="0" applyNumberFormat="1" applyFont="1" applyBorder="1" applyAlignment="1">
      <alignment horizontal="center" vertical="center" shrinkToFit="1"/>
    </xf>
    <xf numFmtId="0" fontId="14" fillId="0" borderId="51" xfId="0" applyFont="1" applyBorder="1" applyAlignment="1">
      <alignment horizontal="center" shrinkToFit="1"/>
    </xf>
    <xf numFmtId="164" fontId="14" fillId="0" borderId="36" xfId="0" applyNumberFormat="1" applyFont="1" applyBorder="1" applyAlignment="1">
      <alignment horizontal="center" shrinkToFit="1"/>
    </xf>
    <xf numFmtId="0" fontId="14" fillId="0" borderId="36" xfId="0" applyFont="1" applyBorder="1" applyAlignment="1">
      <alignment horizontal="left"/>
    </xf>
    <xf numFmtId="0" fontId="14" fillId="0" borderId="37" xfId="0" applyFont="1" applyBorder="1" applyAlignment="1">
      <alignment horizontal="left" shrinkToFit="1"/>
    </xf>
    <xf numFmtId="1" fontId="14" fillId="0" borderId="32" xfId="0" applyNumberFormat="1" applyFont="1" applyBorder="1" applyAlignment="1">
      <alignment horizontal="center" vertical="center" shrinkToFit="1"/>
    </xf>
    <xf numFmtId="164" fontId="14" fillId="0" borderId="81" xfId="0" applyNumberFormat="1" applyFont="1" applyBorder="1" applyAlignment="1">
      <alignment horizontal="center" vertical="center" shrinkToFit="1"/>
    </xf>
    <xf numFmtId="0" fontId="14" fillId="0" borderId="82" xfId="0" applyFont="1" applyBorder="1" applyAlignment="1">
      <alignment horizontal="left" vertical="center" shrinkToFit="1"/>
    </xf>
    <xf numFmtId="1" fontId="14" fillId="0" borderId="94" xfId="0" applyNumberFormat="1" applyFont="1" applyBorder="1" applyAlignment="1">
      <alignment horizontal="center" vertical="center" shrinkToFit="1"/>
    </xf>
    <xf numFmtId="0" fontId="14" fillId="0" borderId="80" xfId="0" applyFont="1" applyBorder="1" applyAlignment="1">
      <alignment horizontal="center" shrinkToFit="1"/>
    </xf>
    <xf numFmtId="0" fontId="14" fillId="0" borderId="86" xfId="0" applyFont="1" applyBorder="1" applyAlignment="1">
      <alignment horizontal="center" shrinkToFit="1"/>
    </xf>
    <xf numFmtId="164" fontId="14" fillId="0" borderId="81" xfId="0" applyNumberFormat="1" applyFont="1" applyBorder="1" applyAlignment="1">
      <alignment horizontal="center" shrinkToFit="1"/>
    </xf>
    <xf numFmtId="0" fontId="14" fillId="0" borderId="81" xfId="0" applyFont="1" applyBorder="1" applyAlignment="1">
      <alignment horizontal="left"/>
    </xf>
    <xf numFmtId="0" fontId="14" fillId="0" borderId="82" xfId="0" applyFont="1" applyBorder="1" applyAlignment="1">
      <alignment horizontal="left" shrinkToFit="1"/>
    </xf>
    <xf numFmtId="0" fontId="14" fillId="0" borderId="81" xfId="0" quotePrefix="1" applyFont="1" applyBorder="1" applyAlignment="1">
      <alignment horizontal="left"/>
    </xf>
    <xf numFmtId="0" fontId="14" fillId="0" borderId="70" xfId="0" applyFont="1" applyBorder="1" applyAlignment="1">
      <alignment horizontal="center" shrinkToFit="1"/>
    </xf>
    <xf numFmtId="0" fontId="14" fillId="0" borderId="85" xfId="0" applyFont="1" applyBorder="1" applyAlignment="1">
      <alignment horizontal="center" shrinkToFit="1"/>
    </xf>
    <xf numFmtId="164" fontId="14" fillId="0" borderId="38" xfId="0" applyNumberFormat="1" applyFont="1" applyBorder="1" applyAlignment="1">
      <alignment horizontal="center" shrinkToFit="1"/>
    </xf>
    <xf numFmtId="0" fontId="14" fillId="0" borderId="38" xfId="0" applyFont="1" applyBorder="1" applyAlignment="1">
      <alignment horizontal="left"/>
    </xf>
    <xf numFmtId="0" fontId="14" fillId="0" borderId="39" xfId="0" applyFont="1" applyBorder="1" applyAlignment="1">
      <alignment horizontal="left" shrinkToFit="1"/>
    </xf>
    <xf numFmtId="1" fontId="14" fillId="0" borderId="44" xfId="0" applyNumberFormat="1" applyFont="1" applyBorder="1" applyAlignment="1">
      <alignment horizontal="center" vertical="center" shrinkToFit="1"/>
    </xf>
    <xf numFmtId="164" fontId="29" fillId="0" borderId="0" xfId="0" applyNumberFormat="1" applyFont="1" applyAlignment="1">
      <alignment horizontal="centerContinuous" shrinkToFit="1"/>
    </xf>
    <xf numFmtId="0" fontId="29" fillId="0" borderId="0" xfId="0" applyFont="1" applyAlignment="1">
      <alignment horizontal="centerContinuous" shrinkToFit="1"/>
    </xf>
    <xf numFmtId="0" fontId="14" fillId="0" borderId="36" xfId="0" quotePrefix="1" applyFont="1" applyBorder="1" applyAlignment="1">
      <alignment horizontal="left"/>
    </xf>
    <xf numFmtId="0" fontId="14" fillId="0" borderId="37" xfId="0" applyFont="1" applyBorder="1" applyAlignment="1">
      <alignment horizontal="center" shrinkToFit="1"/>
    </xf>
    <xf numFmtId="0" fontId="14" fillId="0" borderId="82" xfId="0" applyFont="1" applyBorder="1" applyAlignment="1">
      <alignment horizontal="center" shrinkToFit="1"/>
    </xf>
    <xf numFmtId="1" fontId="14" fillId="0" borderId="50" xfId="0" applyNumberFormat="1" applyFont="1" applyBorder="1" applyAlignment="1">
      <alignment horizontal="center" vertical="center" shrinkToFit="1"/>
    </xf>
    <xf numFmtId="0" fontId="14" fillId="0" borderId="80"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81" xfId="0" applyFont="1" applyBorder="1" applyAlignment="1">
      <alignment horizontal="left" vertical="center"/>
    </xf>
    <xf numFmtId="0" fontId="14" fillId="0" borderId="39" xfId="0" applyFont="1" applyBorder="1" applyAlignment="1">
      <alignment horizontal="center" shrinkToFit="1"/>
    </xf>
    <xf numFmtId="164" fontId="14" fillId="0" borderId="0" xfId="0" applyNumberFormat="1" applyFont="1" applyAlignment="1">
      <alignment horizontal="center"/>
    </xf>
    <xf numFmtId="0" fontId="11" fillId="0" borderId="0" xfId="0" applyFont="1" applyAlignment="1">
      <alignment horizontal="right" vertical="center"/>
    </xf>
    <xf numFmtId="165" fontId="14" fillId="0" borderId="0" xfId="0" applyNumberFormat="1" applyFont="1" applyAlignment="1">
      <alignment horizontal="center" vertical="center"/>
    </xf>
    <xf numFmtId="0" fontId="16" fillId="0" borderId="48" xfId="0" applyFont="1" applyBorder="1" applyAlignment="1">
      <alignment horizontal="centerContinuous"/>
    </xf>
    <xf numFmtId="0" fontId="16" fillId="0" borderId="49" xfId="0" applyFont="1" applyBorder="1" applyAlignment="1">
      <alignment horizontal="centerContinuous"/>
    </xf>
    <xf numFmtId="0" fontId="16" fillId="0" borderId="50" xfId="0" applyFont="1" applyBorder="1" applyAlignment="1">
      <alignment horizontal="centerContinuous"/>
    </xf>
    <xf numFmtId="0" fontId="16" fillId="0" borderId="32" xfId="0" applyFont="1" applyBorder="1" applyAlignment="1">
      <alignment horizontal="centerContinuous"/>
    </xf>
    <xf numFmtId="0" fontId="16" fillId="0" borderId="44" xfId="0" applyFont="1" applyBorder="1" applyAlignment="1">
      <alignment horizontal="centerContinuous"/>
    </xf>
    <xf numFmtId="0" fontId="53" fillId="0" borderId="0" xfId="0" applyFont="1"/>
    <xf numFmtId="0" fontId="16" fillId="0" borderId="3" xfId="0" quotePrefix="1" applyFont="1" applyBorder="1" applyAlignment="1">
      <alignment horizontal="center"/>
    </xf>
    <xf numFmtId="0" fontId="16" fillId="0" borderId="3" xfId="0" applyFont="1" applyBorder="1" applyAlignment="1">
      <alignment horizontal="center"/>
    </xf>
    <xf numFmtId="0" fontId="16" fillId="0" borderId="23" xfId="0" quotePrefix="1" applyFont="1" applyBorder="1" applyAlignment="1">
      <alignment horizontal="center"/>
    </xf>
    <xf numFmtId="0" fontId="16" fillId="0" borderId="14" xfId="0" applyFont="1" applyBorder="1" applyAlignment="1">
      <alignment horizontal="center" vertical="center"/>
    </xf>
    <xf numFmtId="0" fontId="15" fillId="4" borderId="11" xfId="0" applyFont="1" applyFill="1" applyBorder="1" applyAlignment="1">
      <alignment horizontal="right"/>
    </xf>
    <xf numFmtId="1" fontId="16" fillId="0" borderId="23" xfId="0" applyNumberFormat="1" applyFont="1" applyBorder="1" applyAlignment="1">
      <alignment horizontal="centerContinuous"/>
    </xf>
    <xf numFmtId="1" fontId="14" fillId="0" borderId="102" xfId="0" applyNumberFormat="1" applyFont="1" applyBorder="1" applyAlignment="1">
      <alignment horizontal="centerContinuous"/>
    </xf>
    <xf numFmtId="0" fontId="15" fillId="4" borderId="83" xfId="0" applyFont="1" applyFill="1" applyBorder="1" applyAlignment="1">
      <alignment horizontal="right"/>
    </xf>
    <xf numFmtId="0" fontId="48" fillId="0" borderId="29" xfId="0" applyFont="1" applyBorder="1" applyAlignment="1">
      <alignment horizontal="centerContinuous" vertical="center"/>
    </xf>
    <xf numFmtId="0" fontId="47" fillId="0" borderId="29" xfId="0" applyFont="1" applyBorder="1" applyAlignment="1">
      <alignment horizontal="centerContinuous" vertical="center"/>
    </xf>
    <xf numFmtId="0" fontId="16" fillId="0" borderId="25" xfId="0" applyFont="1" applyBorder="1" applyAlignment="1">
      <alignment horizontal="center"/>
    </xf>
    <xf numFmtId="49" fontId="11" fillId="0" borderId="0" xfId="0" applyNumberFormat="1" applyFont="1" applyAlignment="1">
      <alignment horizontal="right"/>
    </xf>
    <xf numFmtId="0" fontId="54" fillId="2" borderId="4" xfId="0" applyFont="1" applyFill="1" applyBorder="1" applyAlignment="1">
      <alignment horizontal="right"/>
    </xf>
    <xf numFmtId="0" fontId="34" fillId="11" borderId="33" xfId="0" applyFont="1" applyFill="1" applyBorder="1" applyAlignment="1">
      <alignment horizontal="center" vertical="center" wrapText="1"/>
    </xf>
    <xf numFmtId="0" fontId="34" fillId="11" borderId="25" xfId="0" applyFont="1" applyFill="1" applyBorder="1" applyAlignment="1">
      <alignment horizontal="center"/>
    </xf>
    <xf numFmtId="0" fontId="34" fillId="11" borderId="58" xfId="0" applyFont="1" applyFill="1" applyBorder="1" applyAlignment="1">
      <alignment horizontal="center"/>
    </xf>
    <xf numFmtId="0" fontId="34" fillId="11" borderId="42" xfId="0" applyFont="1" applyFill="1" applyBorder="1" applyAlignment="1">
      <alignment horizontal="center"/>
    </xf>
    <xf numFmtId="0" fontId="26" fillId="6" borderId="1" xfId="0" applyFont="1" applyFill="1" applyBorder="1" applyAlignment="1">
      <alignment vertical="center"/>
    </xf>
    <xf numFmtId="0" fontId="14" fillId="0" borderId="67" xfId="0" quotePrefix="1" applyFont="1" applyBorder="1" applyAlignment="1">
      <alignment horizontal="center" vertical="center"/>
    </xf>
    <xf numFmtId="9" fontId="14" fillId="0" borderId="67" xfId="0" applyNumberFormat="1" applyFont="1" applyBorder="1" applyAlignment="1">
      <alignment horizontal="center" vertical="center"/>
    </xf>
    <xf numFmtId="49" fontId="14" fillId="0" borderId="67" xfId="0" quotePrefix="1" applyNumberFormat="1" applyFont="1" applyBorder="1" applyAlignment="1">
      <alignment horizontal="center" vertical="center"/>
    </xf>
    <xf numFmtId="1" fontId="14" fillId="0" borderId="103" xfId="0" applyNumberFormat="1" applyFont="1" applyBorder="1" applyAlignment="1">
      <alignment horizontal="center" vertical="center"/>
    </xf>
    <xf numFmtId="0" fontId="14" fillId="0" borderId="104" xfId="0" applyFont="1" applyBorder="1" applyAlignment="1">
      <alignment horizontal="center" vertical="center"/>
    </xf>
    <xf numFmtId="0" fontId="14" fillId="0" borderId="105" xfId="0" applyFont="1" applyBorder="1" applyAlignment="1">
      <alignment horizontal="center" vertical="center"/>
    </xf>
    <xf numFmtId="164" fontId="14" fillId="0" borderId="105" xfId="0" applyNumberFormat="1" applyFont="1" applyBorder="1" applyAlignment="1">
      <alignment horizontal="center" vertical="center"/>
    </xf>
    <xf numFmtId="164" fontId="14" fillId="0" borderId="106" xfId="0" applyNumberFormat="1" applyFont="1" applyBorder="1" applyAlignment="1">
      <alignment horizontal="center" vertical="center"/>
    </xf>
    <xf numFmtId="1" fontId="50" fillId="8" borderId="106" xfId="0" applyNumberFormat="1" applyFont="1" applyFill="1" applyBorder="1" applyAlignment="1">
      <alignment horizontal="center" vertical="center"/>
    </xf>
    <xf numFmtId="1" fontId="14" fillId="0" borderId="106" xfId="0" applyNumberFormat="1" applyFont="1" applyBorder="1" applyAlignment="1">
      <alignment horizontal="center" vertical="center"/>
    </xf>
    <xf numFmtId="0" fontId="14" fillId="0" borderId="107" xfId="0" quotePrefix="1" applyFont="1" applyBorder="1" applyAlignment="1">
      <alignment horizontal="center" vertical="center"/>
    </xf>
    <xf numFmtId="0" fontId="14" fillId="0" borderId="109" xfId="0" applyFont="1" applyBorder="1" applyAlignment="1">
      <alignment horizontal="center" vertical="center"/>
    </xf>
    <xf numFmtId="0" fontId="14" fillId="0" borderId="110" xfId="0" applyFont="1" applyBorder="1" applyAlignment="1">
      <alignment horizontal="center" vertical="center"/>
    </xf>
    <xf numFmtId="0" fontId="14" fillId="0" borderId="110" xfId="0" quotePrefix="1" applyFont="1" applyBorder="1" applyAlignment="1">
      <alignment horizontal="center" vertical="center" wrapText="1"/>
    </xf>
    <xf numFmtId="49" fontId="14" fillId="0" borderId="110" xfId="2" applyNumberFormat="1" applyFont="1" applyFill="1" applyBorder="1" applyAlignment="1">
      <alignment horizontal="center" vertical="center"/>
    </xf>
    <xf numFmtId="0" fontId="14" fillId="0" borderId="110" xfId="0" applyFont="1" applyBorder="1" applyAlignment="1">
      <alignment horizontal="center" vertical="center" shrinkToFit="1"/>
    </xf>
    <xf numFmtId="164" fontId="14" fillId="0" borderId="110" xfId="0" applyNumberFormat="1" applyFont="1" applyBorder="1" applyAlignment="1">
      <alignment horizontal="center" vertical="center"/>
    </xf>
    <xf numFmtId="164" fontId="14" fillId="0" borderId="3" xfId="0" applyNumberFormat="1" applyFont="1" applyBorder="1" applyAlignment="1">
      <alignment horizontal="center" vertical="center"/>
    </xf>
    <xf numFmtId="1" fontId="50" fillId="8" borderId="3" xfId="0" applyNumberFormat="1" applyFont="1" applyFill="1" applyBorder="1" applyAlignment="1">
      <alignment horizontal="center" vertical="center"/>
    </xf>
    <xf numFmtId="1" fontId="14" fillId="0" borderId="3" xfId="0" applyNumberFormat="1" applyFont="1" applyBorder="1" applyAlignment="1">
      <alignment horizontal="center" vertical="center"/>
    </xf>
    <xf numFmtId="0" fontId="14" fillId="0" borderId="111" xfId="0" applyFont="1" applyBorder="1" applyAlignment="1">
      <alignment horizontal="center" vertical="center"/>
    </xf>
    <xf numFmtId="49" fontId="14" fillId="0" borderId="105" xfId="0" applyNumberFormat="1" applyFont="1" applyBorder="1" applyAlignment="1">
      <alignment horizontal="center" vertical="center"/>
    </xf>
    <xf numFmtId="49" fontId="14" fillId="0" borderId="110" xfId="0" applyNumberFormat="1" applyFont="1" applyBorder="1" applyAlignment="1">
      <alignment horizontal="center" vertical="center"/>
    </xf>
    <xf numFmtId="0" fontId="14" fillId="0" borderId="111" xfId="0" quotePrefix="1" applyFont="1" applyBorder="1" applyAlignment="1">
      <alignment horizontal="center" vertical="center"/>
    </xf>
    <xf numFmtId="1" fontId="14" fillId="0" borderId="108" xfId="0" applyNumberFormat="1" applyFont="1" applyBorder="1" applyAlignment="1">
      <alignment horizontal="center" vertical="center"/>
    </xf>
    <xf numFmtId="0" fontId="16" fillId="0" borderId="25" xfId="0" applyFont="1" applyBorder="1" applyAlignment="1">
      <alignment horizontal="center" wrapText="1"/>
    </xf>
    <xf numFmtId="0" fontId="16" fillId="6" borderId="25" xfId="0" applyFont="1" applyFill="1" applyBorder="1" applyAlignment="1">
      <alignment horizontal="center" wrapText="1"/>
    </xf>
    <xf numFmtId="0" fontId="16" fillId="9" borderId="25" xfId="0" applyFont="1" applyFill="1" applyBorder="1" applyAlignment="1">
      <alignment horizontal="center" wrapText="1"/>
    </xf>
    <xf numFmtId="0" fontId="16" fillId="0" borderId="32" xfId="0" applyFont="1" applyBorder="1" applyAlignment="1">
      <alignment horizontal="center" shrinkToFit="1"/>
    </xf>
    <xf numFmtId="0" fontId="16" fillId="0" borderId="44" xfId="0" applyFont="1" applyBorder="1" applyAlignment="1">
      <alignment horizontal="center" shrinkToFit="1"/>
    </xf>
    <xf numFmtId="0" fontId="16" fillId="9" borderId="32" xfId="0" applyFont="1" applyFill="1" applyBorder="1" applyAlignment="1">
      <alignment horizontal="centerContinuous"/>
    </xf>
    <xf numFmtId="0" fontId="16" fillId="0" borderId="94" xfId="0" applyFont="1" applyBorder="1" applyAlignment="1">
      <alignment horizontal="centerContinuous"/>
    </xf>
    <xf numFmtId="0" fontId="56" fillId="0" borderId="29" xfId="0" applyFont="1" applyBorder="1" applyAlignment="1">
      <alignment horizontal="centerContinuous"/>
    </xf>
    <xf numFmtId="0" fontId="23" fillId="6" borderId="8" xfId="0" applyFont="1" applyFill="1" applyBorder="1"/>
    <xf numFmtId="0" fontId="16" fillId="6" borderId="42" xfId="0" applyFont="1" applyFill="1" applyBorder="1" applyAlignment="1">
      <alignment horizontal="center"/>
    </xf>
    <xf numFmtId="49" fontId="38" fillId="6" borderId="42" xfId="0" applyNumberFormat="1" applyFont="1" applyFill="1" applyBorder="1" applyAlignment="1">
      <alignment horizontal="center"/>
    </xf>
    <xf numFmtId="0" fontId="38" fillId="6" borderId="43" xfId="0" applyFont="1" applyFill="1" applyBorder="1" applyAlignment="1">
      <alignment horizontal="center"/>
    </xf>
    <xf numFmtId="0" fontId="23" fillId="6" borderId="43" xfId="0" applyFont="1" applyFill="1" applyBorder="1" applyAlignment="1">
      <alignment horizontal="center"/>
    </xf>
    <xf numFmtId="0" fontId="16" fillId="6" borderId="43" xfId="0" applyFont="1" applyFill="1" applyBorder="1" applyAlignment="1">
      <alignment horizontal="center" wrapText="1"/>
    </xf>
    <xf numFmtId="49" fontId="16" fillId="6" borderId="43" xfId="0" applyNumberFormat="1" applyFont="1" applyFill="1" applyBorder="1" applyAlignment="1">
      <alignment horizontal="center"/>
    </xf>
    <xf numFmtId="0" fontId="16" fillId="6" borderId="31" xfId="0" applyFont="1" applyFill="1" applyBorder="1" applyAlignment="1">
      <alignment horizontal="center"/>
    </xf>
    <xf numFmtId="0" fontId="18" fillId="6" borderId="1" xfId="0" applyFont="1" applyFill="1" applyBorder="1"/>
    <xf numFmtId="49" fontId="22" fillId="6" borderId="24" xfId="0" applyNumberFormat="1" applyFont="1" applyFill="1" applyBorder="1" applyAlignment="1">
      <alignment horizontal="center"/>
    </xf>
    <xf numFmtId="0" fontId="22" fillId="6" borderId="25" xfId="0" applyFont="1" applyFill="1" applyBorder="1" applyAlignment="1">
      <alignment horizontal="center"/>
    </xf>
    <xf numFmtId="0" fontId="18" fillId="6" borderId="25" xfId="0" applyFont="1" applyFill="1" applyBorder="1" applyAlignment="1">
      <alignment horizontal="center"/>
    </xf>
    <xf numFmtId="0" fontId="57" fillId="0" borderId="44" xfId="0" applyFont="1" applyBorder="1" applyAlignment="1">
      <alignment horizontal="center" shrinkToFit="1"/>
    </xf>
    <xf numFmtId="0" fontId="11" fillId="0" borderId="51" xfId="0" applyFont="1" applyBorder="1" applyAlignment="1">
      <alignment horizontal="center" shrinkToFit="1"/>
    </xf>
    <xf numFmtId="164" fontId="14" fillId="0" borderId="94" xfId="0" applyNumberFormat="1" applyFont="1" applyBorder="1" applyAlignment="1">
      <alignment horizontal="center" vertical="center" shrinkToFit="1"/>
    </xf>
    <xf numFmtId="0" fontId="16" fillId="9" borderId="44" xfId="0" applyFont="1" applyFill="1" applyBorder="1" applyAlignment="1">
      <alignment horizontal="center" shrinkToFit="1"/>
    </xf>
    <xf numFmtId="1" fontId="14" fillId="10" borderId="49" xfId="0" applyNumberFormat="1" applyFont="1" applyFill="1" applyBorder="1" applyAlignment="1">
      <alignment horizontal="center" vertical="center"/>
    </xf>
    <xf numFmtId="164" fontId="14" fillId="0" borderId="32" xfId="0" applyNumberFormat="1" applyFont="1" applyBorder="1" applyAlignment="1">
      <alignment horizontal="center" vertical="center" shrinkToFit="1"/>
    </xf>
    <xf numFmtId="0" fontId="14" fillId="0" borderId="0" xfId="0" applyFont="1" applyAlignment="1">
      <alignment vertical="center" wrapText="1"/>
    </xf>
    <xf numFmtId="0" fontId="11" fillId="0" borderId="5" xfId="0" applyFont="1" applyBorder="1" applyAlignment="1">
      <alignment horizontal="centerContinuous" vertical="center"/>
    </xf>
    <xf numFmtId="0" fontId="11" fillId="0" borderId="6" xfId="0" applyFont="1" applyBorder="1" applyAlignment="1">
      <alignment horizontal="centerContinuous" vertical="center"/>
    </xf>
    <xf numFmtId="0" fontId="14" fillId="0" borderId="6" xfId="0" applyFont="1" applyBorder="1" applyAlignment="1">
      <alignment horizontal="centerContinuous" vertical="center" wrapText="1"/>
    </xf>
    <xf numFmtId="0" fontId="14" fillId="0" borderId="7" xfId="0" applyFont="1" applyBorder="1" applyAlignment="1">
      <alignment horizontal="centerContinuous" vertical="center" wrapText="1"/>
    </xf>
    <xf numFmtId="0" fontId="16" fillId="0" borderId="0" xfId="0" applyFont="1" applyAlignment="1">
      <alignment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4" xfId="0" applyFont="1" applyBorder="1" applyAlignment="1">
      <alignment horizontal="right" vertical="center"/>
    </xf>
    <xf numFmtId="0" fontId="14" fillId="0" borderId="115" xfId="0" applyFont="1" applyBorder="1" applyAlignment="1">
      <alignment horizontal="center" vertical="center" wrapText="1"/>
    </xf>
    <xf numFmtId="0" fontId="14" fillId="0" borderId="116" xfId="0" applyFont="1" applyBorder="1" applyAlignment="1">
      <alignment horizontal="center" vertical="center" wrapText="1"/>
    </xf>
    <xf numFmtId="0" fontId="14" fillId="12" borderId="116" xfId="0" applyFont="1" applyFill="1" applyBorder="1" applyAlignment="1">
      <alignment horizontal="center" vertical="center" wrapText="1"/>
    </xf>
    <xf numFmtId="0" fontId="14" fillId="12" borderId="117" xfId="0" applyFont="1" applyFill="1" applyBorder="1" applyAlignment="1">
      <alignment horizontal="center" vertical="center" wrapText="1"/>
    </xf>
    <xf numFmtId="0" fontId="58" fillId="0" borderId="32" xfId="0" applyFont="1" applyBorder="1" applyAlignment="1">
      <alignment horizontal="right" vertical="center"/>
    </xf>
    <xf numFmtId="0" fontId="14" fillId="0" borderId="84" xfId="0" applyFont="1" applyBorder="1" applyAlignment="1">
      <alignment horizontal="center" vertical="center" wrapText="1"/>
    </xf>
    <xf numFmtId="0" fontId="14" fillId="12" borderId="84" xfId="0" applyFont="1" applyFill="1" applyBorder="1" applyAlignment="1">
      <alignment horizontal="center" vertical="center" wrapText="1"/>
    </xf>
    <xf numFmtId="0" fontId="14" fillId="12" borderId="37" xfId="0" applyFont="1" applyFill="1" applyBorder="1" applyAlignment="1">
      <alignment horizontal="center" vertical="center" wrapText="1"/>
    </xf>
    <xf numFmtId="0" fontId="11" fillId="0" borderId="118" xfId="0" applyFont="1" applyBorder="1" applyAlignment="1">
      <alignment horizontal="right" vertical="center" wrapText="1"/>
    </xf>
    <xf numFmtId="0" fontId="59" fillId="13" borderId="119" xfId="0" applyFont="1" applyFill="1" applyBorder="1" applyAlignment="1">
      <alignment horizontal="center" vertical="center" wrapText="1"/>
    </xf>
    <xf numFmtId="0" fontId="59" fillId="13" borderId="120" xfId="0" applyFont="1" applyFill="1" applyBorder="1" applyAlignment="1">
      <alignment horizontal="center" vertical="center" wrapText="1"/>
    </xf>
    <xf numFmtId="0" fontId="11" fillId="12" borderId="120" xfId="0" applyFont="1" applyFill="1" applyBorder="1" applyAlignment="1">
      <alignment horizontal="center" vertical="center" wrapText="1"/>
    </xf>
    <xf numFmtId="0" fontId="11" fillId="12" borderId="121" xfId="0" applyFont="1" applyFill="1" applyBorder="1" applyAlignment="1">
      <alignment horizontal="center" vertical="center" wrapText="1"/>
    </xf>
    <xf numFmtId="0" fontId="11" fillId="0" borderId="50" xfId="0" applyFont="1" applyBorder="1" applyAlignment="1">
      <alignment horizontal="right" vertical="center" wrapText="1"/>
    </xf>
    <xf numFmtId="1" fontId="14" fillId="0" borderId="122" xfId="0" applyNumberFormat="1" applyFont="1" applyBorder="1" applyAlignment="1">
      <alignment horizontal="center" vertical="center" wrapText="1"/>
    </xf>
    <xf numFmtId="1" fontId="14" fillId="0" borderId="123" xfId="0" applyNumberFormat="1" applyFont="1" applyBorder="1" applyAlignment="1">
      <alignment horizontal="center" vertical="center" wrapText="1"/>
    </xf>
    <xf numFmtId="1" fontId="14" fillId="12" borderId="123" xfId="0" applyNumberFormat="1" applyFont="1" applyFill="1" applyBorder="1" applyAlignment="1">
      <alignment horizontal="center" vertical="center" wrapText="1"/>
    </xf>
    <xf numFmtId="49" fontId="14" fillId="12" borderId="124" xfId="0" applyNumberFormat="1" applyFont="1" applyFill="1" applyBorder="1" applyAlignment="1">
      <alignment horizontal="center" vertical="center" wrapText="1"/>
    </xf>
    <xf numFmtId="0" fontId="11" fillId="0" borderId="44" xfId="0" applyFont="1" applyBorder="1" applyAlignment="1">
      <alignment horizontal="right" vertical="center" wrapText="1"/>
    </xf>
    <xf numFmtId="0" fontId="14" fillId="14" borderId="85" xfId="0" applyFont="1" applyFill="1" applyBorder="1" applyAlignment="1">
      <alignment horizontal="center" vertical="center" wrapText="1"/>
    </xf>
    <xf numFmtId="0" fontId="14" fillId="14" borderId="38" xfId="0" applyFont="1" applyFill="1" applyBorder="1" applyAlignment="1">
      <alignment horizontal="center" vertical="center" wrapText="1"/>
    </xf>
    <xf numFmtId="0" fontId="14" fillId="12" borderId="38" xfId="0" applyFont="1" applyFill="1" applyBorder="1" applyAlignment="1">
      <alignment horizontal="center" vertical="center" wrapText="1"/>
    </xf>
    <xf numFmtId="0" fontId="14" fillId="12" borderId="39" xfId="0" applyFont="1" applyFill="1" applyBorder="1" applyAlignment="1">
      <alignment horizontal="center" vertical="center" wrapText="1"/>
    </xf>
    <xf numFmtId="0" fontId="15" fillId="0" borderId="0" xfId="0" applyFont="1" applyAlignment="1">
      <alignment horizontal="right" vertical="center" wrapText="1"/>
    </xf>
    <xf numFmtId="0" fontId="16" fillId="0" borderId="0" xfId="0" applyFont="1" applyAlignment="1">
      <alignment horizontal="center" vertical="center"/>
    </xf>
    <xf numFmtId="0" fontId="60" fillId="0" borderId="22" xfId="0" applyFont="1" applyBorder="1" applyAlignment="1">
      <alignment horizontal="centerContinuous" wrapText="1"/>
    </xf>
    <xf numFmtId="0" fontId="31" fillId="0" borderId="0" xfId="0" applyFont="1" applyAlignment="1">
      <alignment horizontal="centerContinuous" wrapText="1"/>
    </xf>
    <xf numFmtId="0" fontId="15" fillId="0" borderId="0" xfId="0" applyFont="1" applyAlignment="1">
      <alignment horizontal="centerContinuous" wrapText="1"/>
    </xf>
    <xf numFmtId="0" fontId="14" fillId="0" borderId="0" xfId="0" applyFont="1" applyAlignment="1">
      <alignment wrapText="1"/>
    </xf>
    <xf numFmtId="0" fontId="33" fillId="11" borderId="112" xfId="0" applyFont="1" applyFill="1" applyBorder="1" applyAlignment="1">
      <alignment horizontal="centerContinuous" vertical="center" wrapText="1"/>
    </xf>
    <xf numFmtId="0" fontId="33" fillId="11" borderId="113" xfId="0" applyFont="1" applyFill="1" applyBorder="1" applyAlignment="1">
      <alignment horizontal="center" vertical="center"/>
    </xf>
    <xf numFmtId="0" fontId="33" fillId="11" borderId="113" xfId="0" applyFont="1" applyFill="1" applyBorder="1" applyAlignment="1">
      <alignment horizontal="center" vertical="center" wrapText="1"/>
    </xf>
    <xf numFmtId="0" fontId="11" fillId="0" borderId="0" xfId="0" applyFont="1" applyAlignment="1">
      <alignment wrapText="1"/>
    </xf>
    <xf numFmtId="0" fontId="61" fillId="0" borderId="1" xfId="0" applyFont="1" applyBorder="1" applyAlignment="1">
      <alignment horizontal="center" shrinkToFit="1"/>
    </xf>
    <xf numFmtId="0" fontId="16" fillId="0" borderId="24" xfId="0" applyFont="1" applyBorder="1" applyAlignment="1">
      <alignment horizontal="center" wrapText="1"/>
    </xf>
    <xf numFmtId="0" fontId="16" fillId="0" borderId="24" xfId="0" applyFont="1" applyBorder="1" applyAlignment="1">
      <alignment horizontal="center" vertical="center" shrinkToFit="1"/>
    </xf>
    <xf numFmtId="9" fontId="16" fillId="0" borderId="25" xfId="2" applyFont="1" applyBorder="1" applyAlignment="1">
      <alignment horizontal="center" vertical="center" shrinkToFit="1"/>
    </xf>
    <xf numFmtId="0" fontId="16" fillId="0" borderId="25" xfId="2" applyNumberFormat="1" applyFont="1" applyBorder="1" applyAlignment="1">
      <alignment horizontal="center" vertical="center" shrinkToFit="1"/>
    </xf>
    <xf numFmtId="49" fontId="16" fillId="0" borderId="26" xfId="0" applyNumberFormat="1" applyFont="1" applyBorder="1" applyAlignment="1">
      <alignment horizontal="center" vertical="center" wrapText="1"/>
    </xf>
    <xf numFmtId="0" fontId="16" fillId="0" borderId="25" xfId="2" applyNumberFormat="1" applyFont="1" applyBorder="1" applyAlignment="1">
      <alignment horizontal="center" shrinkToFit="1"/>
    </xf>
    <xf numFmtId="9" fontId="16" fillId="0" borderId="25" xfId="2" applyFont="1" applyFill="1" applyBorder="1" applyAlignment="1">
      <alignment horizontal="center" vertical="center" shrinkToFit="1"/>
    </xf>
    <xf numFmtId="0" fontId="16" fillId="0" borderId="26" xfId="0" applyFont="1" applyBorder="1" applyAlignment="1">
      <alignment horizontal="center" wrapText="1"/>
    </xf>
    <xf numFmtId="0" fontId="61" fillId="0" borderId="57" xfId="0" applyFont="1" applyBorder="1" applyAlignment="1">
      <alignment horizontal="center" shrinkToFit="1"/>
    </xf>
    <xf numFmtId="0" fontId="16" fillId="0" borderId="58" xfId="0" applyFont="1" applyBorder="1" applyAlignment="1">
      <alignment horizontal="center" wrapText="1"/>
    </xf>
    <xf numFmtId="0" fontId="16" fillId="0" borderId="58" xfId="0" applyFont="1" applyBorder="1" applyAlignment="1">
      <alignment horizontal="center" vertical="center" shrinkToFit="1"/>
    </xf>
    <xf numFmtId="9" fontId="16" fillId="0" borderId="14" xfId="2" applyFont="1" applyBorder="1" applyAlignment="1">
      <alignment horizontal="center" vertical="center" shrinkToFit="1"/>
    </xf>
    <xf numFmtId="0" fontId="16" fillId="0" borderId="14" xfId="2" applyNumberFormat="1" applyFont="1" applyBorder="1" applyAlignment="1">
      <alignment horizontal="center" vertical="center" shrinkToFit="1"/>
    </xf>
    <xf numFmtId="49" fontId="16" fillId="0" borderId="30" xfId="0" applyNumberFormat="1" applyFont="1" applyBorder="1" applyAlignment="1">
      <alignment horizontal="center" vertical="center" wrapText="1"/>
    </xf>
    <xf numFmtId="9" fontId="16" fillId="0" borderId="24" xfId="2" applyFont="1" applyBorder="1" applyAlignment="1">
      <alignment horizontal="center" shrinkToFit="1"/>
    </xf>
    <xf numFmtId="0" fontId="16" fillId="0" borderId="24" xfId="0" applyFont="1" applyBorder="1" applyAlignment="1">
      <alignment horizontal="center" vertical="center" wrapText="1"/>
    </xf>
    <xf numFmtId="9" fontId="16" fillId="0" borderId="24" xfId="2" applyFont="1" applyBorder="1" applyAlignment="1">
      <alignment horizontal="center" vertical="center" shrinkToFit="1"/>
    </xf>
    <xf numFmtId="9" fontId="16" fillId="0" borderId="25" xfId="2" applyFont="1" applyBorder="1" applyAlignment="1">
      <alignment horizontal="center" shrinkToFit="1"/>
    </xf>
    <xf numFmtId="0" fontId="16" fillId="0" borderId="26" xfId="0" quotePrefix="1" applyFont="1" applyBorder="1" applyAlignment="1">
      <alignment horizontal="center" shrinkToFit="1"/>
    </xf>
    <xf numFmtId="9" fontId="16" fillId="0" borderId="24" xfId="2" applyFont="1" applyFill="1" applyBorder="1" applyAlignment="1">
      <alignment horizontal="center" shrinkToFit="1"/>
    </xf>
    <xf numFmtId="9" fontId="16" fillId="0" borderId="25" xfId="2" applyFont="1" applyFill="1" applyBorder="1" applyAlignment="1">
      <alignment horizontal="center" shrinkToFit="1"/>
    </xf>
    <xf numFmtId="0" fontId="16" fillId="0" borderId="25" xfId="2" applyNumberFormat="1" applyFont="1" applyFill="1" applyBorder="1" applyAlignment="1">
      <alignment horizontal="center" vertical="center" shrinkToFit="1"/>
    </xf>
    <xf numFmtId="0" fontId="16" fillId="0" borderId="25" xfId="2" applyNumberFormat="1" applyFont="1" applyFill="1" applyBorder="1" applyAlignment="1">
      <alignment horizontal="center" shrinkToFit="1"/>
    </xf>
    <xf numFmtId="0" fontId="62" fillId="0" borderId="1" xfId="0" applyFont="1" applyBorder="1" applyAlignment="1">
      <alignment horizontal="center" shrinkToFit="1"/>
    </xf>
    <xf numFmtId="0" fontId="15" fillId="0" borderId="24" xfId="0" applyFont="1" applyBorder="1" applyAlignment="1">
      <alignment horizontal="center" wrapText="1"/>
    </xf>
    <xf numFmtId="9" fontId="15" fillId="0" borderId="24" xfId="2" applyFont="1" applyFill="1" applyBorder="1" applyAlignment="1">
      <alignment horizontal="center" vertical="center" shrinkToFit="1"/>
    </xf>
    <xf numFmtId="9" fontId="15" fillId="0" borderId="25" xfId="2" applyFont="1" applyFill="1" applyBorder="1" applyAlignment="1">
      <alignment horizontal="center" vertical="center" shrinkToFit="1"/>
    </xf>
    <xf numFmtId="0" fontId="15" fillId="0" borderId="25" xfId="0" applyFont="1" applyBorder="1" applyAlignment="1">
      <alignment horizontal="center" vertical="center" shrinkToFit="1"/>
    </xf>
    <xf numFmtId="0" fontId="15" fillId="0" borderId="25" xfId="2" applyNumberFormat="1" applyFont="1" applyFill="1" applyBorder="1" applyAlignment="1">
      <alignment horizontal="center" vertical="center" shrinkToFit="1"/>
    </xf>
    <xf numFmtId="0" fontId="15" fillId="0" borderId="26" xfId="0" applyFont="1" applyBorder="1" applyAlignment="1">
      <alignment horizontal="center" vertical="center" wrapText="1"/>
    </xf>
    <xf numFmtId="9" fontId="16" fillId="0" borderId="58" xfId="2" applyFont="1" applyFill="1" applyBorder="1" applyAlignment="1">
      <alignment horizontal="center" shrinkToFit="1"/>
    </xf>
    <xf numFmtId="9" fontId="16" fillId="0" borderId="14" xfId="2" applyFont="1" applyFill="1" applyBorder="1" applyAlignment="1">
      <alignment horizontal="center" shrinkToFit="1"/>
    </xf>
    <xf numFmtId="0" fontId="16" fillId="0" borderId="14" xfId="0" applyFont="1" applyBorder="1" applyAlignment="1">
      <alignment horizontal="center" wrapText="1"/>
    </xf>
    <xf numFmtId="0" fontId="16" fillId="0" borderId="14" xfId="2" applyNumberFormat="1" applyFont="1" applyFill="1" applyBorder="1" applyAlignment="1">
      <alignment horizontal="center" vertical="center" shrinkToFit="1"/>
    </xf>
    <xf numFmtId="0" fontId="16" fillId="0" borderId="14" xfId="2" applyNumberFormat="1" applyFont="1" applyFill="1" applyBorder="1" applyAlignment="1">
      <alignment horizontal="center" shrinkToFit="1"/>
    </xf>
    <xf numFmtId="0" fontId="16" fillId="0" borderId="30" xfId="0" applyFont="1" applyBorder="1" applyAlignment="1">
      <alignment horizontal="center" wrapText="1"/>
    </xf>
    <xf numFmtId="0" fontId="61" fillId="9" borderId="1" xfId="0" applyFont="1" applyFill="1" applyBorder="1" applyAlignment="1">
      <alignment horizontal="center" shrinkToFit="1"/>
    </xf>
    <xf numFmtId="0" fontId="16" fillId="9" borderId="24" xfId="0" applyFont="1" applyFill="1" applyBorder="1" applyAlignment="1">
      <alignment horizontal="center" wrapText="1"/>
    </xf>
    <xf numFmtId="9" fontId="16" fillId="9" borderId="24" xfId="2" applyFont="1" applyFill="1" applyBorder="1" applyAlignment="1">
      <alignment horizontal="center" shrinkToFit="1"/>
    </xf>
    <xf numFmtId="9" fontId="16" fillId="9" borderId="25" xfId="2" applyFont="1" applyFill="1" applyBorder="1" applyAlignment="1">
      <alignment horizontal="center" vertical="center" shrinkToFit="1"/>
    </xf>
    <xf numFmtId="0" fontId="16" fillId="9" borderId="25" xfId="2" applyNumberFormat="1" applyFont="1" applyFill="1" applyBorder="1" applyAlignment="1">
      <alignment horizontal="center" vertical="center" shrinkToFit="1"/>
    </xf>
    <xf numFmtId="0" fontId="16" fillId="9" borderId="26" xfId="0" applyFont="1" applyFill="1" applyBorder="1" applyAlignment="1">
      <alignment horizontal="center" wrapText="1"/>
    </xf>
    <xf numFmtId="9" fontId="16" fillId="9" borderId="25" xfId="2" applyFont="1" applyFill="1" applyBorder="1" applyAlignment="1">
      <alignment horizontal="center" shrinkToFit="1"/>
    </xf>
    <xf numFmtId="0" fontId="16" fillId="9" borderId="25" xfId="2" applyNumberFormat="1" applyFont="1" applyFill="1" applyBorder="1" applyAlignment="1">
      <alignment horizontal="center" shrinkToFit="1"/>
    </xf>
    <xf numFmtId="9" fontId="16" fillId="9" borderId="24" xfId="2" applyFont="1" applyFill="1" applyBorder="1" applyAlignment="1">
      <alignment horizontal="center" vertical="center" shrinkToFit="1"/>
    </xf>
    <xf numFmtId="0" fontId="16" fillId="9" borderId="26" xfId="0" applyFont="1" applyFill="1" applyBorder="1" applyAlignment="1">
      <alignment horizontal="center" vertical="center" wrapText="1"/>
    </xf>
    <xf numFmtId="0" fontId="61" fillId="9" borderId="57" xfId="0" applyFont="1" applyFill="1" applyBorder="1" applyAlignment="1">
      <alignment horizontal="center" shrinkToFit="1"/>
    </xf>
    <xf numFmtId="0" fontId="16" fillId="9" borderId="58" xfId="0" applyFont="1" applyFill="1" applyBorder="1" applyAlignment="1">
      <alignment horizontal="center" wrapText="1"/>
    </xf>
    <xf numFmtId="9" fontId="16" fillId="9" borderId="58" xfId="2" applyFont="1" applyFill="1" applyBorder="1" applyAlignment="1">
      <alignment horizontal="center" shrinkToFit="1"/>
    </xf>
    <xf numFmtId="9" fontId="16" fillId="9" borderId="14" xfId="2" applyFont="1" applyFill="1" applyBorder="1" applyAlignment="1">
      <alignment horizontal="center" shrinkToFit="1"/>
    </xf>
    <xf numFmtId="0" fontId="16" fillId="9" borderId="14" xfId="0" applyFont="1" applyFill="1" applyBorder="1" applyAlignment="1">
      <alignment horizontal="center" wrapText="1"/>
    </xf>
    <xf numFmtId="0" fontId="16" fillId="9" borderId="14" xfId="2" applyNumberFormat="1" applyFont="1" applyFill="1" applyBorder="1" applyAlignment="1">
      <alignment horizontal="center" vertical="center" shrinkToFit="1"/>
    </xf>
    <xf numFmtId="0" fontId="16" fillId="9" borderId="14" xfId="2" applyNumberFormat="1" applyFont="1" applyFill="1" applyBorder="1" applyAlignment="1">
      <alignment horizontal="center" shrinkToFit="1"/>
    </xf>
    <xf numFmtId="0" fontId="16" fillId="9" borderId="30" xfId="0" applyFont="1" applyFill="1" applyBorder="1" applyAlignment="1">
      <alignment horizontal="center" wrapText="1"/>
    </xf>
    <xf numFmtId="0" fontId="16" fillId="9" borderId="26" xfId="0" quotePrefix="1" applyFont="1" applyFill="1" applyBorder="1" applyAlignment="1">
      <alignment horizontal="center" vertical="center" wrapText="1"/>
    </xf>
    <xf numFmtId="0" fontId="16" fillId="9" borderId="24" xfId="0" applyFont="1" applyFill="1" applyBorder="1" applyAlignment="1">
      <alignment horizontal="center" vertical="center" shrinkToFit="1"/>
    </xf>
    <xf numFmtId="0" fontId="16" fillId="9" borderId="30" xfId="0" applyFont="1" applyFill="1" applyBorder="1" applyAlignment="1">
      <alignment horizontal="center" vertical="center" wrapText="1"/>
    </xf>
    <xf numFmtId="0" fontId="62" fillId="9" borderId="1" xfId="0" applyFont="1" applyFill="1" applyBorder="1" applyAlignment="1">
      <alignment horizontal="center" shrinkToFit="1"/>
    </xf>
    <xf numFmtId="0" fontId="15" fillId="9" borderId="24" xfId="0" applyFont="1" applyFill="1" applyBorder="1" applyAlignment="1">
      <alignment horizontal="center" wrapText="1"/>
    </xf>
    <xf numFmtId="9" fontId="15" fillId="9" borderId="24" xfId="2" applyFont="1" applyFill="1" applyBorder="1" applyAlignment="1">
      <alignment horizontal="center" shrinkToFit="1"/>
    </xf>
    <xf numFmtId="9" fontId="15" fillId="9" borderId="25" xfId="2" applyFont="1" applyFill="1" applyBorder="1" applyAlignment="1">
      <alignment horizontal="center" shrinkToFit="1"/>
    </xf>
    <xf numFmtId="0" fontId="15" fillId="9" borderId="25" xfId="2" applyNumberFormat="1" applyFont="1" applyFill="1" applyBorder="1" applyAlignment="1">
      <alignment horizontal="center" vertical="center" shrinkToFit="1"/>
    </xf>
    <xf numFmtId="0" fontId="15" fillId="9" borderId="25" xfId="2" applyNumberFormat="1" applyFont="1" applyFill="1" applyBorder="1" applyAlignment="1">
      <alignment horizontal="center" shrinkToFit="1"/>
    </xf>
    <xf numFmtId="0" fontId="15" fillId="9" borderId="26" xfId="0" applyFont="1" applyFill="1" applyBorder="1" applyAlignment="1">
      <alignment horizontal="center" vertical="center" wrapText="1"/>
    </xf>
    <xf numFmtId="9" fontId="16" fillId="9" borderId="25" xfId="7" applyFont="1" applyFill="1" applyBorder="1" applyAlignment="1">
      <alignment horizontal="center" vertical="center" shrinkToFit="1"/>
    </xf>
    <xf numFmtId="0" fontId="16" fillId="9" borderId="25" xfId="5" applyFont="1" applyFill="1" applyBorder="1" applyAlignment="1">
      <alignment horizontal="center" vertical="center"/>
    </xf>
    <xf numFmtId="0" fontId="16" fillId="9" borderId="25" xfId="7" applyNumberFormat="1" applyFont="1" applyFill="1" applyBorder="1" applyAlignment="1">
      <alignment horizontal="center" vertical="center" shrinkToFit="1"/>
    </xf>
    <xf numFmtId="0" fontId="16" fillId="9" borderId="26" xfId="0" applyFont="1" applyFill="1" applyBorder="1" applyAlignment="1">
      <alignment horizontal="center" vertical="center"/>
    </xf>
    <xf numFmtId="0" fontId="16" fillId="9" borderId="25" xfId="0" applyFont="1" applyFill="1" applyBorder="1" applyAlignment="1">
      <alignment horizontal="center" vertical="center" shrinkToFit="1"/>
    </xf>
    <xf numFmtId="9" fontId="16" fillId="9" borderId="14" xfId="2" applyFont="1" applyFill="1" applyBorder="1" applyAlignment="1">
      <alignment horizontal="center" vertical="center" shrinkToFit="1"/>
    </xf>
    <xf numFmtId="9" fontId="15" fillId="9" borderId="24" xfId="2" applyFont="1" applyFill="1" applyBorder="1" applyAlignment="1">
      <alignment horizontal="center" vertical="center" shrinkToFit="1"/>
    </xf>
    <xf numFmtId="9" fontId="15" fillId="9" borderId="25" xfId="2" applyFont="1" applyFill="1" applyBorder="1" applyAlignment="1">
      <alignment horizontal="center" vertical="center" shrinkToFit="1"/>
    </xf>
    <xf numFmtId="0" fontId="15" fillId="9" borderId="25" xfId="0" applyFont="1" applyFill="1" applyBorder="1" applyAlignment="1">
      <alignment horizontal="center" vertical="center" shrinkToFit="1"/>
    </xf>
    <xf numFmtId="0" fontId="15" fillId="9" borderId="25" xfId="7" applyNumberFormat="1" applyFont="1" applyFill="1" applyBorder="1" applyAlignment="1">
      <alignment horizontal="center" vertical="center" shrinkToFit="1"/>
    </xf>
    <xf numFmtId="0" fontId="61" fillId="9" borderId="8" xfId="0" applyFont="1" applyFill="1" applyBorder="1" applyAlignment="1">
      <alignment horizontal="center" shrinkToFit="1"/>
    </xf>
    <xf numFmtId="0" fontId="16" fillId="9" borderId="42" xfId="0" applyFont="1" applyFill="1" applyBorder="1" applyAlignment="1">
      <alignment horizontal="center" wrapText="1"/>
    </xf>
    <xf numFmtId="9" fontId="16" fillId="9" borderId="42" xfId="2" applyFont="1" applyFill="1" applyBorder="1" applyAlignment="1">
      <alignment horizontal="center" shrinkToFit="1"/>
    </xf>
    <xf numFmtId="9" fontId="16" fillId="9" borderId="43" xfId="2" applyFont="1" applyFill="1" applyBorder="1" applyAlignment="1">
      <alignment horizontal="center" vertical="center" shrinkToFit="1"/>
    </xf>
    <xf numFmtId="0" fontId="16" fillId="9" borderId="43" xfId="2" applyNumberFormat="1" applyFont="1" applyFill="1" applyBorder="1" applyAlignment="1">
      <alignment horizontal="center" shrinkToFit="1"/>
    </xf>
    <xf numFmtId="0" fontId="16" fillId="9" borderId="31" xfId="0" applyFont="1" applyFill="1" applyBorder="1" applyAlignment="1">
      <alignment horizontal="center" wrapText="1"/>
    </xf>
    <xf numFmtId="0" fontId="11" fillId="0" borderId="0" xfId="0" applyFont="1" applyAlignment="1">
      <alignment horizontal="right" wrapText="1"/>
    </xf>
    <xf numFmtId="0" fontId="14" fillId="0" borderId="0" xfId="0" applyFont="1" applyAlignment="1">
      <alignment horizontal="left" wrapText="1"/>
    </xf>
    <xf numFmtId="0" fontId="16" fillId="0" borderId="0" xfId="0" applyFont="1" applyAlignment="1">
      <alignment horizontal="left" wrapText="1"/>
    </xf>
    <xf numFmtId="0" fontId="45" fillId="11" borderId="113" xfId="0" applyFont="1" applyFill="1" applyBorder="1" applyAlignment="1">
      <alignment horizontal="center" vertical="center"/>
    </xf>
    <xf numFmtId="0" fontId="14" fillId="0" borderId="71" xfId="0" applyFont="1" applyBorder="1" applyAlignment="1">
      <alignment horizontal="center" vertical="center"/>
    </xf>
    <xf numFmtId="0" fontId="14" fillId="0" borderId="67" xfId="0" quotePrefix="1" applyFont="1" applyBorder="1" applyAlignment="1">
      <alignment horizontal="center" vertical="center" wrapText="1"/>
    </xf>
    <xf numFmtId="49" fontId="14" fillId="0" borderId="67" xfId="2" applyNumberFormat="1" applyFont="1" applyFill="1" applyBorder="1" applyAlignment="1">
      <alignment horizontal="center" vertical="center"/>
    </xf>
    <xf numFmtId="0" fontId="14" fillId="0" borderId="67" xfId="0" applyFont="1" applyBorder="1" applyAlignment="1">
      <alignment horizontal="center" vertical="center" shrinkToFit="1"/>
    </xf>
    <xf numFmtId="164" fontId="14" fillId="0" borderId="66" xfId="0" applyNumberFormat="1" applyFont="1" applyBorder="1" applyAlignment="1">
      <alignment horizontal="center" vertical="center"/>
    </xf>
    <xf numFmtId="1" fontId="50" fillId="8" borderId="66" xfId="0" applyNumberFormat="1" applyFont="1" applyFill="1" applyBorder="1" applyAlignment="1">
      <alignment horizontal="center" vertical="center"/>
    </xf>
    <xf numFmtId="1" fontId="14" fillId="0" borderId="66" xfId="0" applyNumberFormat="1" applyFont="1" applyBorder="1" applyAlignment="1">
      <alignment horizontal="center" vertical="center"/>
    </xf>
    <xf numFmtId="0" fontId="14" fillId="0" borderId="125" xfId="0" quotePrefix="1" applyFont="1" applyBorder="1" applyAlignment="1">
      <alignment horizontal="center" vertical="center"/>
    </xf>
    <xf numFmtId="0" fontId="14" fillId="0" borderId="126" xfId="0" applyFont="1" applyBorder="1" applyAlignment="1">
      <alignment horizontal="center" vertical="center"/>
    </xf>
    <xf numFmtId="0" fontId="14" fillId="0" borderId="127" xfId="0" applyFont="1" applyBorder="1" applyAlignment="1">
      <alignment horizontal="center" vertical="center"/>
    </xf>
    <xf numFmtId="0" fontId="14" fillId="0" borderId="127" xfId="0" quotePrefix="1" applyFont="1" applyBorder="1" applyAlignment="1">
      <alignment horizontal="center" vertical="center" wrapText="1"/>
    </xf>
    <xf numFmtId="49" fontId="14" fillId="0" borderId="127" xfId="2" applyNumberFormat="1" applyFont="1" applyFill="1" applyBorder="1" applyAlignment="1">
      <alignment horizontal="center" vertical="center"/>
    </xf>
    <xf numFmtId="0" fontId="14" fillId="0" borderId="127" xfId="0" applyFont="1" applyBorder="1" applyAlignment="1">
      <alignment horizontal="center" vertical="center" shrinkToFit="1"/>
    </xf>
    <xf numFmtId="164" fontId="14" fillId="0" borderId="127" xfId="0" applyNumberFormat="1" applyFont="1" applyBorder="1" applyAlignment="1">
      <alignment horizontal="center" vertical="center"/>
    </xf>
    <xf numFmtId="164" fontId="14" fillId="0" borderId="128" xfId="0" applyNumberFormat="1" applyFont="1" applyBorder="1" applyAlignment="1">
      <alignment horizontal="center" vertical="center"/>
    </xf>
    <xf numFmtId="1" fontId="50" fillId="8" borderId="128" xfId="0" applyNumberFormat="1" applyFont="1" applyFill="1" applyBorder="1" applyAlignment="1">
      <alignment horizontal="center" vertical="center"/>
    </xf>
    <xf numFmtId="1" fontId="14" fillId="0" borderId="128" xfId="0" applyNumberFormat="1" applyFont="1" applyBorder="1" applyAlignment="1">
      <alignment horizontal="center" vertical="center"/>
    </xf>
    <xf numFmtId="0" fontId="14" fillId="0" borderId="129" xfId="0" quotePrefix="1" applyFont="1" applyBorder="1" applyAlignment="1">
      <alignment horizontal="center" vertical="center"/>
    </xf>
    <xf numFmtId="1" fontId="14" fillId="0" borderId="118" xfId="0" applyNumberFormat="1" applyFont="1" applyBorder="1" applyAlignment="1">
      <alignment horizontal="center" vertical="center"/>
    </xf>
  </cellXfs>
  <cellStyles count="9">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5">
    <dxf>
      <font>
        <color rgb="FFFF0000"/>
      </font>
    </dxf>
    <dxf>
      <font>
        <b/>
        <i val="0"/>
        <color theme="1"/>
      </font>
      <fill>
        <patternFill>
          <bgColor rgb="FF66FF33"/>
        </patternFill>
      </fill>
    </dxf>
    <dxf>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C19288FF-0706-4961-BFA2-10C87B3CB90D}"/>
  </tableStyles>
  <colors>
    <mruColors>
      <color rgb="FF009900"/>
      <color rgb="FF00FF00"/>
      <color rgb="FF66FFFF"/>
      <color rgb="FF9933FF"/>
      <color rgb="FFCCFFCC"/>
      <color rgb="FFCC66FF"/>
      <color rgb="FF008000"/>
      <color rgb="FF66FF33"/>
      <color rgb="FFCC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49807</xdr:colOff>
      <xdr:row>1</xdr:row>
      <xdr:rowOff>53339</xdr:rowOff>
    </xdr:from>
    <xdr:to>
      <xdr:col>6</xdr:col>
      <xdr:colOff>1403215</xdr:colOff>
      <xdr:row>15</xdr:row>
      <xdr:rowOff>259080</xdr:rowOff>
    </xdr:to>
    <xdr:pic>
      <xdr:nvPicPr>
        <xdr:cNvPr id="3" name="Picture 2">
          <a:extLst>
            <a:ext uri="{FF2B5EF4-FFF2-40B4-BE49-F238E27FC236}">
              <a16:creationId xmlns:a16="http://schemas.microsoft.com/office/drawing/2014/main" id="{5009785D-2760-E93A-2116-570CE5C5ADCE}"/>
            </a:ext>
          </a:extLst>
        </xdr:cNvPr>
        <xdr:cNvPicPr>
          <a:picLocks noChangeAspect="1"/>
        </xdr:cNvPicPr>
      </xdr:nvPicPr>
      <xdr:blipFill>
        <a:blip xmlns:r="http://schemas.openxmlformats.org/officeDocument/2006/relationships" r:embed="rId1"/>
        <a:stretch>
          <a:fillRect/>
        </a:stretch>
      </xdr:blipFill>
      <xdr:spPr>
        <a:xfrm>
          <a:off x="4309387" y="434339"/>
          <a:ext cx="2801208" cy="3345181"/>
        </a:xfrm>
        <a:prstGeom prst="rect">
          <a:avLst/>
        </a:prstGeom>
      </xdr:spPr>
    </xdr:pic>
    <xdr:clientData/>
  </xdr:twoCellAnchor>
  <xdr:twoCellAnchor>
    <xdr:from>
      <xdr:col>0</xdr:col>
      <xdr:colOff>57150</xdr:colOff>
      <xdr:row>16</xdr:row>
      <xdr:rowOff>57150</xdr:rowOff>
    </xdr:from>
    <xdr:to>
      <xdr:col>6</xdr:col>
      <xdr:colOff>1394460</xdr:colOff>
      <xdr:row>174</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890010"/>
          <a:ext cx="7044690" cy="188976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Appearance:  </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Amelia has fairly typical Illuskan human features, with curly dark red hair and fair skin with freckles; her amber eyes are a bit unusual. She is rather short for an Illuskan, though of average weight for her height. Up close, her eyes look a bit murky, and she has a tendency to squint slightly when in shadowy areas.</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Most of the time she’s got a little smile on her face, and often seems slightly distracted, like she’s thinking lofty thoughts. When speaking, she’s polite and respectful with almost everyone, unless they give her reason to act otherwise. </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She has a variety of outfits, her favorite for being an explorer’s outfit which was a going away gift from her parents, and when traveling she wears that and usually leads a pack donkey with her extra gear, such as spare outfits and camping gear. She wears ordinary leather armor, and is armed with a rapier, dagger, sap, and light crossbow. A wooden holy symbol of Oghma hangs around her neck, and a satchel slung over her left shoulder carries some possessions she doesn’t want to pack on the donkey.</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1"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History:  </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Amelia is the fifth and last child of Thom and Cecily Barton, middle-class residents of Waterdeep. Thom is 8 years older than Cecily, they had their first child when Cecily was 21, and had Amelia when she was 30. Their ages at the point when Amelia left for Secomber were Thom at 58, Cecily at 49, Edwin at 28, Lilly at 26, the twins Daniel and David at 23, and Amelia herself at 19.</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Thom and Amelia run a general store which stocks all kinds of common tools, household goods, rugs, cookware, etc., whatever they can get fairly cheaply and make some profit on. Thom himself is a reformed burglar who went straight, mostly, when he married Cecily; however, to supplement his income, he also operates as a fence for less valuable stolen property. He is known as such to the City Watch, and occasionally passes info on to the Watch regarding more serious crimes, in return for them turning a blind eye to his occasional illegal activities. Cecily came from a weaver’s family, and while she didn’t learn to weave, she’s a good seamstress, and some of her clothing can generally be found for sale in the store.</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As a matter of some irony, Thom’s primary contact with the Watch is his eldest son, Edwin, who is a sergeant (armar) at the nearest Watch house, working his way towards lieutenant (civilar). Their other sons, Daniel and David, are honest hardworking young men who help out at the store, and plan to take charge of the business when Thom and Cecily have had enough. Their daughter Lilly, on the other hand, had no interest in the business; she’s a very charismatic woman, and while she doesn’t have the magic of the bard, she’s a talented dancer and singer, hoping to be a big star someday, and she still lives at home so she can save up some gold.</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Amelia is the odd one of the family, in that she’s half a foot shorter than her sister, and much shorter than her brothers. Amelie’s interests were far-ranging even as a child, and that hasn’t changed. While quite smart, making stuff never interested her – but knowing about stuff, about everything, fascinated her, and she spent a lot of time just thinking…</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Fairly persuasive, she convinced her father to teach her a number of rogue skills and techniques – he couldn’t say no, though he did stress that those skills should not be used to break the law in Waterdeep, nor to catch the attention of the more dangerous criminal gangs and guilds. Still, he was proud of how quickly she pick up some things.</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He also noticed that she really liked to read, and brought her to the temple of Oghma, where that was a library available for the public to use, for an appropriate donation of course. He had hoped that she might become a scholar, given her thirst for knowledge, and she did become quite a regular visitor to the temple library, and also enjoyed talking to the priests there, who were often willing to discuss a wide variety of things with her, when they had the time. One of the things she explored in depth with the priests was the wide variety of magics in the world, both arcane and divine, as well as more Eldritch abilities. The arcane classes especially appealed to her, but not the flashy sorts that visited horrible deaths on folks; the subtle types caught her interest for sure. She also learned a lot about how magic items worked – not so much weapons and armor, but rather the interesting ones that could do neat stuff.</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Despite her father’s unstated yet clear disapproval, she also, in her mid-teens, start spending a fair amount of time visiting her bother Edwin at the Watch station, making friends with the other watchmen and even chatting with some of the criminal element as they passed through the station. Unbeknownst to Thom, a secret Edwin discovered but swore not to reveal unless he had to, Amelia became close friends with a burglar, Garret the Quick, not much older than she was. She never went out stealing stuff with him, but Garret taught her some things her father hadn’t, and Amelia became a rogue in truth, learning how to strike folks more effectively when they didn’t expect it, adding more skills, etc. Shortly before she decided to leave the city, Garret unfortunately slipped from a roof that was just a bit too far up, and died…</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After Garret died, she went to the temple and got some peace from the priests as they told her about the afterlife, that Garret’s spirit lived on even though his body had died. It gave her some comfort, at least; she decided she would seek someone out to teach her the subtle magics. One of her friends at the Temple knew of a Beguiler – a master of enchantment, illusion, and other subtle magic – who currently lived in Secomber, not too far away not too hard to get to, and who was looking to instruct an apprentice in his arts, someone who would remember and honor his name. Amelia determined to seek him out, and started making plans to go there, informing her family of this. They were sad to see her leave, but made sure she was always welcome to come home. They gave her a few gifts to take on the road, when she was getting her trip organized…</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Visiting the temple once more, to say goodbye to the friends she’d made there, she asked the one priest to write a letter of introduction for her, and of course to include anything he wanted to say to them, swearing not to read the letter herself. He agreed, and also gave her a couple of potions, labeled clearly as cure light wounds, “just in case of trouble on the road.” She was quite touched by the old priest’s concerned, and told him she hoped to be able to recount her adventures to him when she returned, Oghma willing.</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Goodbyes said, she arranged to travel with a small merchant caravan heading to Secomber and beyond, offering to help with tasks associated with setting up camp, cleaning up, etc., and to serve as an auxiliary guard and sentry if needed, in return for getting food and drink a long the way.</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No, no coins necessary, the experience was what she was most interested, with no job too menial or dirty. She did admit that her animal handling skills were minimal, she was fine with taking care of her donkey and would be happy to help rub the horses down or whatever though.</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The trip to Secomber was fairly smooth, though she found some of the caravan guards a bit grumpy at first. Her polite nature and interest in their stories tended to bring them around, and she was pretty sure some of them were reminded of their own children, younger most likely given her short height, which she didn’t mind. She picked up a lot of tidbits about life in the North from these folks who travel around it, much like she’d picked up various facts and such about Waterdeep simply by paying attention.</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At one stop, though, in the late evening, one grizzled old guard, a dwarf Ranger named Karguk, got pretty drunk, and started swinging his Dwarven waraxe around wildly, swearing in Orcish. The other guards were giving him scowls and keeping their distance, but from noticing a hint of tears in his eyes, and some of the words she knew, she could sense that while he seemed angry and dangerous, he was actually grieving. He’d said some things that reminded her of how she’d felt when Garret died. Taking a chance, she unbuckled and dropped her belt with her weapons and approached him slowly, open hands at her side. He stood glaring at her, but his waraxe lowered slowly and his shouting tapered off as she got close.</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Taking that as a good sign, she just stepped in and gave him a hug. He dropped the weapon and hugged her back, nearly cracking a rib with his strength. She whispered soothing words in his ear, and his legs gave out where he was standing, as with her whole strength she eased him down. After a while she got him to talk – it turned out that it was the anniversary of his wife’s death in an Orcish raid on their home village, and he hadn’t been there to protect her. She got him talking about her, and shared her own loss, until he fell asleep. She went and got her stuff in order to bunk down nearby. In the morning they exchanged sad smiles and a few warm words.</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While she often went to sleep a little sore from helping out, it was honest labor, and the meals might not have been tavern quality but it was nourishing enough. That night, though, her ribs were bruised and her heart as well, but she felt some closure for her own loss, and realized that sometimes words truly were better than weapons to solve problems.</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She was a little sad to say goodbye to the new friends she’d made along the way once they reached Secomber, but especially Karguk, who’d taught her that anyone could be carrying unseen pain, no matter how fierce they looked. He was the last one she say goodbye to, and he gave her a much gentler hug.</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The first thing she did in Secomber was to secure a place to sleep and stable her donkey, finding a small rundown inn with a sign showing a faded blue pixie, where the prices were cheap, using most of her remaining coins to get a tiny room for a week, just in case. Then she went looking for the Beguiler she had a letter for – seal unbroken – a rock gnome known as Master Dimblebar Turenack.</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Eventually, before the week was up, her inquiries led her to a fairly simple but well-maintained cottage with a picket fence around it and what appeared to be a nice garden of some sort in the back yard, a small, roofed porch in front, and an old gnome with a long gray beard and a floppy hat seemingly dozing on a porch swing, a cane resting across his knees. Hesitant to wake him, she paused on the walkway, hand resting on the front gate. Startling her a bit, without seeming to open his eyes, the gnome spoke!</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“Dinna stand there all day, girl, whatcha want?” he asked in Common, sounding a bit grumpy, but she responded politely, “Excuse me, Sir, is this the residence of Master Turenack?” The old fellow sighed, opened one blue eye, and answered “whattaya want with him, eh? He’s busy.”</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She smiled, and replied, “I’m delivering a letter from his friend at the Temple of Oghma in Waterdeep, it’s for his eyes only, Sir.” The old gnome snorted. “Okay, that’s me, bring it on up.” She did just that, stepping through the gate, along the path to the steps, up those, taking the letter out of her satchel and handing it to him. He broke the wax seal and started reading. His face remained inscrutable as he did so, and she spent the time admiring what she could see of the yard and the garden.</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Once he’d finished, he sat for a while, apparently thinking, or perhaps dozing, she wasn’t sure, but she waited patiently, and finally he spoke. “The preacher man apparently thinks you got potential, and I been waiting for someone with potential, it’s true. Come on inside fer tea, an we’ll chat fer a bit.” Two hours later, she had an informal apprenticeship and an invitation to move in. She realized that if nothing else, the old gnome needed help cleaning and tidying up the inside of the cottage; he had a part time gardener who took care of the yard and garden, but too much manual effort tended to tire him out, though his mind was still plenty sharp.</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He also started her on various exercises, some physical which she had no problem with, and some mental which didn’t seem to make a lot of sense at first but which proved useful in preparing her to learn how to wield the magic she was there to study. By the time of her 21st birthday, she was consistently able to get some of the weakest magic, cantrips, to actually work!</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The two she mastered first both had to do with sounds, the illusion spell “ghost sound” and the transmutation spell “message”, but her favorite and most consistently successful was the transmutation spell “open/close”, which worked pretty well…on anything that wasn’t locked or barred, at least.</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That last cantrip actually proved useful one day… An unkept drunk fellow was following her one evening, and she went past a wagon loaded to the top with garbage. Moving about 20’ away, she turned and got ready, and just as he started to step behind the wagon, she cast the cantrip!</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The gate sprang open from the pressure of the pile of garbage in the wagon, and the fellow tripped over the gate which now acted as a ramp, fell, and was half buried in garbage before he could react! She took the opportunity to sprint away and get lost in the crowd. Then, seeing a couple of the town guards hanging out under a street lamp, and stepping into some shadows, she cast her “message” cantrip, suggesting that the closest guard might want to check out that alley. The guard looked around wondering who’d just whispered to him, but then he and his partner headed for the alley while she headed back to the college. She could hardly wait to tell her Master what she’d done! And maybe start working on those stronger spells…</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The next couple years passed by pretty quickly without significant events, just lots of studying, practicing, </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1"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Personality: </a:t>
          </a:r>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 While rogues and beguilers may lie and manipulate to get what they want, which may seem strange for an Oghmanyte, Amelia tries mostly to help people, though not necessarily because it is a good thing to do. She thinks of it more as bringing more order into their lives, and from a more selfish perspective, helping others deal with their issues often means they will in turn help her. There is often a thought in the back of her mind wondering what people can do for her, but she tries not to listen too closely to that inner voice, because she actually likes people – all kinds of people, even those with shady pasta. By nature, she is almost always polite in her interactions with others, even kind and considerate, and it is usually not an act.</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Part of that politeness comes from almost always being the short person in most groups – or at least the short human – and her vantage point from being only 4’19” tall, half a foot shorter than most human women, and even shorter compared to average Illuskans. Being polite was practically a necessity when trying to move through a crowded market, avoid getting bowled over by burly men more than a foot taller and 100 lbs. heavier on the streets of Waterdeep. She learned well and early that a soft “excuse me” or “please” worked wonders at times.</a:t>
          </a:r>
        </a:p>
        <a:p>
          <a:pPr algn="just"/>
          <a:endPar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rPr>
            <a:t>Prone to pondering ideas, events, and other things a little too deeply, she is absent-minded, often missing things that she should notice, though she’s working on learning to pay better attention. Her desire for knowledge and understanding of, well, everything, is so strong that she can’t help herself! She really enjoys talking to people for that reason – most people know something she doesn’t. Most people also have stories about places they’ve been that she hasn’t, and people they’ve met – the world is huge, and she’s seen so little of it! She needs to know more.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DCC1FE3C-4630-4E79-84D1-C62668F934FB}"/>
            </a:ext>
          </a:extLst>
        </xdr:cNvPr>
        <xdr:cNvSpPr>
          <a:spLocks noChangeArrowheads="1"/>
        </xdr:cNvSpPr>
      </xdr:nvSpPr>
      <xdr:spPr bwMode="auto">
        <a:xfrm>
          <a:off x="6972300" y="0"/>
          <a:ext cx="12192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268605</xdr:colOff>
      <xdr:row>1</xdr:row>
      <xdr:rowOff>116205</xdr:rowOff>
    </xdr:from>
    <xdr:to>
      <xdr:col>4</xdr:col>
      <xdr:colOff>156210</xdr:colOff>
      <xdr:row>2</xdr:row>
      <xdr:rowOff>59055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rnesthakey@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6"/>
  <sheetViews>
    <sheetView showGridLines="0" tabSelected="1" zoomScaleNormal="100" workbookViewId="0"/>
  </sheetViews>
  <sheetFormatPr defaultColWidth="13" defaultRowHeight="15.6" x14ac:dyDescent="0.3"/>
  <cols>
    <col min="1" max="1" width="15" style="52" customWidth="1"/>
    <col min="2" max="2" width="11" style="53" customWidth="1"/>
    <col min="3" max="3" width="6.296875" style="53" customWidth="1"/>
    <col min="4" max="4" width="13.69921875" style="52" bestFit="1" customWidth="1"/>
    <col min="5" max="5" width="9.8984375" style="53" bestFit="1" customWidth="1"/>
    <col min="6" max="6" width="19" style="52" customWidth="1"/>
    <col min="7" max="7" width="19" style="53" customWidth="1"/>
    <col min="8" max="16384" width="13" style="7"/>
  </cols>
  <sheetData>
    <row r="1" spans="1:7" ht="30" thickTop="1" thickBot="1" x14ac:dyDescent="0.6">
      <c r="A1" s="1" t="s">
        <v>128</v>
      </c>
      <c r="B1" s="2" t="s">
        <v>129</v>
      </c>
      <c r="C1" s="3"/>
      <c r="D1" s="4"/>
      <c r="E1" s="5"/>
      <c r="F1" s="4"/>
      <c r="G1" s="6" t="s">
        <v>130</v>
      </c>
    </row>
    <row r="2" spans="1:7" ht="18" thickTop="1" x14ac:dyDescent="0.35">
      <c r="A2" s="8" t="s">
        <v>108</v>
      </c>
      <c r="B2" s="9" t="s">
        <v>133</v>
      </c>
      <c r="C2" s="9"/>
      <c r="D2" s="10" t="s">
        <v>116</v>
      </c>
      <c r="E2" s="11" t="s">
        <v>206</v>
      </c>
      <c r="F2" s="278">
        <v>1370</v>
      </c>
      <c r="G2" s="12"/>
    </row>
    <row r="3" spans="1:7" ht="17.399999999999999" x14ac:dyDescent="0.35">
      <c r="A3" s="8" t="s">
        <v>109</v>
      </c>
      <c r="B3" s="9" t="s">
        <v>71</v>
      </c>
      <c r="C3" s="9"/>
      <c r="D3" s="10" t="s">
        <v>98</v>
      </c>
      <c r="E3" s="11">
        <v>1</v>
      </c>
      <c r="F3" s="10"/>
      <c r="G3" s="12"/>
    </row>
    <row r="4" spans="1:7" ht="17.399999999999999" x14ac:dyDescent="0.35">
      <c r="A4" s="8" t="s">
        <v>109</v>
      </c>
      <c r="B4" s="9" t="s">
        <v>207</v>
      </c>
      <c r="C4" s="9"/>
      <c r="D4" s="10" t="s">
        <v>98</v>
      </c>
      <c r="E4" s="11">
        <v>1</v>
      </c>
      <c r="F4" s="10"/>
      <c r="G4" s="12"/>
    </row>
    <row r="5" spans="1:7" ht="17.399999999999999" x14ac:dyDescent="0.35">
      <c r="A5" s="8" t="s">
        <v>110</v>
      </c>
      <c r="B5" s="9" t="s">
        <v>95</v>
      </c>
      <c r="C5" s="9"/>
      <c r="D5" s="10" t="s">
        <v>117</v>
      </c>
      <c r="E5" s="11">
        <v>23</v>
      </c>
      <c r="F5" s="10"/>
      <c r="G5" s="12"/>
    </row>
    <row r="6" spans="1:7" ht="17.399999999999999" x14ac:dyDescent="0.35">
      <c r="A6" s="8" t="s">
        <v>111</v>
      </c>
      <c r="B6" s="9" t="s">
        <v>139</v>
      </c>
      <c r="C6" s="9"/>
      <c r="D6" s="10" t="s">
        <v>118</v>
      </c>
      <c r="E6" s="11" t="s">
        <v>136</v>
      </c>
      <c r="F6" s="10"/>
      <c r="G6" s="12"/>
    </row>
    <row r="7" spans="1:7" ht="18" thickBot="1" x14ac:dyDescent="0.4">
      <c r="A7" s="8" t="s">
        <v>112</v>
      </c>
      <c r="B7" s="9" t="s">
        <v>138</v>
      </c>
      <c r="C7" s="9"/>
      <c r="D7" s="10" t="s">
        <v>119</v>
      </c>
      <c r="E7" s="11" t="s">
        <v>137</v>
      </c>
      <c r="F7" s="10"/>
      <c r="G7" s="12"/>
    </row>
    <row r="8" spans="1:7" ht="18" thickTop="1" x14ac:dyDescent="0.35">
      <c r="A8" s="13" t="s">
        <v>113</v>
      </c>
      <c r="B8" s="14">
        <f>0+0</f>
        <v>0</v>
      </c>
      <c r="C8" s="15"/>
      <c r="D8" s="16" t="s">
        <v>120</v>
      </c>
      <c r="E8" s="17" t="s">
        <v>93</v>
      </c>
      <c r="F8" s="18"/>
      <c r="G8" s="12"/>
    </row>
    <row r="9" spans="1:7" ht="18" thickBot="1" x14ac:dyDescent="0.4">
      <c r="A9" s="283" t="s">
        <v>114</v>
      </c>
      <c r="B9" s="284" t="str">
        <f>C11</f>
        <v>+2</v>
      </c>
      <c r="C9" s="285"/>
      <c r="D9" s="286" t="s">
        <v>115</v>
      </c>
      <c r="E9" s="36" t="s">
        <v>211</v>
      </c>
      <c r="F9" s="18"/>
      <c r="G9" s="12"/>
    </row>
    <row r="10" spans="1:7" ht="18" thickTop="1" x14ac:dyDescent="0.35">
      <c r="A10" s="19" t="s">
        <v>107</v>
      </c>
      <c r="B10" s="282">
        <f>10</f>
        <v>10</v>
      </c>
      <c r="C10" s="20" t="str">
        <f t="shared" ref="C10:C15" si="0">IF(B10&gt;9.9,CONCATENATE("+",ROUNDDOWN((B10-10)/2,0)),ROUNDUP((B10-10)/2,0))</f>
        <v>+0</v>
      </c>
      <c r="D10" s="21" t="s">
        <v>121</v>
      </c>
      <c r="E10" s="22" t="s">
        <v>205</v>
      </c>
      <c r="F10" s="18"/>
      <c r="G10" s="12"/>
    </row>
    <row r="11" spans="1:7" ht="17.399999999999999" x14ac:dyDescent="0.35">
      <c r="A11" s="23" t="s">
        <v>103</v>
      </c>
      <c r="B11" s="279">
        <f>14</f>
        <v>14</v>
      </c>
      <c r="C11" s="24" t="str">
        <f t="shared" si="0"/>
        <v>+2</v>
      </c>
      <c r="D11" s="25" t="s">
        <v>122</v>
      </c>
      <c r="E11" s="26">
        <f>SUM(Martial!$G$3:$G$19)+SUM(Equipment!$C$3:$C$18)</f>
        <v>32.5</v>
      </c>
      <c r="F11" s="18"/>
      <c r="G11" s="12"/>
    </row>
    <row r="12" spans="1:7" ht="17.399999999999999" x14ac:dyDescent="0.35">
      <c r="A12" s="291" t="s">
        <v>102</v>
      </c>
      <c r="B12" s="279">
        <f>12</f>
        <v>12</v>
      </c>
      <c r="C12" s="27" t="str">
        <f t="shared" si="0"/>
        <v>+1</v>
      </c>
      <c r="D12" s="25" t="s">
        <v>123</v>
      </c>
      <c r="E12" s="28">
        <f>ROUNDUP(((E3*6)*0.75)+((E4*6)*0.75)+((E3+E4)*C12),0)</f>
        <v>11</v>
      </c>
      <c r="F12" s="18"/>
      <c r="G12" s="12"/>
    </row>
    <row r="13" spans="1:7" ht="17.399999999999999" x14ac:dyDescent="0.35">
      <c r="A13" s="29" t="s">
        <v>105</v>
      </c>
      <c r="B13" s="279">
        <f>16</f>
        <v>16</v>
      </c>
      <c r="C13" s="24" t="str">
        <f t="shared" si="0"/>
        <v>+3</v>
      </c>
      <c r="D13" s="30" t="s">
        <v>124</v>
      </c>
      <c r="E13" s="31">
        <f>10+C11</f>
        <v>12</v>
      </c>
      <c r="F13" s="8"/>
      <c r="G13" s="12"/>
    </row>
    <row r="14" spans="1:7" ht="17.399999999999999" x14ac:dyDescent="0.35">
      <c r="A14" s="32" t="s">
        <v>104</v>
      </c>
      <c r="B14" s="280">
        <f>8</f>
        <v>8</v>
      </c>
      <c r="C14" s="24">
        <f t="shared" si="0"/>
        <v>-1</v>
      </c>
      <c r="D14" s="30" t="s">
        <v>125</v>
      </c>
      <c r="E14" s="31">
        <f>E15-C11</f>
        <v>12</v>
      </c>
      <c r="F14" s="18"/>
      <c r="G14" s="12"/>
    </row>
    <row r="15" spans="1:7" ht="18" thickBot="1" x14ac:dyDescent="0.4">
      <c r="A15" s="33" t="s">
        <v>106</v>
      </c>
      <c r="B15" s="281">
        <f>13</f>
        <v>13</v>
      </c>
      <c r="C15" s="34" t="str">
        <f t="shared" si="0"/>
        <v>+1</v>
      </c>
      <c r="D15" s="35" t="s">
        <v>126</v>
      </c>
      <c r="E15" s="36">
        <f>E13+SUM(Martial!B14:B15)</f>
        <v>14</v>
      </c>
      <c r="F15" s="18"/>
      <c r="G15" s="12"/>
    </row>
    <row r="16" spans="1:7" ht="24.6" thickTop="1" thickBot="1" x14ac:dyDescent="0.5">
      <c r="A16" s="37" t="s">
        <v>16</v>
      </c>
      <c r="B16" s="38"/>
      <c r="C16" s="38"/>
      <c r="D16" s="39"/>
      <c r="E16" s="40"/>
      <c r="F16" s="39"/>
      <c r="G16" s="41"/>
    </row>
    <row r="17" spans="1:7" s="45" customFormat="1" ht="18" thickTop="1" x14ac:dyDescent="0.35">
      <c r="A17" s="42"/>
      <c r="B17" s="43"/>
      <c r="C17" s="43"/>
      <c r="D17" s="43"/>
      <c r="E17" s="43"/>
      <c r="F17" s="43"/>
      <c r="G17" s="44"/>
    </row>
    <row r="18" spans="1:7" s="45" customFormat="1" ht="17.399999999999999" x14ac:dyDescent="0.35">
      <c r="A18" s="46"/>
      <c r="B18" s="47"/>
      <c r="C18" s="47"/>
      <c r="D18" s="47"/>
      <c r="E18" s="47"/>
      <c r="F18" s="47"/>
      <c r="G18" s="48"/>
    </row>
    <row r="19" spans="1:7" s="45" customFormat="1" ht="17.399999999999999" x14ac:dyDescent="0.35">
      <c r="A19" s="46"/>
      <c r="B19" s="47"/>
      <c r="C19" s="47"/>
      <c r="D19" s="47"/>
      <c r="E19" s="47"/>
      <c r="F19" s="47"/>
      <c r="G19" s="48"/>
    </row>
    <row r="20" spans="1:7" s="45" customFormat="1" ht="17.399999999999999" x14ac:dyDescent="0.35">
      <c r="A20" s="46"/>
      <c r="B20" s="47"/>
      <c r="C20" s="47"/>
      <c r="D20" s="47"/>
      <c r="E20" s="47"/>
      <c r="F20" s="47"/>
      <c r="G20" s="48"/>
    </row>
    <row r="21" spans="1:7" s="45" customFormat="1" ht="17.399999999999999" x14ac:dyDescent="0.35">
      <c r="A21" s="46"/>
      <c r="B21" s="47"/>
      <c r="C21" s="47"/>
      <c r="D21" s="47"/>
      <c r="E21" s="47"/>
      <c r="F21" s="47"/>
      <c r="G21" s="48"/>
    </row>
    <row r="22" spans="1:7" s="45" customFormat="1" ht="17.399999999999999" x14ac:dyDescent="0.35">
      <c r="A22" s="46"/>
      <c r="B22" s="47"/>
      <c r="C22" s="47"/>
      <c r="D22" s="47"/>
      <c r="E22" s="47"/>
      <c r="F22" s="47"/>
      <c r="G22" s="48"/>
    </row>
    <row r="23" spans="1:7" s="45" customFormat="1" ht="17.399999999999999" x14ac:dyDescent="0.35">
      <c r="A23" s="46"/>
      <c r="B23" s="47"/>
      <c r="C23" s="47"/>
      <c r="D23" s="47"/>
      <c r="E23" s="47"/>
      <c r="F23" s="47"/>
      <c r="G23" s="48"/>
    </row>
    <row r="24" spans="1:7" s="45" customFormat="1" ht="17.399999999999999" x14ac:dyDescent="0.35">
      <c r="A24" s="46"/>
      <c r="B24" s="47"/>
      <c r="C24" s="47"/>
      <c r="D24" s="47"/>
      <c r="E24" s="47"/>
      <c r="F24" s="47"/>
      <c r="G24" s="48"/>
    </row>
    <row r="25" spans="1:7" s="45" customFormat="1" ht="17.399999999999999" x14ac:dyDescent="0.35">
      <c r="A25" s="46"/>
      <c r="B25" s="47"/>
      <c r="C25" s="47"/>
      <c r="D25" s="47"/>
      <c r="E25" s="47"/>
      <c r="F25" s="47"/>
      <c r="G25" s="48"/>
    </row>
    <row r="26" spans="1:7" s="45" customFormat="1" ht="17.399999999999999" x14ac:dyDescent="0.35">
      <c r="A26" s="46"/>
      <c r="B26" s="47"/>
      <c r="C26" s="47"/>
      <c r="D26" s="47"/>
      <c r="E26" s="47"/>
      <c r="F26" s="47"/>
      <c r="G26" s="48"/>
    </row>
    <row r="27" spans="1:7" s="45" customFormat="1" ht="17.399999999999999" x14ac:dyDescent="0.35">
      <c r="A27" s="46"/>
      <c r="B27" s="47"/>
      <c r="C27" s="47"/>
      <c r="D27" s="47"/>
      <c r="E27" s="47"/>
      <c r="F27" s="47"/>
      <c r="G27" s="48"/>
    </row>
    <row r="28" spans="1:7" s="45" customFormat="1" ht="17.399999999999999" x14ac:dyDescent="0.35">
      <c r="A28" s="46"/>
      <c r="B28" s="47"/>
      <c r="C28" s="47"/>
      <c r="D28" s="47"/>
      <c r="E28" s="47"/>
      <c r="F28" s="47"/>
      <c r="G28" s="48"/>
    </row>
    <row r="29" spans="1:7" s="45" customFormat="1" ht="17.399999999999999" x14ac:dyDescent="0.35">
      <c r="A29" s="46"/>
      <c r="B29" s="47"/>
      <c r="C29" s="47"/>
      <c r="D29" s="47"/>
      <c r="E29" s="47"/>
      <c r="F29" s="47"/>
      <c r="G29" s="48"/>
    </row>
    <row r="30" spans="1:7" s="45" customFormat="1" ht="17.399999999999999" x14ac:dyDescent="0.35">
      <c r="A30" s="46"/>
      <c r="B30" s="47"/>
      <c r="C30" s="47"/>
      <c r="D30" s="47"/>
      <c r="E30" s="47"/>
      <c r="F30" s="47"/>
      <c r="G30" s="48"/>
    </row>
    <row r="31" spans="1:7" s="45" customFormat="1" ht="17.399999999999999" x14ac:dyDescent="0.35">
      <c r="A31" s="46"/>
      <c r="B31" s="47"/>
      <c r="C31" s="47"/>
      <c r="D31" s="47"/>
      <c r="E31" s="47"/>
      <c r="F31" s="47"/>
      <c r="G31" s="48"/>
    </row>
    <row r="32" spans="1:7" s="45" customFormat="1" ht="17.399999999999999" x14ac:dyDescent="0.35">
      <c r="A32" s="46"/>
      <c r="B32" s="47"/>
      <c r="C32" s="47"/>
      <c r="D32" s="47"/>
      <c r="E32" s="47"/>
      <c r="F32" s="47"/>
      <c r="G32" s="48"/>
    </row>
    <row r="33" spans="1:7" s="45" customFormat="1" ht="17.399999999999999" x14ac:dyDescent="0.35">
      <c r="A33" s="46"/>
      <c r="B33" s="47"/>
      <c r="C33" s="47"/>
      <c r="D33" s="47"/>
      <c r="E33" s="47"/>
      <c r="F33" s="47"/>
      <c r="G33" s="48"/>
    </row>
    <row r="34" spans="1:7" s="45" customFormat="1" ht="17.399999999999999" x14ac:dyDescent="0.35">
      <c r="A34" s="46"/>
      <c r="B34" s="47"/>
      <c r="C34" s="47"/>
      <c r="D34" s="47"/>
      <c r="E34" s="47"/>
      <c r="F34" s="47"/>
      <c r="G34" s="48"/>
    </row>
    <row r="35" spans="1:7" s="45" customFormat="1" ht="17.399999999999999" x14ac:dyDescent="0.35">
      <c r="A35" s="46"/>
      <c r="B35" s="47"/>
      <c r="C35" s="47"/>
      <c r="D35" s="47"/>
      <c r="E35" s="47"/>
      <c r="F35" s="47"/>
      <c r="G35" s="48"/>
    </row>
    <row r="36" spans="1:7" s="45" customFormat="1" ht="17.399999999999999" x14ac:dyDescent="0.35">
      <c r="A36" s="46"/>
      <c r="B36" s="47"/>
      <c r="C36" s="47"/>
      <c r="D36" s="47"/>
      <c r="E36" s="47"/>
      <c r="F36" s="47"/>
      <c r="G36" s="48"/>
    </row>
    <row r="37" spans="1:7" s="45" customFormat="1" ht="17.399999999999999" x14ac:dyDescent="0.35">
      <c r="A37" s="46"/>
      <c r="B37" s="47"/>
      <c r="C37" s="47"/>
      <c r="D37" s="47"/>
      <c r="E37" s="47"/>
      <c r="F37" s="47"/>
      <c r="G37" s="48"/>
    </row>
    <row r="38" spans="1:7" s="45" customFormat="1" ht="17.399999999999999" x14ac:dyDescent="0.35">
      <c r="A38" s="46"/>
      <c r="B38" s="47"/>
      <c r="C38" s="47"/>
      <c r="D38" s="47"/>
      <c r="E38" s="47"/>
      <c r="F38" s="47"/>
      <c r="G38" s="48"/>
    </row>
    <row r="39" spans="1:7" s="45" customFormat="1" ht="17.399999999999999" x14ac:dyDescent="0.35">
      <c r="A39" s="46"/>
      <c r="B39" s="47"/>
      <c r="C39" s="47"/>
      <c r="D39" s="47"/>
      <c r="E39" s="47"/>
      <c r="F39" s="47"/>
      <c r="G39" s="48"/>
    </row>
    <row r="40" spans="1:7" s="45" customFormat="1" ht="17.399999999999999" x14ac:dyDescent="0.35">
      <c r="A40" s="46"/>
      <c r="B40" s="47"/>
      <c r="C40" s="47"/>
      <c r="D40" s="47"/>
      <c r="E40" s="47"/>
      <c r="F40" s="47"/>
      <c r="G40" s="48"/>
    </row>
    <row r="41" spans="1:7" s="45" customFormat="1" ht="17.399999999999999" x14ac:dyDescent="0.35">
      <c r="A41" s="46"/>
      <c r="B41" s="47"/>
      <c r="C41" s="47"/>
      <c r="D41" s="47"/>
      <c r="E41" s="47"/>
      <c r="F41" s="47"/>
      <c r="G41" s="48"/>
    </row>
    <row r="42" spans="1:7" s="45" customFormat="1" ht="17.399999999999999" x14ac:dyDescent="0.35">
      <c r="A42" s="46"/>
      <c r="B42" s="47"/>
      <c r="C42" s="47"/>
      <c r="D42" s="47"/>
      <c r="E42" s="47"/>
      <c r="F42" s="47"/>
      <c r="G42" s="48"/>
    </row>
    <row r="43" spans="1:7" s="45" customFormat="1" ht="17.399999999999999" x14ac:dyDescent="0.35">
      <c r="A43" s="46"/>
      <c r="B43" s="47"/>
      <c r="C43" s="47"/>
      <c r="D43" s="47"/>
      <c r="E43" s="47"/>
      <c r="F43" s="47"/>
      <c r="G43" s="48"/>
    </row>
    <row r="44" spans="1:7" s="45" customFormat="1" ht="17.399999999999999" x14ac:dyDescent="0.35">
      <c r="A44" s="46"/>
      <c r="B44" s="47"/>
      <c r="C44" s="47"/>
      <c r="D44" s="47"/>
      <c r="E44" s="47"/>
      <c r="F44" s="47"/>
      <c r="G44" s="48"/>
    </row>
    <row r="45" spans="1:7" s="45" customFormat="1" ht="17.399999999999999" x14ac:dyDescent="0.35">
      <c r="A45" s="46"/>
      <c r="B45" s="47"/>
      <c r="C45" s="47"/>
      <c r="D45" s="47"/>
      <c r="E45" s="47"/>
      <c r="F45" s="47"/>
      <c r="G45" s="48"/>
    </row>
    <row r="46" spans="1:7" s="45" customFormat="1" ht="17.399999999999999" x14ac:dyDescent="0.35">
      <c r="A46" s="46"/>
      <c r="B46" s="47"/>
      <c r="C46" s="47"/>
      <c r="D46" s="47"/>
      <c r="E46" s="47"/>
      <c r="F46" s="47"/>
      <c r="G46" s="48"/>
    </row>
    <row r="47" spans="1:7" s="45" customFormat="1" ht="17.399999999999999" x14ac:dyDescent="0.35">
      <c r="A47" s="46"/>
      <c r="B47" s="47"/>
      <c r="C47" s="47"/>
      <c r="D47" s="47"/>
      <c r="E47" s="47"/>
      <c r="F47" s="47"/>
      <c r="G47" s="48"/>
    </row>
    <row r="48" spans="1:7" s="45" customFormat="1" ht="17.399999999999999" x14ac:dyDescent="0.35">
      <c r="A48" s="46"/>
      <c r="B48" s="47"/>
      <c r="C48" s="47"/>
      <c r="D48" s="47"/>
      <c r="E48" s="47"/>
      <c r="F48" s="47"/>
      <c r="G48" s="48"/>
    </row>
    <row r="49" spans="1:7" s="45" customFormat="1" ht="17.399999999999999" x14ac:dyDescent="0.35">
      <c r="A49" s="46"/>
      <c r="B49" s="47"/>
      <c r="C49" s="47"/>
      <c r="D49" s="47"/>
      <c r="E49" s="47"/>
      <c r="F49" s="47"/>
      <c r="G49" s="48"/>
    </row>
    <row r="50" spans="1:7" s="45" customFormat="1" ht="17.399999999999999" x14ac:dyDescent="0.35">
      <c r="A50" s="46"/>
      <c r="B50" s="47"/>
      <c r="C50" s="47"/>
      <c r="D50" s="47"/>
      <c r="E50" s="47"/>
      <c r="F50" s="47"/>
      <c r="G50" s="48"/>
    </row>
    <row r="51" spans="1:7" s="45" customFormat="1" ht="17.399999999999999" x14ac:dyDescent="0.35">
      <c r="A51" s="46"/>
      <c r="B51" s="47"/>
      <c r="C51" s="47"/>
      <c r="D51" s="47"/>
      <c r="E51" s="47"/>
      <c r="F51" s="47"/>
      <c r="G51" s="48"/>
    </row>
    <row r="52" spans="1:7" s="45" customFormat="1" ht="17.399999999999999" x14ac:dyDescent="0.35">
      <c r="A52" s="46"/>
      <c r="B52" s="47"/>
      <c r="C52" s="47"/>
      <c r="D52" s="47"/>
      <c r="E52" s="47"/>
      <c r="F52" s="47"/>
      <c r="G52" s="48"/>
    </row>
    <row r="53" spans="1:7" s="45" customFormat="1" ht="17.399999999999999" x14ac:dyDescent="0.35">
      <c r="A53" s="46"/>
      <c r="B53" s="47"/>
      <c r="C53" s="47"/>
      <c r="D53" s="47"/>
      <c r="E53" s="47"/>
      <c r="F53" s="47"/>
      <c r="G53" s="48"/>
    </row>
    <row r="54" spans="1:7" s="45" customFormat="1" ht="17.399999999999999" x14ac:dyDescent="0.35">
      <c r="A54" s="46"/>
      <c r="B54" s="47"/>
      <c r="C54" s="47"/>
      <c r="D54" s="47"/>
      <c r="E54" s="47"/>
      <c r="F54" s="47"/>
      <c r="G54" s="48"/>
    </row>
    <row r="55" spans="1:7" s="45" customFormat="1" ht="17.399999999999999" x14ac:dyDescent="0.35">
      <c r="A55" s="46"/>
      <c r="B55" s="47"/>
      <c r="C55" s="47"/>
      <c r="D55" s="47"/>
      <c r="E55" s="47"/>
      <c r="F55" s="47"/>
      <c r="G55" s="48"/>
    </row>
    <row r="56" spans="1:7" s="45" customFormat="1" ht="17.399999999999999" x14ac:dyDescent="0.35">
      <c r="A56" s="46"/>
      <c r="B56" s="47"/>
      <c r="C56" s="47"/>
      <c r="D56" s="47"/>
      <c r="E56" s="47"/>
      <c r="F56" s="47"/>
      <c r="G56" s="48"/>
    </row>
    <row r="57" spans="1:7" s="45" customFormat="1" ht="17.399999999999999" x14ac:dyDescent="0.35">
      <c r="A57" s="46"/>
      <c r="B57" s="47"/>
      <c r="C57" s="47"/>
      <c r="D57" s="47"/>
      <c r="E57" s="47"/>
      <c r="F57" s="47"/>
      <c r="G57" s="48"/>
    </row>
    <row r="58" spans="1:7" s="45" customFormat="1" ht="17.399999999999999" x14ac:dyDescent="0.35">
      <c r="A58" s="46"/>
      <c r="B58" s="47"/>
      <c r="C58" s="47"/>
      <c r="D58" s="47"/>
      <c r="E58" s="47"/>
      <c r="F58" s="47"/>
      <c r="G58" s="48"/>
    </row>
    <row r="59" spans="1:7" s="45" customFormat="1" ht="17.399999999999999" x14ac:dyDescent="0.35">
      <c r="A59" s="46"/>
      <c r="B59" s="47"/>
      <c r="C59" s="47"/>
      <c r="D59" s="47"/>
      <c r="E59" s="47"/>
      <c r="F59" s="47"/>
      <c r="G59" s="48"/>
    </row>
    <row r="60" spans="1:7" s="45" customFormat="1" ht="17.399999999999999" x14ac:dyDescent="0.35">
      <c r="A60" s="46"/>
      <c r="B60" s="47"/>
      <c r="C60" s="47"/>
      <c r="D60" s="47"/>
      <c r="E60" s="47"/>
      <c r="F60" s="47"/>
      <c r="G60" s="48"/>
    </row>
    <row r="61" spans="1:7" s="45" customFormat="1" ht="17.399999999999999" x14ac:dyDescent="0.35">
      <c r="A61" s="46"/>
      <c r="B61" s="47"/>
      <c r="C61" s="47"/>
      <c r="D61" s="47"/>
      <c r="E61" s="47"/>
      <c r="F61" s="47"/>
      <c r="G61" s="48"/>
    </row>
    <row r="62" spans="1:7" s="45" customFormat="1" ht="17.399999999999999" x14ac:dyDescent="0.35">
      <c r="A62" s="46"/>
      <c r="B62" s="47"/>
      <c r="C62" s="47"/>
      <c r="D62" s="47"/>
      <c r="E62" s="47"/>
      <c r="F62" s="47"/>
      <c r="G62" s="48"/>
    </row>
    <row r="63" spans="1:7" s="45" customFormat="1" ht="17.399999999999999" x14ac:dyDescent="0.35">
      <c r="A63" s="46"/>
      <c r="B63" s="47"/>
      <c r="C63" s="47"/>
      <c r="D63" s="47"/>
      <c r="E63" s="47"/>
      <c r="F63" s="47"/>
      <c r="G63" s="48"/>
    </row>
    <row r="64" spans="1:7" s="45" customFormat="1" ht="17.399999999999999" x14ac:dyDescent="0.35">
      <c r="A64" s="46"/>
      <c r="B64" s="47"/>
      <c r="C64" s="47"/>
      <c r="D64" s="47"/>
      <c r="E64" s="47"/>
      <c r="F64" s="47"/>
      <c r="G64" s="48"/>
    </row>
    <row r="65" spans="1:7" s="45" customFormat="1" ht="17.399999999999999" x14ac:dyDescent="0.35">
      <c r="A65" s="46"/>
      <c r="B65" s="47"/>
      <c r="C65" s="47"/>
      <c r="D65" s="47"/>
      <c r="E65" s="47"/>
      <c r="F65" s="47"/>
      <c r="G65" s="48"/>
    </row>
    <row r="66" spans="1:7" s="45" customFormat="1" ht="17.399999999999999" x14ac:dyDescent="0.35">
      <c r="A66" s="46"/>
      <c r="B66" s="47"/>
      <c r="C66" s="47"/>
      <c r="D66" s="47"/>
      <c r="E66" s="47"/>
      <c r="F66" s="47"/>
      <c r="G66" s="48"/>
    </row>
    <row r="67" spans="1:7" s="45" customFormat="1" ht="17.399999999999999" x14ac:dyDescent="0.35">
      <c r="A67" s="46"/>
      <c r="B67" s="47"/>
      <c r="C67" s="47"/>
      <c r="D67" s="47"/>
      <c r="E67" s="47"/>
      <c r="F67" s="47"/>
      <c r="G67" s="48"/>
    </row>
    <row r="68" spans="1:7" s="45" customFormat="1" ht="17.399999999999999" x14ac:dyDescent="0.35">
      <c r="A68" s="46"/>
      <c r="B68" s="47"/>
      <c r="C68" s="47"/>
      <c r="D68" s="47"/>
      <c r="E68" s="47"/>
      <c r="F68" s="47"/>
      <c r="G68" s="48"/>
    </row>
    <row r="69" spans="1:7" s="45" customFormat="1" ht="17.399999999999999" x14ac:dyDescent="0.35">
      <c r="A69" s="46"/>
      <c r="B69" s="47"/>
      <c r="C69" s="47"/>
      <c r="D69" s="47"/>
      <c r="E69" s="47"/>
      <c r="F69" s="47"/>
      <c r="G69" s="48"/>
    </row>
    <row r="70" spans="1:7" s="45" customFormat="1" ht="17.399999999999999" x14ac:dyDescent="0.35">
      <c r="A70" s="46"/>
      <c r="B70" s="47"/>
      <c r="C70" s="47"/>
      <c r="D70" s="47"/>
      <c r="E70" s="47"/>
      <c r="F70" s="47"/>
      <c r="G70" s="48"/>
    </row>
    <row r="71" spans="1:7" s="45" customFormat="1" ht="17.399999999999999" x14ac:dyDescent="0.35">
      <c r="A71" s="46"/>
      <c r="B71" s="47"/>
      <c r="C71" s="47"/>
      <c r="D71" s="47"/>
      <c r="E71" s="47"/>
      <c r="F71" s="47"/>
      <c r="G71" s="48"/>
    </row>
    <row r="72" spans="1:7" s="45" customFormat="1" ht="17.399999999999999" x14ac:dyDescent="0.35">
      <c r="A72" s="46"/>
      <c r="B72" s="47"/>
      <c r="C72" s="47"/>
      <c r="D72" s="47"/>
      <c r="E72" s="47"/>
      <c r="F72" s="47"/>
      <c r="G72" s="48"/>
    </row>
    <row r="73" spans="1:7" s="45" customFormat="1" ht="17.399999999999999" x14ac:dyDescent="0.35">
      <c r="A73" s="46"/>
      <c r="B73" s="47"/>
      <c r="C73" s="47"/>
      <c r="D73" s="47"/>
      <c r="E73" s="47"/>
      <c r="F73" s="47"/>
      <c r="G73" s="48"/>
    </row>
    <row r="74" spans="1:7" s="45" customFormat="1" ht="17.399999999999999" x14ac:dyDescent="0.35">
      <c r="A74" s="46"/>
      <c r="B74" s="47"/>
      <c r="C74" s="47"/>
      <c r="D74" s="47"/>
      <c r="E74" s="47"/>
      <c r="F74" s="47"/>
      <c r="G74" s="48"/>
    </row>
    <row r="75" spans="1:7" s="45" customFormat="1" ht="17.399999999999999" x14ac:dyDescent="0.35">
      <c r="A75" s="46"/>
      <c r="B75" s="47"/>
      <c r="C75" s="47"/>
      <c r="D75" s="47"/>
      <c r="E75" s="47"/>
      <c r="F75" s="47"/>
      <c r="G75" s="48"/>
    </row>
    <row r="76" spans="1:7" s="45" customFormat="1" ht="17.399999999999999" x14ac:dyDescent="0.35">
      <c r="A76" s="46"/>
      <c r="B76" s="47"/>
      <c r="C76" s="47"/>
      <c r="D76" s="47"/>
      <c r="E76" s="47"/>
      <c r="F76" s="47"/>
      <c r="G76" s="48"/>
    </row>
    <row r="77" spans="1:7" s="45" customFormat="1" ht="17.399999999999999" x14ac:dyDescent="0.35">
      <c r="A77" s="46"/>
      <c r="B77" s="47"/>
      <c r="C77" s="47"/>
      <c r="D77" s="47"/>
      <c r="E77" s="47"/>
      <c r="F77" s="47"/>
      <c r="G77" s="48"/>
    </row>
    <row r="78" spans="1:7" s="45" customFormat="1" ht="17.399999999999999" x14ac:dyDescent="0.35">
      <c r="A78" s="46"/>
      <c r="B78" s="47"/>
      <c r="C78" s="47"/>
      <c r="D78" s="47"/>
      <c r="E78" s="47"/>
      <c r="F78" s="47"/>
      <c r="G78" s="48"/>
    </row>
    <row r="79" spans="1:7" s="45" customFormat="1" ht="17.399999999999999" x14ac:dyDescent="0.35">
      <c r="A79" s="46"/>
      <c r="B79" s="47"/>
      <c r="C79" s="47"/>
      <c r="D79" s="47"/>
      <c r="E79" s="47"/>
      <c r="F79" s="47"/>
      <c r="G79" s="48"/>
    </row>
    <row r="80" spans="1:7" s="45" customFormat="1" ht="17.399999999999999" x14ac:dyDescent="0.35">
      <c r="A80" s="46"/>
      <c r="B80" s="47"/>
      <c r="C80" s="47"/>
      <c r="D80" s="47"/>
      <c r="E80" s="47"/>
      <c r="F80" s="47"/>
      <c r="G80" s="48"/>
    </row>
    <row r="81" spans="1:7" s="45" customFormat="1" ht="17.399999999999999" x14ac:dyDescent="0.35">
      <c r="A81" s="46"/>
      <c r="B81" s="47"/>
      <c r="C81" s="47"/>
      <c r="D81" s="47"/>
      <c r="E81" s="47"/>
      <c r="F81" s="47"/>
      <c r="G81" s="48"/>
    </row>
    <row r="82" spans="1:7" s="45" customFormat="1" ht="17.399999999999999" x14ac:dyDescent="0.35">
      <c r="A82" s="46"/>
      <c r="B82" s="47"/>
      <c r="C82" s="47"/>
      <c r="D82" s="47"/>
      <c r="E82" s="47"/>
      <c r="F82" s="47"/>
      <c r="G82" s="48"/>
    </row>
    <row r="83" spans="1:7" s="45" customFormat="1" ht="17.399999999999999" x14ac:dyDescent="0.35">
      <c r="A83" s="46"/>
      <c r="B83" s="47"/>
      <c r="C83" s="47"/>
      <c r="D83" s="47"/>
      <c r="E83" s="47"/>
      <c r="F83" s="47"/>
      <c r="G83" s="48"/>
    </row>
    <row r="84" spans="1:7" s="45" customFormat="1" ht="17.399999999999999" x14ac:dyDescent="0.35">
      <c r="A84" s="46"/>
      <c r="B84" s="47"/>
      <c r="C84" s="47"/>
      <c r="D84" s="47"/>
      <c r="E84" s="47"/>
      <c r="F84" s="47"/>
      <c r="G84" s="48"/>
    </row>
    <row r="85" spans="1:7" s="45" customFormat="1" ht="17.399999999999999" x14ac:dyDescent="0.35">
      <c r="A85" s="46"/>
      <c r="B85" s="47"/>
      <c r="C85" s="47"/>
      <c r="D85" s="47"/>
      <c r="E85" s="47"/>
      <c r="F85" s="47"/>
      <c r="G85" s="48"/>
    </row>
    <row r="86" spans="1:7" s="45" customFormat="1" ht="17.399999999999999" x14ac:dyDescent="0.35">
      <c r="A86" s="46"/>
      <c r="B86" s="47"/>
      <c r="C86" s="47"/>
      <c r="D86" s="47"/>
      <c r="E86" s="47"/>
      <c r="F86" s="47"/>
      <c r="G86" s="48"/>
    </row>
    <row r="87" spans="1:7" s="45" customFormat="1" ht="17.399999999999999" x14ac:dyDescent="0.35">
      <c r="A87" s="46"/>
      <c r="B87" s="47"/>
      <c r="C87" s="47"/>
      <c r="D87" s="47"/>
      <c r="E87" s="47"/>
      <c r="F87" s="47"/>
      <c r="G87" s="48"/>
    </row>
    <row r="88" spans="1:7" s="45" customFormat="1" ht="17.399999999999999" x14ac:dyDescent="0.35">
      <c r="A88" s="46"/>
      <c r="B88" s="47"/>
      <c r="C88" s="47"/>
      <c r="D88" s="47"/>
      <c r="E88" s="47"/>
      <c r="F88" s="47"/>
      <c r="G88" s="48"/>
    </row>
    <row r="89" spans="1:7" s="45" customFormat="1" ht="17.399999999999999" x14ac:dyDescent="0.35">
      <c r="A89" s="46"/>
      <c r="B89" s="47"/>
      <c r="C89" s="47"/>
      <c r="D89" s="47"/>
      <c r="E89" s="47"/>
      <c r="F89" s="47"/>
      <c r="G89" s="48"/>
    </row>
    <row r="90" spans="1:7" s="45" customFormat="1" ht="17.399999999999999" x14ac:dyDescent="0.35">
      <c r="A90" s="46"/>
      <c r="B90" s="47"/>
      <c r="C90" s="47"/>
      <c r="D90" s="47"/>
      <c r="E90" s="47"/>
      <c r="F90" s="47"/>
      <c r="G90" s="48"/>
    </row>
    <row r="91" spans="1:7" s="45" customFormat="1" ht="17.399999999999999" x14ac:dyDescent="0.35">
      <c r="A91" s="46"/>
      <c r="B91" s="47"/>
      <c r="C91" s="47"/>
      <c r="D91" s="47"/>
      <c r="E91" s="47"/>
      <c r="F91" s="47"/>
      <c r="G91" s="48"/>
    </row>
    <row r="92" spans="1:7" s="45" customFormat="1" ht="17.399999999999999" x14ac:dyDescent="0.35">
      <c r="A92" s="46"/>
      <c r="B92" s="47"/>
      <c r="C92" s="47"/>
      <c r="D92" s="47"/>
      <c r="E92" s="47"/>
      <c r="F92" s="47"/>
      <c r="G92" s="48"/>
    </row>
    <row r="93" spans="1:7" s="45" customFormat="1" ht="17.399999999999999" x14ac:dyDescent="0.35">
      <c r="A93" s="46"/>
      <c r="B93" s="47"/>
      <c r="C93" s="47"/>
      <c r="D93" s="47"/>
      <c r="E93" s="47"/>
      <c r="F93" s="47"/>
      <c r="G93" s="48"/>
    </row>
    <row r="94" spans="1:7" s="45" customFormat="1" ht="17.399999999999999" x14ac:dyDescent="0.35">
      <c r="A94" s="46"/>
      <c r="B94" s="47"/>
      <c r="C94" s="47"/>
      <c r="D94" s="47"/>
      <c r="E94" s="47"/>
      <c r="F94" s="47"/>
      <c r="G94" s="48"/>
    </row>
    <row r="95" spans="1:7" s="45" customFormat="1" ht="17.399999999999999" x14ac:dyDescent="0.35">
      <c r="A95" s="46"/>
      <c r="B95" s="47"/>
      <c r="C95" s="47"/>
      <c r="D95" s="47"/>
      <c r="E95" s="47"/>
      <c r="F95" s="47"/>
      <c r="G95" s="48"/>
    </row>
    <row r="96" spans="1:7" s="45" customFormat="1" ht="17.399999999999999" x14ac:dyDescent="0.35">
      <c r="A96" s="46"/>
      <c r="B96" s="47"/>
      <c r="C96" s="47"/>
      <c r="D96" s="47"/>
      <c r="E96" s="47"/>
      <c r="F96" s="47"/>
      <c r="G96" s="48"/>
    </row>
    <row r="97" spans="1:7" s="45" customFormat="1" ht="17.399999999999999" x14ac:dyDescent="0.35">
      <c r="A97" s="46"/>
      <c r="B97" s="47"/>
      <c r="C97" s="47"/>
      <c r="D97" s="47"/>
      <c r="E97" s="47"/>
      <c r="F97" s="47"/>
      <c r="G97" s="48"/>
    </row>
    <row r="98" spans="1:7" s="45" customFormat="1" ht="17.399999999999999" x14ac:dyDescent="0.35">
      <c r="A98" s="46"/>
      <c r="B98" s="47"/>
      <c r="C98" s="47"/>
      <c r="D98" s="47"/>
      <c r="E98" s="47"/>
      <c r="F98" s="47"/>
      <c r="G98" s="48"/>
    </row>
    <row r="99" spans="1:7" s="45" customFormat="1" ht="17.399999999999999" x14ac:dyDescent="0.35">
      <c r="A99" s="46"/>
      <c r="B99" s="47"/>
      <c r="C99" s="47"/>
      <c r="D99" s="47"/>
      <c r="E99" s="47"/>
      <c r="F99" s="47"/>
      <c r="G99" s="48"/>
    </row>
    <row r="100" spans="1:7" s="45" customFormat="1" ht="17.399999999999999" x14ac:dyDescent="0.35">
      <c r="A100" s="46"/>
      <c r="B100" s="47"/>
      <c r="C100" s="47"/>
      <c r="D100" s="47"/>
      <c r="E100" s="47"/>
      <c r="F100" s="47"/>
      <c r="G100" s="48"/>
    </row>
    <row r="101" spans="1:7" s="45" customFormat="1" ht="17.399999999999999" x14ac:dyDescent="0.35">
      <c r="A101" s="46"/>
      <c r="B101" s="47"/>
      <c r="C101" s="47"/>
      <c r="D101" s="47"/>
      <c r="E101" s="47"/>
      <c r="F101" s="47"/>
      <c r="G101" s="48"/>
    </row>
    <row r="102" spans="1:7" s="45" customFormat="1" ht="17.399999999999999" x14ac:dyDescent="0.35">
      <c r="A102" s="46"/>
      <c r="B102" s="47"/>
      <c r="C102" s="47"/>
      <c r="D102" s="47"/>
      <c r="E102" s="47"/>
      <c r="F102" s="47"/>
      <c r="G102" s="48"/>
    </row>
    <row r="103" spans="1:7" s="45" customFormat="1" ht="17.399999999999999" x14ac:dyDescent="0.35">
      <c r="A103" s="46"/>
      <c r="B103" s="47"/>
      <c r="C103" s="47"/>
      <c r="D103" s="47"/>
      <c r="E103" s="47"/>
      <c r="F103" s="47"/>
      <c r="G103" s="48"/>
    </row>
    <row r="104" spans="1:7" s="45" customFormat="1" ht="17.399999999999999" x14ac:dyDescent="0.35">
      <c r="A104" s="46"/>
      <c r="B104" s="47"/>
      <c r="C104" s="47"/>
      <c r="D104" s="47"/>
      <c r="E104" s="47"/>
      <c r="F104" s="47"/>
      <c r="G104" s="48"/>
    </row>
    <row r="105" spans="1:7" s="45" customFormat="1" ht="17.399999999999999" x14ac:dyDescent="0.35">
      <c r="A105" s="46"/>
      <c r="B105" s="47"/>
      <c r="C105" s="47"/>
      <c r="D105" s="47"/>
      <c r="E105" s="47"/>
      <c r="F105" s="47"/>
      <c r="G105" s="48"/>
    </row>
    <row r="106" spans="1:7" s="45" customFormat="1" ht="17.399999999999999" x14ac:dyDescent="0.35">
      <c r="A106" s="46"/>
      <c r="B106" s="47"/>
      <c r="C106" s="47"/>
      <c r="D106" s="47"/>
      <c r="E106" s="47"/>
      <c r="F106" s="47"/>
      <c r="G106" s="48"/>
    </row>
    <row r="107" spans="1:7" s="45" customFormat="1" ht="17.399999999999999" x14ac:dyDescent="0.35">
      <c r="A107" s="46"/>
      <c r="B107" s="47"/>
      <c r="C107" s="47"/>
      <c r="D107" s="47"/>
      <c r="E107" s="47"/>
      <c r="F107" s="47"/>
      <c r="G107" s="48"/>
    </row>
    <row r="108" spans="1:7" s="45" customFormat="1" ht="17.399999999999999" x14ac:dyDescent="0.35">
      <c r="A108" s="46"/>
      <c r="B108" s="47"/>
      <c r="C108" s="47"/>
      <c r="D108" s="47"/>
      <c r="E108" s="47"/>
      <c r="F108" s="47"/>
      <c r="G108" s="48"/>
    </row>
    <row r="109" spans="1:7" s="45" customFormat="1" ht="17.399999999999999" x14ac:dyDescent="0.35">
      <c r="A109" s="46"/>
      <c r="B109" s="47"/>
      <c r="C109" s="47"/>
      <c r="D109" s="47"/>
      <c r="E109" s="47"/>
      <c r="F109" s="47"/>
      <c r="G109" s="48"/>
    </row>
    <row r="110" spans="1:7" s="45" customFormat="1" ht="17.399999999999999" x14ac:dyDescent="0.35">
      <c r="A110" s="46"/>
      <c r="B110" s="47"/>
      <c r="C110" s="47"/>
      <c r="D110" s="47"/>
      <c r="E110" s="47"/>
      <c r="F110" s="47"/>
      <c r="G110" s="48"/>
    </row>
    <row r="111" spans="1:7" s="45" customFormat="1" ht="17.399999999999999" x14ac:dyDescent="0.35">
      <c r="A111" s="46"/>
      <c r="B111" s="47"/>
      <c r="C111" s="47"/>
      <c r="D111" s="47"/>
      <c r="E111" s="47"/>
      <c r="F111" s="47"/>
      <c r="G111" s="48"/>
    </row>
    <row r="112" spans="1:7" s="45" customFormat="1" ht="17.399999999999999" x14ac:dyDescent="0.35">
      <c r="A112" s="46"/>
      <c r="B112" s="47"/>
      <c r="C112" s="47"/>
      <c r="D112" s="47"/>
      <c r="E112" s="47"/>
      <c r="F112" s="47"/>
      <c r="G112" s="48"/>
    </row>
    <row r="113" spans="1:7" s="45" customFormat="1" ht="17.399999999999999" x14ac:dyDescent="0.35">
      <c r="A113" s="46"/>
      <c r="B113" s="47"/>
      <c r="C113" s="47"/>
      <c r="D113" s="47"/>
      <c r="E113" s="47"/>
      <c r="F113" s="47"/>
      <c r="G113" s="48"/>
    </row>
    <row r="114" spans="1:7" s="45" customFormat="1" ht="17.399999999999999" x14ac:dyDescent="0.35">
      <c r="A114" s="46"/>
      <c r="B114" s="47"/>
      <c r="C114" s="47"/>
      <c r="D114" s="47"/>
      <c r="E114" s="47"/>
      <c r="F114" s="47"/>
      <c r="G114" s="48"/>
    </row>
    <row r="115" spans="1:7" s="45" customFormat="1" ht="17.399999999999999" x14ac:dyDescent="0.35">
      <c r="A115" s="46"/>
      <c r="B115" s="47"/>
      <c r="C115" s="47"/>
      <c r="D115" s="47"/>
      <c r="E115" s="47"/>
      <c r="F115" s="47"/>
      <c r="G115" s="48"/>
    </row>
    <row r="116" spans="1:7" s="45" customFormat="1" ht="17.399999999999999" x14ac:dyDescent="0.35">
      <c r="A116" s="46"/>
      <c r="B116" s="47"/>
      <c r="C116" s="47"/>
      <c r="D116" s="47"/>
      <c r="E116" s="47"/>
      <c r="F116" s="47"/>
      <c r="G116" s="48"/>
    </row>
    <row r="117" spans="1:7" s="45" customFormat="1" ht="17.399999999999999" x14ac:dyDescent="0.35">
      <c r="A117" s="46"/>
      <c r="B117" s="47"/>
      <c r="C117" s="47"/>
      <c r="D117" s="47"/>
      <c r="E117" s="47"/>
      <c r="F117" s="47"/>
      <c r="G117" s="48"/>
    </row>
    <row r="118" spans="1:7" s="45" customFormat="1" ht="17.399999999999999" x14ac:dyDescent="0.35">
      <c r="A118" s="46"/>
      <c r="B118" s="47"/>
      <c r="C118" s="47"/>
      <c r="D118" s="47"/>
      <c r="E118" s="47"/>
      <c r="F118" s="47"/>
      <c r="G118" s="48"/>
    </row>
    <row r="119" spans="1:7" s="45" customFormat="1" ht="17.399999999999999" x14ac:dyDescent="0.35">
      <c r="A119" s="46"/>
      <c r="B119" s="47"/>
      <c r="C119" s="47"/>
      <c r="D119" s="47"/>
      <c r="E119" s="47"/>
      <c r="F119" s="47"/>
      <c r="G119" s="48"/>
    </row>
    <row r="120" spans="1:7" s="45" customFormat="1" ht="17.399999999999999" x14ac:dyDescent="0.35">
      <c r="A120" s="46"/>
      <c r="B120" s="47"/>
      <c r="C120" s="47"/>
      <c r="D120" s="47"/>
      <c r="E120" s="47"/>
      <c r="F120" s="47"/>
      <c r="G120" s="48"/>
    </row>
    <row r="121" spans="1:7" s="45" customFormat="1" ht="17.399999999999999" x14ac:dyDescent="0.35">
      <c r="A121" s="46"/>
      <c r="B121" s="47"/>
      <c r="C121" s="47"/>
      <c r="D121" s="47"/>
      <c r="E121" s="47"/>
      <c r="F121" s="47"/>
      <c r="G121" s="48"/>
    </row>
    <row r="122" spans="1:7" s="45" customFormat="1" ht="17.399999999999999" x14ac:dyDescent="0.35">
      <c r="A122" s="46"/>
      <c r="B122" s="47"/>
      <c r="C122" s="47"/>
      <c r="D122" s="47"/>
      <c r="E122" s="47"/>
      <c r="F122" s="47"/>
      <c r="G122" s="48"/>
    </row>
    <row r="123" spans="1:7" s="45" customFormat="1" ht="17.399999999999999" x14ac:dyDescent="0.35">
      <c r="A123" s="46"/>
      <c r="B123" s="47"/>
      <c r="C123" s="47"/>
      <c r="D123" s="47"/>
      <c r="E123" s="47"/>
      <c r="F123" s="47"/>
      <c r="G123" s="48"/>
    </row>
    <row r="124" spans="1:7" s="45" customFormat="1" ht="17.399999999999999" x14ac:dyDescent="0.35">
      <c r="A124" s="46"/>
      <c r="B124" s="47"/>
      <c r="C124" s="47"/>
      <c r="D124" s="47"/>
      <c r="E124" s="47"/>
      <c r="F124" s="47"/>
      <c r="G124" s="48"/>
    </row>
    <row r="125" spans="1:7" s="45" customFormat="1" ht="17.399999999999999" x14ac:dyDescent="0.35">
      <c r="A125" s="46"/>
      <c r="B125" s="47"/>
      <c r="C125" s="47"/>
      <c r="D125" s="47"/>
      <c r="E125" s="47"/>
      <c r="F125" s="47"/>
      <c r="G125" s="48"/>
    </row>
    <row r="126" spans="1:7" s="45" customFormat="1" ht="17.399999999999999" x14ac:dyDescent="0.35">
      <c r="A126" s="46"/>
      <c r="B126" s="47"/>
      <c r="C126" s="47"/>
      <c r="D126" s="47"/>
      <c r="E126" s="47"/>
      <c r="F126" s="47"/>
      <c r="G126" s="48"/>
    </row>
    <row r="127" spans="1:7" s="45" customFormat="1" ht="17.399999999999999" x14ac:dyDescent="0.35">
      <c r="A127" s="46"/>
      <c r="B127" s="47"/>
      <c r="C127" s="47"/>
      <c r="D127" s="47"/>
      <c r="E127" s="47"/>
      <c r="F127" s="47"/>
      <c r="G127" s="48"/>
    </row>
    <row r="128" spans="1:7" s="45" customFormat="1" ht="17.399999999999999" x14ac:dyDescent="0.35">
      <c r="A128" s="46"/>
      <c r="B128" s="47"/>
      <c r="C128" s="47"/>
      <c r="D128" s="47"/>
      <c r="E128" s="47"/>
      <c r="F128" s="47"/>
      <c r="G128" s="48"/>
    </row>
    <row r="129" spans="1:7" s="45" customFormat="1" ht="17.399999999999999" x14ac:dyDescent="0.35">
      <c r="A129" s="46"/>
      <c r="B129" s="47"/>
      <c r="C129" s="47"/>
      <c r="D129" s="47"/>
      <c r="E129" s="47"/>
      <c r="F129" s="47"/>
      <c r="G129" s="48"/>
    </row>
    <row r="130" spans="1:7" s="45" customFormat="1" ht="17.399999999999999" x14ac:dyDescent="0.35">
      <c r="A130" s="46"/>
      <c r="B130" s="47"/>
      <c r="C130" s="47"/>
      <c r="D130" s="47"/>
      <c r="E130" s="47"/>
      <c r="F130" s="47"/>
      <c r="G130" s="48"/>
    </row>
    <row r="131" spans="1:7" s="45" customFormat="1" ht="17.399999999999999" x14ac:dyDescent="0.35">
      <c r="A131" s="46"/>
      <c r="B131" s="47"/>
      <c r="C131" s="47"/>
      <c r="D131" s="47"/>
      <c r="E131" s="47"/>
      <c r="F131" s="47"/>
      <c r="G131" s="48"/>
    </row>
    <row r="132" spans="1:7" s="45" customFormat="1" ht="17.399999999999999" x14ac:dyDescent="0.35">
      <c r="A132" s="46"/>
      <c r="B132" s="47"/>
      <c r="C132" s="47"/>
      <c r="D132" s="47"/>
      <c r="E132" s="47"/>
      <c r="F132" s="47"/>
      <c r="G132" s="48"/>
    </row>
    <row r="133" spans="1:7" s="45" customFormat="1" ht="17.399999999999999" x14ac:dyDescent="0.35">
      <c r="A133" s="46"/>
      <c r="B133" s="47"/>
      <c r="C133" s="47"/>
      <c r="D133" s="47"/>
      <c r="E133" s="47"/>
      <c r="F133" s="47"/>
      <c r="G133" s="48"/>
    </row>
    <row r="134" spans="1:7" s="45" customFormat="1" ht="17.399999999999999" x14ac:dyDescent="0.35">
      <c r="A134" s="46"/>
      <c r="B134" s="47"/>
      <c r="C134" s="47"/>
      <c r="D134" s="47"/>
      <c r="E134" s="47"/>
      <c r="F134" s="47"/>
      <c r="G134" s="48"/>
    </row>
    <row r="135" spans="1:7" s="45" customFormat="1" ht="17.399999999999999" x14ac:dyDescent="0.35">
      <c r="A135" s="46"/>
      <c r="B135" s="47"/>
      <c r="C135" s="47"/>
      <c r="D135" s="47"/>
      <c r="E135" s="47"/>
      <c r="F135" s="47"/>
      <c r="G135" s="48"/>
    </row>
    <row r="136" spans="1:7" s="45" customFormat="1" ht="17.399999999999999" x14ac:dyDescent="0.35">
      <c r="A136" s="46"/>
      <c r="B136" s="47"/>
      <c r="C136" s="47"/>
      <c r="D136" s="47"/>
      <c r="E136" s="47"/>
      <c r="F136" s="47"/>
      <c r="G136" s="48"/>
    </row>
    <row r="137" spans="1:7" s="45" customFormat="1" ht="17.399999999999999" x14ac:dyDescent="0.35">
      <c r="A137" s="46"/>
      <c r="B137" s="47"/>
      <c r="C137" s="47"/>
      <c r="D137" s="47"/>
      <c r="E137" s="47"/>
      <c r="F137" s="47"/>
      <c r="G137" s="48"/>
    </row>
    <row r="138" spans="1:7" s="45" customFormat="1" ht="17.399999999999999" x14ac:dyDescent="0.35">
      <c r="A138" s="46"/>
      <c r="B138" s="47"/>
      <c r="C138" s="47"/>
      <c r="D138" s="47"/>
      <c r="E138" s="47"/>
      <c r="F138" s="47"/>
      <c r="G138" s="48"/>
    </row>
    <row r="139" spans="1:7" s="45" customFormat="1" ht="17.399999999999999" x14ac:dyDescent="0.35">
      <c r="A139" s="46"/>
      <c r="B139" s="47"/>
      <c r="C139" s="47"/>
      <c r="D139" s="47"/>
      <c r="E139" s="47"/>
      <c r="F139" s="47"/>
      <c r="G139" s="48"/>
    </row>
    <row r="140" spans="1:7" s="45" customFormat="1" ht="17.399999999999999" x14ac:dyDescent="0.35">
      <c r="A140" s="46"/>
      <c r="B140" s="47"/>
      <c r="C140" s="47"/>
      <c r="D140" s="47"/>
      <c r="E140" s="47"/>
      <c r="F140" s="47"/>
      <c r="G140" s="48"/>
    </row>
    <row r="141" spans="1:7" s="45" customFormat="1" ht="17.399999999999999" x14ac:dyDescent="0.35">
      <c r="A141" s="46"/>
      <c r="B141" s="47"/>
      <c r="C141" s="47"/>
      <c r="D141" s="47"/>
      <c r="E141" s="47"/>
      <c r="F141" s="47"/>
      <c r="G141" s="48"/>
    </row>
    <row r="142" spans="1:7" s="45" customFormat="1" ht="17.399999999999999" x14ac:dyDescent="0.35">
      <c r="A142" s="46"/>
      <c r="B142" s="47"/>
      <c r="C142" s="47"/>
      <c r="D142" s="47"/>
      <c r="E142" s="47"/>
      <c r="F142" s="47"/>
      <c r="G142" s="48"/>
    </row>
    <row r="143" spans="1:7" s="45" customFormat="1" ht="17.399999999999999" x14ac:dyDescent="0.35">
      <c r="A143" s="46"/>
      <c r="B143" s="47"/>
      <c r="C143" s="47"/>
      <c r="D143" s="47"/>
      <c r="E143" s="47"/>
      <c r="F143" s="47"/>
      <c r="G143" s="48"/>
    </row>
    <row r="144" spans="1:7" s="45" customFormat="1" ht="17.399999999999999" x14ac:dyDescent="0.35">
      <c r="A144" s="46"/>
      <c r="B144" s="47"/>
      <c r="C144" s="47"/>
      <c r="D144" s="47"/>
      <c r="E144" s="47"/>
      <c r="F144" s="47"/>
      <c r="G144" s="48"/>
    </row>
    <row r="145" spans="1:7" s="45" customFormat="1" ht="17.399999999999999" x14ac:dyDescent="0.35">
      <c r="A145" s="46"/>
      <c r="B145" s="47"/>
      <c r="C145" s="47"/>
      <c r="D145" s="47"/>
      <c r="E145" s="47"/>
      <c r="F145" s="47"/>
      <c r="G145" s="48"/>
    </row>
    <row r="146" spans="1:7" s="45" customFormat="1" ht="17.399999999999999" x14ac:dyDescent="0.35">
      <c r="A146" s="46"/>
      <c r="B146" s="47"/>
      <c r="C146" s="47"/>
      <c r="D146" s="47"/>
      <c r="E146" s="47"/>
      <c r="F146" s="47"/>
      <c r="G146" s="48"/>
    </row>
    <row r="147" spans="1:7" s="45" customFormat="1" ht="17.399999999999999" x14ac:dyDescent="0.35">
      <c r="A147" s="46"/>
      <c r="B147" s="47"/>
      <c r="C147" s="47"/>
      <c r="D147" s="47"/>
      <c r="E147" s="47"/>
      <c r="F147" s="47"/>
      <c r="G147" s="48"/>
    </row>
    <row r="148" spans="1:7" s="45" customFormat="1" ht="17.399999999999999" x14ac:dyDescent="0.35">
      <c r="A148" s="46"/>
      <c r="B148" s="47"/>
      <c r="C148" s="47"/>
      <c r="D148" s="47"/>
      <c r="E148" s="47"/>
      <c r="F148" s="47"/>
      <c r="G148" s="48"/>
    </row>
    <row r="149" spans="1:7" s="45" customFormat="1" ht="17.399999999999999" x14ac:dyDescent="0.35">
      <c r="A149" s="46"/>
      <c r="B149" s="47"/>
      <c r="C149" s="47"/>
      <c r="D149" s="47"/>
      <c r="E149" s="47"/>
      <c r="F149" s="47"/>
      <c r="G149" s="48"/>
    </row>
    <row r="150" spans="1:7" s="45" customFormat="1" ht="17.399999999999999" x14ac:dyDescent="0.35">
      <c r="A150" s="46"/>
      <c r="B150" s="47"/>
      <c r="C150" s="47"/>
      <c r="D150" s="47"/>
      <c r="E150" s="47"/>
      <c r="F150" s="47"/>
      <c r="G150" s="48"/>
    </row>
    <row r="151" spans="1:7" s="45" customFormat="1" ht="17.399999999999999" x14ac:dyDescent="0.35">
      <c r="A151" s="46"/>
      <c r="B151" s="47"/>
      <c r="C151" s="47"/>
      <c r="D151" s="47"/>
      <c r="E151" s="47"/>
      <c r="F151" s="47"/>
      <c r="G151" s="48"/>
    </row>
    <row r="152" spans="1:7" s="45" customFormat="1" ht="17.399999999999999" x14ac:dyDescent="0.35">
      <c r="A152" s="46"/>
      <c r="B152" s="47"/>
      <c r="C152" s="47"/>
      <c r="D152" s="47"/>
      <c r="E152" s="47"/>
      <c r="F152" s="47"/>
      <c r="G152" s="48"/>
    </row>
    <row r="153" spans="1:7" s="45" customFormat="1" ht="17.399999999999999" x14ac:dyDescent="0.35">
      <c r="A153" s="46"/>
      <c r="B153" s="47"/>
      <c r="C153" s="47"/>
      <c r="D153" s="47"/>
      <c r="E153" s="47"/>
      <c r="F153" s="47"/>
      <c r="G153" s="48"/>
    </row>
    <row r="154" spans="1:7" s="45" customFormat="1" ht="17.399999999999999" x14ac:dyDescent="0.35">
      <c r="A154" s="46"/>
      <c r="B154" s="47"/>
      <c r="C154" s="47"/>
      <c r="D154" s="47"/>
      <c r="E154" s="47"/>
      <c r="F154" s="47"/>
      <c r="G154" s="48"/>
    </row>
    <row r="155" spans="1:7" s="45" customFormat="1" ht="17.399999999999999" x14ac:dyDescent="0.35">
      <c r="A155" s="46"/>
      <c r="B155" s="47"/>
      <c r="C155" s="47"/>
      <c r="D155" s="47"/>
      <c r="E155" s="47"/>
      <c r="F155" s="47"/>
      <c r="G155" s="48"/>
    </row>
    <row r="156" spans="1:7" s="45" customFormat="1" ht="17.399999999999999" x14ac:dyDescent="0.35">
      <c r="A156" s="46"/>
      <c r="B156" s="47"/>
      <c r="C156" s="47"/>
      <c r="D156" s="47"/>
      <c r="E156" s="47"/>
      <c r="F156" s="47"/>
      <c r="G156" s="48"/>
    </row>
    <row r="157" spans="1:7" s="45" customFormat="1" ht="17.399999999999999" x14ac:dyDescent="0.35">
      <c r="A157" s="46"/>
      <c r="B157" s="47"/>
      <c r="C157" s="47"/>
      <c r="D157" s="47"/>
      <c r="E157" s="47"/>
      <c r="F157" s="47"/>
      <c r="G157" s="48"/>
    </row>
    <row r="158" spans="1:7" s="45" customFormat="1" ht="17.399999999999999" x14ac:dyDescent="0.35">
      <c r="A158" s="46"/>
      <c r="B158" s="47"/>
      <c r="C158" s="47"/>
      <c r="D158" s="47"/>
      <c r="E158" s="47"/>
      <c r="F158" s="47"/>
      <c r="G158" s="48"/>
    </row>
    <row r="159" spans="1:7" s="45" customFormat="1" ht="17.399999999999999" x14ac:dyDescent="0.35">
      <c r="A159" s="46"/>
      <c r="B159" s="47"/>
      <c r="C159" s="47"/>
      <c r="D159" s="47"/>
      <c r="E159" s="47"/>
      <c r="F159" s="47"/>
      <c r="G159" s="48"/>
    </row>
    <row r="160" spans="1:7" s="45" customFormat="1" ht="17.399999999999999" x14ac:dyDescent="0.35">
      <c r="A160" s="46"/>
      <c r="B160" s="47"/>
      <c r="C160" s="47"/>
      <c r="D160" s="47"/>
      <c r="E160" s="47"/>
      <c r="F160" s="47"/>
      <c r="G160" s="48"/>
    </row>
    <row r="161" spans="1:7" s="45" customFormat="1" ht="17.399999999999999" x14ac:dyDescent="0.35">
      <c r="A161" s="46"/>
      <c r="B161" s="47"/>
      <c r="C161" s="47"/>
      <c r="D161" s="47"/>
      <c r="E161" s="47"/>
      <c r="F161" s="47"/>
      <c r="G161" s="48"/>
    </row>
    <row r="162" spans="1:7" s="45" customFormat="1" ht="17.399999999999999" x14ac:dyDescent="0.35">
      <c r="A162" s="46"/>
      <c r="B162" s="47"/>
      <c r="C162" s="47"/>
      <c r="D162" s="47"/>
      <c r="E162" s="47"/>
      <c r="F162" s="47"/>
      <c r="G162" s="48"/>
    </row>
    <row r="163" spans="1:7" s="45" customFormat="1" ht="17.399999999999999" x14ac:dyDescent="0.35">
      <c r="A163" s="46"/>
      <c r="B163" s="47"/>
      <c r="C163" s="47"/>
      <c r="D163" s="47"/>
      <c r="E163" s="47"/>
      <c r="F163" s="47"/>
      <c r="G163" s="48"/>
    </row>
    <row r="164" spans="1:7" s="45" customFormat="1" ht="17.399999999999999" x14ac:dyDescent="0.35">
      <c r="A164" s="46"/>
      <c r="B164" s="47"/>
      <c r="C164" s="47"/>
      <c r="D164" s="47"/>
      <c r="E164" s="47"/>
      <c r="F164" s="47"/>
      <c r="G164" s="48"/>
    </row>
    <row r="165" spans="1:7" s="45" customFormat="1" ht="17.399999999999999" x14ac:dyDescent="0.35">
      <c r="A165" s="46"/>
      <c r="B165" s="47"/>
      <c r="C165" s="47"/>
      <c r="D165" s="47"/>
      <c r="E165" s="47"/>
      <c r="F165" s="47"/>
      <c r="G165" s="48"/>
    </row>
    <row r="166" spans="1:7" s="45" customFormat="1" ht="17.399999999999999" x14ac:dyDescent="0.35">
      <c r="A166" s="46"/>
      <c r="B166" s="47"/>
      <c r="C166" s="47"/>
      <c r="D166" s="47"/>
      <c r="E166" s="47"/>
      <c r="F166" s="47"/>
      <c r="G166" s="48"/>
    </row>
    <row r="167" spans="1:7" s="45" customFormat="1" ht="17.399999999999999" x14ac:dyDescent="0.35">
      <c r="A167" s="46"/>
      <c r="B167" s="47"/>
      <c r="C167" s="47"/>
      <c r="D167" s="47"/>
      <c r="E167" s="47"/>
      <c r="F167" s="47"/>
      <c r="G167" s="48"/>
    </row>
    <row r="168" spans="1:7" s="45" customFormat="1" ht="17.399999999999999" x14ac:dyDescent="0.35">
      <c r="A168" s="46"/>
      <c r="B168" s="47"/>
      <c r="C168" s="47"/>
      <c r="D168" s="47"/>
      <c r="E168" s="47"/>
      <c r="F168" s="47"/>
      <c r="G168" s="48"/>
    </row>
    <row r="169" spans="1:7" s="45" customFormat="1" ht="17.399999999999999" x14ac:dyDescent="0.35">
      <c r="A169" s="46"/>
      <c r="B169" s="47"/>
      <c r="C169" s="47"/>
      <c r="D169" s="47"/>
      <c r="E169" s="47"/>
      <c r="F169" s="47"/>
      <c r="G169" s="48"/>
    </row>
    <row r="170" spans="1:7" s="45" customFormat="1" ht="17.399999999999999" x14ac:dyDescent="0.35">
      <c r="A170" s="46"/>
      <c r="B170" s="47"/>
      <c r="C170" s="47"/>
      <c r="D170" s="47"/>
      <c r="E170" s="47"/>
      <c r="F170" s="47"/>
      <c r="G170" s="48"/>
    </row>
    <row r="171" spans="1:7" s="45" customFormat="1" ht="17.399999999999999" x14ac:dyDescent="0.35">
      <c r="A171" s="46"/>
      <c r="B171" s="47"/>
      <c r="C171" s="47"/>
      <c r="D171" s="47"/>
      <c r="E171" s="47"/>
      <c r="F171" s="47"/>
      <c r="G171" s="48"/>
    </row>
    <row r="172" spans="1:7" s="45" customFormat="1" ht="17.399999999999999" x14ac:dyDescent="0.35">
      <c r="A172" s="46"/>
      <c r="B172" s="47"/>
      <c r="C172" s="47"/>
      <c r="D172" s="47"/>
      <c r="E172" s="47"/>
      <c r="F172" s="47"/>
      <c r="G172" s="48"/>
    </row>
    <row r="173" spans="1:7" s="45" customFormat="1" ht="17.399999999999999" x14ac:dyDescent="0.35">
      <c r="A173" s="46"/>
      <c r="B173" s="47"/>
      <c r="C173" s="47"/>
      <c r="D173" s="47"/>
      <c r="E173" s="47"/>
      <c r="F173" s="47"/>
      <c r="G173" s="48"/>
    </row>
    <row r="174" spans="1:7" s="45" customFormat="1" ht="17.399999999999999" x14ac:dyDescent="0.35">
      <c r="A174" s="46"/>
      <c r="B174" s="47"/>
      <c r="C174" s="47"/>
      <c r="D174" s="47"/>
      <c r="E174" s="47"/>
      <c r="F174" s="47"/>
      <c r="G174" s="48"/>
    </row>
    <row r="175" spans="1:7" ht="18" thickBot="1" x14ac:dyDescent="0.4">
      <c r="A175" s="49"/>
      <c r="B175" s="50"/>
      <c r="C175" s="50"/>
      <c r="D175" s="50"/>
      <c r="E175" s="50"/>
      <c r="F175" s="50"/>
      <c r="G175" s="51"/>
    </row>
    <row r="176" spans="1:7" ht="16.2" thickTop="1" x14ac:dyDescent="0.3"/>
  </sheetData>
  <phoneticPr fontId="0" type="noConversion"/>
  <conditionalFormatting sqref="E11">
    <cfRule type="cellIs" dxfId="4" priority="4" stopIfTrue="1" operator="greaterThan">
      <formula>76</formula>
    </cfRule>
    <cfRule type="cellIs" dxfId="3" priority="5" stopIfTrue="1" operator="between">
      <formula>38</formula>
      <formula>76</formula>
    </cfRule>
  </conditionalFormatting>
  <hyperlinks>
    <hyperlink ref="G1" r:id="rId1" xr:uid="{FEE04DE4-56C0-411B-823B-82BF05EADAE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showGridLines="0" workbookViewId="0">
      <pane ySplit="2" topLeftCell="A3" activePane="bottomLeft" state="frozen"/>
      <selection pane="bottomLeft" activeCell="A3" sqref="A3"/>
    </sheetView>
  </sheetViews>
  <sheetFormatPr defaultColWidth="13" defaultRowHeight="15.6" x14ac:dyDescent="0.3"/>
  <cols>
    <col min="1" max="1" width="31.69921875" style="52" bestFit="1" customWidth="1"/>
    <col min="2" max="2" width="5.8984375" style="52" bestFit="1" customWidth="1"/>
    <col min="3" max="3" width="11.59765625" style="53" hidden="1" customWidth="1"/>
    <col min="4" max="4" width="5.796875" style="53" hidden="1" customWidth="1"/>
    <col min="5" max="5" width="9.19921875" style="53" bestFit="1" customWidth="1"/>
    <col min="6" max="6" width="7.8984375" style="53" bestFit="1" customWidth="1"/>
    <col min="7" max="7" width="6" style="53" bestFit="1" customWidth="1"/>
    <col min="8" max="8" width="5.19921875" style="53" bestFit="1" customWidth="1"/>
    <col min="9" max="9" width="6.8984375" style="53" bestFit="1" customWidth="1"/>
    <col min="10" max="10" width="23.8984375" style="52" bestFit="1" customWidth="1"/>
    <col min="11" max="16384" width="13" style="7"/>
  </cols>
  <sheetData>
    <row r="1" spans="1:10" ht="24" thickBot="1" x14ac:dyDescent="0.5">
      <c r="A1" s="54" t="s">
        <v>6</v>
      </c>
      <c r="B1" s="55"/>
      <c r="C1" s="55"/>
      <c r="D1" s="55"/>
      <c r="E1" s="55"/>
      <c r="F1" s="55"/>
      <c r="G1" s="55"/>
      <c r="H1" s="55"/>
      <c r="I1" s="55"/>
      <c r="J1" s="55"/>
    </row>
    <row r="2" spans="1:10" s="60" customFormat="1" ht="35.4" thickBot="1" x14ac:dyDescent="0.35">
      <c r="A2" s="56" t="s">
        <v>82</v>
      </c>
      <c r="B2" s="57" t="s">
        <v>21</v>
      </c>
      <c r="C2" s="57" t="s">
        <v>23</v>
      </c>
      <c r="D2" s="57" t="s">
        <v>20</v>
      </c>
      <c r="E2" s="58" t="s">
        <v>48</v>
      </c>
      <c r="F2" s="58" t="s">
        <v>24</v>
      </c>
      <c r="G2" s="58" t="s">
        <v>50</v>
      </c>
      <c r="H2" s="292" t="s">
        <v>75</v>
      </c>
      <c r="I2" s="57" t="s">
        <v>62</v>
      </c>
      <c r="J2" s="59" t="s">
        <v>61</v>
      </c>
    </row>
    <row r="3" spans="1:10" s="45" customFormat="1" ht="17.399999999999999" x14ac:dyDescent="0.35">
      <c r="A3" s="61" t="s">
        <v>52</v>
      </c>
      <c r="B3" s="62">
        <f>0+0</f>
        <v>0</v>
      </c>
      <c r="C3" s="63" t="s">
        <v>102</v>
      </c>
      <c r="D3" s="63" t="str">
        <f>VLOOKUP(C3,'Personal File'!$A$10:$C$15,3,FALSE)</f>
        <v>+1</v>
      </c>
      <c r="E3" s="64" t="str">
        <f t="shared" ref="E3:E51" si="0">CONCATENATE(LEFT(C3,3)," (",D3,")")</f>
        <v>Con (+1)</v>
      </c>
      <c r="F3" s="63">
        <v>0</v>
      </c>
      <c r="G3" s="65">
        <f t="shared" ref="G3:G5" si="1">B3+D3+F3</f>
        <v>1</v>
      </c>
      <c r="H3" s="293">
        <f t="shared" ref="H3:H51" ca="1" si="2">RANDBETWEEN(1,20)</f>
        <v>19</v>
      </c>
      <c r="I3" s="66">
        <f t="shared" ref="I3:I5" ca="1" si="3">SUM(G3:H3)</f>
        <v>20</v>
      </c>
      <c r="J3" s="70" t="s">
        <v>394</v>
      </c>
    </row>
    <row r="4" spans="1:10" s="45" customFormat="1" ht="17.399999999999999" x14ac:dyDescent="0.35">
      <c r="A4" s="68" t="s">
        <v>53</v>
      </c>
      <c r="B4" s="62">
        <f>2+0</f>
        <v>2</v>
      </c>
      <c r="C4" s="63" t="s">
        <v>103</v>
      </c>
      <c r="D4" s="63" t="str">
        <f>VLOOKUP(C4,'Personal File'!$A$10:$C$15,3,FALSE)</f>
        <v>+2</v>
      </c>
      <c r="E4" s="69" t="str">
        <f t="shared" si="0"/>
        <v>Dex (+2)</v>
      </c>
      <c r="F4" s="289">
        <v>0</v>
      </c>
      <c r="G4" s="65">
        <f t="shared" si="1"/>
        <v>4</v>
      </c>
      <c r="H4" s="293">
        <f t="shared" ca="1" si="2"/>
        <v>12</v>
      </c>
      <c r="I4" s="66">
        <f t="shared" ca="1" si="3"/>
        <v>16</v>
      </c>
      <c r="J4" s="70" t="s">
        <v>393</v>
      </c>
    </row>
    <row r="5" spans="1:10" s="45" customFormat="1" ht="17.399999999999999" x14ac:dyDescent="0.35">
      <c r="A5" s="71" t="s">
        <v>54</v>
      </c>
      <c r="B5" s="72">
        <f>0+2</f>
        <v>2</v>
      </c>
      <c r="C5" s="73" t="s">
        <v>104</v>
      </c>
      <c r="D5" s="73">
        <f>VLOOKUP(C5,'Personal File'!$A$10:$C$15,3,FALSE)</f>
        <v>-1</v>
      </c>
      <c r="E5" s="74" t="str">
        <f t="shared" si="0"/>
        <v>Wis (-1)</v>
      </c>
      <c r="F5" s="73">
        <v>0</v>
      </c>
      <c r="G5" s="75">
        <f t="shared" si="1"/>
        <v>1</v>
      </c>
      <c r="H5" s="294">
        <f t="shared" ca="1" si="2"/>
        <v>11</v>
      </c>
      <c r="I5" s="76">
        <f t="shared" ca="1" si="3"/>
        <v>12</v>
      </c>
      <c r="J5" s="77" t="s">
        <v>393</v>
      </c>
    </row>
    <row r="6" spans="1:10" s="79" customFormat="1" ht="17.399999999999999" x14ac:dyDescent="0.35">
      <c r="A6" s="101" t="s">
        <v>25</v>
      </c>
      <c r="B6" s="85">
        <v>1</v>
      </c>
      <c r="C6" s="102" t="s">
        <v>105</v>
      </c>
      <c r="D6" s="103" t="str">
        <f>VLOOKUP(C6,'Personal File'!$A$10:$C$15,3,FALSE)</f>
        <v>+3</v>
      </c>
      <c r="E6" s="104" t="str">
        <f t="shared" si="0"/>
        <v>Int (+3)</v>
      </c>
      <c r="F6" s="323">
        <v>0</v>
      </c>
      <c r="G6" s="89">
        <f t="shared" ref="G6:G51" si="4">B6+D6+F6</f>
        <v>4</v>
      </c>
      <c r="H6" s="293">
        <f t="shared" ca="1" si="2"/>
        <v>15</v>
      </c>
      <c r="I6" s="89">
        <f t="shared" ref="I6:I51" ca="1" si="5">ROUNDDOWN(SUM(G6:H6),0)</f>
        <v>19</v>
      </c>
      <c r="J6" s="90"/>
    </row>
    <row r="7" spans="1:10" s="83" customFormat="1" ht="17.399999999999999" x14ac:dyDescent="0.35">
      <c r="A7" s="122" t="s">
        <v>26</v>
      </c>
      <c r="B7" s="85">
        <v>2</v>
      </c>
      <c r="C7" s="123" t="s">
        <v>103</v>
      </c>
      <c r="D7" s="124" t="str">
        <f>VLOOKUP(C7,'Personal File'!$A$10:$C$15,3,FALSE)</f>
        <v>+2</v>
      </c>
      <c r="E7" s="125" t="str">
        <f t="shared" si="0"/>
        <v>Dex (+2)</v>
      </c>
      <c r="F7" s="323">
        <f>SUM(Martial!$D$14:$D$15,2)</f>
        <v>2</v>
      </c>
      <c r="G7" s="89">
        <f t="shared" si="4"/>
        <v>6</v>
      </c>
      <c r="H7" s="293">
        <f t="shared" ca="1" si="2"/>
        <v>5</v>
      </c>
      <c r="I7" s="89">
        <f t="shared" ca="1" si="5"/>
        <v>11</v>
      </c>
      <c r="J7" s="90"/>
    </row>
    <row r="8" spans="1:10" s="91" customFormat="1" ht="17.399999999999999" x14ac:dyDescent="0.35">
      <c r="A8" s="84" t="s">
        <v>27</v>
      </c>
      <c r="B8" s="85">
        <v>5</v>
      </c>
      <c r="C8" s="86" t="s">
        <v>106</v>
      </c>
      <c r="D8" s="87" t="str">
        <f>VLOOKUP(C8,'Personal File'!$A$10:$C$15,3,FALSE)</f>
        <v>+1</v>
      </c>
      <c r="E8" s="88" t="str">
        <f t="shared" si="0"/>
        <v>Cha (+1)</v>
      </c>
      <c r="F8" s="323">
        <v>0</v>
      </c>
      <c r="G8" s="89">
        <f t="shared" si="4"/>
        <v>6</v>
      </c>
      <c r="H8" s="293">
        <f t="shared" ca="1" si="2"/>
        <v>16</v>
      </c>
      <c r="I8" s="89">
        <f t="shared" ca="1" si="5"/>
        <v>22</v>
      </c>
      <c r="J8" s="90"/>
    </row>
    <row r="9" spans="1:10" s="96" customFormat="1" ht="17.399999999999999" x14ac:dyDescent="0.35">
      <c r="A9" s="92" t="s">
        <v>28</v>
      </c>
      <c r="B9" s="63">
        <v>0</v>
      </c>
      <c r="C9" s="93" t="s">
        <v>107</v>
      </c>
      <c r="D9" s="94" t="str">
        <f>VLOOKUP(C9,'Personal File'!$A$10:$C$15,3,FALSE)</f>
        <v>+0</v>
      </c>
      <c r="E9" s="95" t="str">
        <f t="shared" si="0"/>
        <v>Str (+0)</v>
      </c>
      <c r="F9" s="322">
        <f>SUM(Martial!$D$14:$D$15)</f>
        <v>0</v>
      </c>
      <c r="G9" s="78">
        <f t="shared" si="4"/>
        <v>0</v>
      </c>
      <c r="H9" s="293">
        <f t="shared" ca="1" si="2"/>
        <v>16</v>
      </c>
      <c r="I9" s="78">
        <f t="shared" ca="1" si="5"/>
        <v>16</v>
      </c>
      <c r="J9" s="67"/>
    </row>
    <row r="10" spans="1:10" s="96" customFormat="1" ht="17.399999999999999" x14ac:dyDescent="0.35">
      <c r="A10" s="97" t="s">
        <v>7</v>
      </c>
      <c r="B10" s="63">
        <v>0</v>
      </c>
      <c r="C10" s="98" t="s">
        <v>102</v>
      </c>
      <c r="D10" s="99" t="str">
        <f>VLOOKUP(C10,'Personal File'!$A$10:$C$15,3,FALSE)</f>
        <v>+1</v>
      </c>
      <c r="E10" s="100" t="str">
        <f t="shared" si="0"/>
        <v>Con (+1)</v>
      </c>
      <c r="F10" s="322">
        <v>0</v>
      </c>
      <c r="G10" s="78">
        <f t="shared" si="4"/>
        <v>1</v>
      </c>
      <c r="H10" s="293">
        <f t="shared" ca="1" si="2"/>
        <v>20</v>
      </c>
      <c r="I10" s="78">
        <f t="shared" ca="1" si="5"/>
        <v>21</v>
      </c>
      <c r="J10" s="67"/>
    </row>
    <row r="11" spans="1:10" s="79" customFormat="1" ht="17.399999999999999" x14ac:dyDescent="0.35">
      <c r="A11" s="105" t="s">
        <v>158</v>
      </c>
      <c r="B11" s="106">
        <v>0</v>
      </c>
      <c r="C11" s="107" t="s">
        <v>105</v>
      </c>
      <c r="D11" s="108" t="str">
        <f>VLOOKUP(C11,'Personal File'!$A$10:$C$15,3,FALSE)</f>
        <v>+3</v>
      </c>
      <c r="E11" s="109" t="str">
        <f t="shared" si="0"/>
        <v>Int (+3)</v>
      </c>
      <c r="F11" s="324">
        <v>0</v>
      </c>
      <c r="G11" s="110">
        <f t="shared" ref="G11" si="6">B11+D11+F11</f>
        <v>3</v>
      </c>
      <c r="H11" s="293">
        <f t="shared" ca="1" si="2"/>
        <v>13</v>
      </c>
      <c r="I11" s="110">
        <f t="shared" ca="1" si="5"/>
        <v>16</v>
      </c>
      <c r="J11" s="111"/>
    </row>
    <row r="12" spans="1:10" s="112" customFormat="1" ht="17.399999999999999" x14ac:dyDescent="0.35">
      <c r="A12" s="105" t="s">
        <v>29</v>
      </c>
      <c r="B12" s="106">
        <v>1</v>
      </c>
      <c r="C12" s="107" t="s">
        <v>105</v>
      </c>
      <c r="D12" s="108" t="str">
        <f>VLOOKUP(C12,'Personal File'!$A$10:$C$15,3,FALSE)</f>
        <v>+3</v>
      </c>
      <c r="E12" s="109" t="str">
        <f t="shared" si="0"/>
        <v>Int (+3)</v>
      </c>
      <c r="F12" s="324">
        <v>0</v>
      </c>
      <c r="G12" s="110">
        <f t="shared" si="4"/>
        <v>4</v>
      </c>
      <c r="H12" s="293">
        <f t="shared" ca="1" si="2"/>
        <v>20</v>
      </c>
      <c r="I12" s="110">
        <f t="shared" ca="1" si="5"/>
        <v>24</v>
      </c>
      <c r="J12" s="111"/>
    </row>
    <row r="13" spans="1:10" s="83" customFormat="1" ht="17.399999999999999" x14ac:dyDescent="0.35">
      <c r="A13" s="84" t="s">
        <v>30</v>
      </c>
      <c r="B13" s="85">
        <v>3</v>
      </c>
      <c r="C13" s="86" t="s">
        <v>106</v>
      </c>
      <c r="D13" s="87" t="str">
        <f>VLOOKUP(C13,'Personal File'!$A$10:$C$15,3,FALSE)</f>
        <v>+1</v>
      </c>
      <c r="E13" s="88" t="str">
        <f t="shared" si="0"/>
        <v>Cha (+1)</v>
      </c>
      <c r="F13" s="323">
        <f>2+1+2</f>
        <v>5</v>
      </c>
      <c r="G13" s="89">
        <f t="shared" si="4"/>
        <v>9</v>
      </c>
      <c r="H13" s="293">
        <f t="shared" ca="1" si="2"/>
        <v>16</v>
      </c>
      <c r="I13" s="89">
        <f t="shared" ca="1" si="5"/>
        <v>25</v>
      </c>
      <c r="J13" s="90"/>
    </row>
    <row r="14" spans="1:10" s="83" customFormat="1" ht="17.399999999999999" x14ac:dyDescent="0.35">
      <c r="A14" s="101" t="s">
        <v>31</v>
      </c>
      <c r="B14" s="85">
        <v>3</v>
      </c>
      <c r="C14" s="102" t="s">
        <v>105</v>
      </c>
      <c r="D14" s="103" t="str">
        <f>VLOOKUP(C14,'Personal File'!$A$10:$C$15,3,FALSE)</f>
        <v>+3</v>
      </c>
      <c r="E14" s="104" t="str">
        <f t="shared" si="0"/>
        <v>Int (+3)</v>
      </c>
      <c r="F14" s="323">
        <v>2</v>
      </c>
      <c r="G14" s="89">
        <f t="shared" si="4"/>
        <v>8</v>
      </c>
      <c r="H14" s="293">
        <f t="shared" ca="1" si="2"/>
        <v>4</v>
      </c>
      <c r="I14" s="89">
        <f t="shared" ca="1" si="5"/>
        <v>12</v>
      </c>
      <c r="J14" s="90"/>
    </row>
    <row r="15" spans="1:10" s="83" customFormat="1" ht="17.399999999999999" x14ac:dyDescent="0.35">
      <c r="A15" s="113" t="s">
        <v>32</v>
      </c>
      <c r="B15" s="63">
        <v>0</v>
      </c>
      <c r="C15" s="114" t="s">
        <v>106</v>
      </c>
      <c r="D15" s="115" t="str">
        <f>VLOOKUP(C15,'Personal File'!$A$10:$C$15,3,FALSE)</f>
        <v>+1</v>
      </c>
      <c r="E15" s="116" t="str">
        <f t="shared" si="0"/>
        <v>Cha (+1)</v>
      </c>
      <c r="F15" s="322">
        <v>0</v>
      </c>
      <c r="G15" s="78">
        <f t="shared" si="4"/>
        <v>1</v>
      </c>
      <c r="H15" s="293">
        <f t="shared" ca="1" si="2"/>
        <v>16</v>
      </c>
      <c r="I15" s="78">
        <f t="shared" ca="1" si="5"/>
        <v>17</v>
      </c>
      <c r="J15" s="70"/>
    </row>
    <row r="16" spans="1:10" s="83" customFormat="1" ht="17.399999999999999" x14ac:dyDescent="0.35">
      <c r="A16" s="122" t="s">
        <v>33</v>
      </c>
      <c r="B16" s="85">
        <v>1</v>
      </c>
      <c r="C16" s="123" t="s">
        <v>103</v>
      </c>
      <c r="D16" s="124" t="str">
        <f>VLOOKUP(C16,'Personal File'!$A$10:$C$15,3,FALSE)</f>
        <v>+2</v>
      </c>
      <c r="E16" s="125" t="str">
        <f t="shared" si="0"/>
        <v>Dex (+2)</v>
      </c>
      <c r="F16" s="323">
        <f>SUM(Martial!$D$14:$D$15)</f>
        <v>0</v>
      </c>
      <c r="G16" s="89">
        <f t="shared" si="4"/>
        <v>3</v>
      </c>
      <c r="H16" s="293">
        <f t="shared" ca="1" si="2"/>
        <v>7</v>
      </c>
      <c r="I16" s="89">
        <f t="shared" ca="1" si="5"/>
        <v>10</v>
      </c>
      <c r="J16" s="90"/>
    </row>
    <row r="17" spans="1:10" s="83" customFormat="1" ht="17.399999999999999" x14ac:dyDescent="0.35">
      <c r="A17" s="101" t="s">
        <v>34</v>
      </c>
      <c r="B17" s="85">
        <v>1</v>
      </c>
      <c r="C17" s="102" t="s">
        <v>105</v>
      </c>
      <c r="D17" s="103" t="str">
        <f>VLOOKUP(C17,'Personal File'!$A$10:$C$15,3,FALSE)</f>
        <v>+3</v>
      </c>
      <c r="E17" s="104" t="str">
        <f t="shared" si="0"/>
        <v>Int (+3)</v>
      </c>
      <c r="F17" s="323">
        <v>0</v>
      </c>
      <c r="G17" s="89">
        <f t="shared" si="4"/>
        <v>4</v>
      </c>
      <c r="H17" s="293">
        <f t="shared" ca="1" si="2"/>
        <v>13</v>
      </c>
      <c r="I17" s="89">
        <f t="shared" ca="1" si="5"/>
        <v>17</v>
      </c>
      <c r="J17" s="90"/>
    </row>
    <row r="18" spans="1:10" s="83" customFormat="1" ht="17.399999999999999" x14ac:dyDescent="0.35">
      <c r="A18" s="84" t="s">
        <v>35</v>
      </c>
      <c r="B18" s="85">
        <v>1</v>
      </c>
      <c r="C18" s="86" t="s">
        <v>106</v>
      </c>
      <c r="D18" s="87" t="str">
        <f>VLOOKUP(C18,'Personal File'!$A$10:$C$15,3,FALSE)</f>
        <v>+1</v>
      </c>
      <c r="E18" s="88" t="str">
        <f t="shared" si="0"/>
        <v>Cha (+1)</v>
      </c>
      <c r="F18" s="323">
        <v>0</v>
      </c>
      <c r="G18" s="89">
        <f t="shared" si="4"/>
        <v>2</v>
      </c>
      <c r="H18" s="293">
        <f t="shared" ca="1" si="2"/>
        <v>17</v>
      </c>
      <c r="I18" s="89">
        <f t="shared" ca="1" si="5"/>
        <v>19</v>
      </c>
      <c r="J18" s="90"/>
    </row>
    <row r="19" spans="1:10" s="83" customFormat="1" ht="17.399999999999999" x14ac:dyDescent="0.35">
      <c r="A19" s="113" t="s">
        <v>9</v>
      </c>
      <c r="B19" s="63">
        <v>0</v>
      </c>
      <c r="C19" s="114" t="s">
        <v>106</v>
      </c>
      <c r="D19" s="115" t="str">
        <f>VLOOKUP(C19,'Personal File'!$A$10:$C$15,3,FALSE)</f>
        <v>+1</v>
      </c>
      <c r="E19" s="116" t="str">
        <f t="shared" si="0"/>
        <v>Cha (+1)</v>
      </c>
      <c r="F19" s="322">
        <v>0</v>
      </c>
      <c r="G19" s="78">
        <f t="shared" si="4"/>
        <v>1</v>
      </c>
      <c r="H19" s="293">
        <f t="shared" ca="1" si="2"/>
        <v>17</v>
      </c>
      <c r="I19" s="78">
        <f t="shared" ca="1" si="5"/>
        <v>18</v>
      </c>
      <c r="J19" s="67"/>
    </row>
    <row r="20" spans="1:10" s="83" customFormat="1" ht="17.399999999999999" x14ac:dyDescent="0.35">
      <c r="A20" s="118" t="s">
        <v>36</v>
      </c>
      <c r="B20" s="63">
        <v>0</v>
      </c>
      <c r="C20" s="119" t="s">
        <v>104</v>
      </c>
      <c r="D20" s="120">
        <f>VLOOKUP(C20,'Personal File'!$A$10:$C$15,3,FALSE)</f>
        <v>-1</v>
      </c>
      <c r="E20" s="121" t="str">
        <f t="shared" si="0"/>
        <v>Wis (-1)</v>
      </c>
      <c r="F20" s="322">
        <v>0</v>
      </c>
      <c r="G20" s="78">
        <f t="shared" si="4"/>
        <v>-1</v>
      </c>
      <c r="H20" s="293">
        <f t="shared" ca="1" si="2"/>
        <v>2</v>
      </c>
      <c r="I20" s="78">
        <f t="shared" ca="1" si="5"/>
        <v>1</v>
      </c>
      <c r="J20" s="67"/>
    </row>
    <row r="21" spans="1:10" s="83" customFormat="1" ht="17.399999999999999" x14ac:dyDescent="0.35">
      <c r="A21" s="122" t="s">
        <v>37</v>
      </c>
      <c r="B21" s="85">
        <v>3</v>
      </c>
      <c r="C21" s="123" t="s">
        <v>103</v>
      </c>
      <c r="D21" s="124" t="str">
        <f>VLOOKUP(C21,'Personal File'!$A$10:$C$15,3,FALSE)</f>
        <v>+2</v>
      </c>
      <c r="E21" s="125" t="str">
        <f t="shared" si="0"/>
        <v>Dex (+2)</v>
      </c>
      <c r="F21" s="323">
        <v>0</v>
      </c>
      <c r="G21" s="89">
        <f t="shared" si="4"/>
        <v>5</v>
      </c>
      <c r="H21" s="293">
        <f t="shared" ca="1" si="2"/>
        <v>18</v>
      </c>
      <c r="I21" s="89">
        <f t="shared" ca="1" si="5"/>
        <v>23</v>
      </c>
      <c r="J21" s="117"/>
    </row>
    <row r="22" spans="1:10" s="83" customFormat="1" ht="17.399999999999999" x14ac:dyDescent="0.35">
      <c r="A22" s="113" t="s">
        <v>38</v>
      </c>
      <c r="B22" s="63">
        <v>0</v>
      </c>
      <c r="C22" s="114" t="s">
        <v>106</v>
      </c>
      <c r="D22" s="115" t="str">
        <f>VLOOKUP(C22,'Personal File'!$A$10:$C$15,3,FALSE)</f>
        <v>+1</v>
      </c>
      <c r="E22" s="116" t="str">
        <f t="shared" si="0"/>
        <v>Cha (+1)</v>
      </c>
      <c r="F22" s="322">
        <f>-2+2</f>
        <v>0</v>
      </c>
      <c r="G22" s="78">
        <f t="shared" si="4"/>
        <v>1</v>
      </c>
      <c r="H22" s="293">
        <f t="shared" ca="1" si="2"/>
        <v>4</v>
      </c>
      <c r="I22" s="78">
        <f t="shared" ca="1" si="5"/>
        <v>5</v>
      </c>
      <c r="J22" s="67"/>
    </row>
    <row r="23" spans="1:10" s="83" customFormat="1" ht="17.399999999999999" x14ac:dyDescent="0.35">
      <c r="A23" s="338" t="s">
        <v>39</v>
      </c>
      <c r="B23" s="85">
        <v>1</v>
      </c>
      <c r="C23" s="339" t="s">
        <v>107</v>
      </c>
      <c r="D23" s="340" t="str">
        <f>VLOOKUP(C23,'Personal File'!$A$10:$C$15,3,FALSE)</f>
        <v>+0</v>
      </c>
      <c r="E23" s="341" t="str">
        <f t="shared" si="0"/>
        <v>Str (+0)</v>
      </c>
      <c r="F23" s="323">
        <f>SUM(Martial!$D$14:$D$15,2)</f>
        <v>2</v>
      </c>
      <c r="G23" s="89">
        <f t="shared" si="4"/>
        <v>3</v>
      </c>
      <c r="H23" s="293">
        <f t="shared" ca="1" si="2"/>
        <v>10</v>
      </c>
      <c r="I23" s="89">
        <f t="shared" ca="1" si="5"/>
        <v>13</v>
      </c>
      <c r="J23" s="90"/>
    </row>
    <row r="24" spans="1:10" s="83" customFormat="1" ht="17.399999999999999" x14ac:dyDescent="0.35">
      <c r="A24" s="296" t="s">
        <v>148</v>
      </c>
      <c r="B24" s="85">
        <v>2</v>
      </c>
      <c r="C24" s="102" t="s">
        <v>105</v>
      </c>
      <c r="D24" s="103" t="str">
        <f>VLOOKUP(C24,'Personal File'!$A$10:$C$15,3,FALSE)</f>
        <v>+3</v>
      </c>
      <c r="E24" s="104" t="str">
        <f t="shared" si="0"/>
        <v>Int (+3)</v>
      </c>
      <c r="F24" s="323">
        <f>1</f>
        <v>1</v>
      </c>
      <c r="G24" s="89">
        <f t="shared" si="4"/>
        <v>6</v>
      </c>
      <c r="H24" s="293">
        <f t="shared" ca="1" si="2"/>
        <v>14</v>
      </c>
      <c r="I24" s="89">
        <f t="shared" ca="1" si="5"/>
        <v>20</v>
      </c>
      <c r="J24" s="90"/>
    </row>
    <row r="25" spans="1:10" s="83" customFormat="1" ht="17.399999999999999" x14ac:dyDescent="0.35">
      <c r="A25" s="296" t="s">
        <v>149</v>
      </c>
      <c r="B25" s="85">
        <v>0</v>
      </c>
      <c r="C25" s="102" t="s">
        <v>105</v>
      </c>
      <c r="D25" s="103" t="str">
        <f>VLOOKUP(C25,'Personal File'!$A$10:$C$15,3,FALSE)</f>
        <v>+3</v>
      </c>
      <c r="E25" s="104" t="str">
        <f t="shared" ref="E25:E34" si="7">CONCATENATE(LEFT(C25,3)," (",D25,")")</f>
        <v>Int (+3)</v>
      </c>
      <c r="F25" s="323">
        <f>1+0.5</f>
        <v>1.5</v>
      </c>
      <c r="G25" s="89">
        <f t="shared" ref="G25:G34" si="8">B25+D25+F25</f>
        <v>4.5</v>
      </c>
      <c r="H25" s="293">
        <f t="shared" ca="1" si="2"/>
        <v>2</v>
      </c>
      <c r="I25" s="89">
        <f t="shared" ca="1" si="5"/>
        <v>6</v>
      </c>
      <c r="J25" s="90"/>
    </row>
    <row r="26" spans="1:10" s="83" customFormat="1" ht="17.399999999999999" x14ac:dyDescent="0.35">
      <c r="A26" s="296" t="s">
        <v>150</v>
      </c>
      <c r="B26" s="85">
        <v>0</v>
      </c>
      <c r="C26" s="102" t="s">
        <v>105</v>
      </c>
      <c r="D26" s="103" t="str">
        <f>VLOOKUP(C26,'Personal File'!$A$10:$C$15,3,FALSE)</f>
        <v>+3</v>
      </c>
      <c r="E26" s="104" t="str">
        <f t="shared" si="7"/>
        <v>Int (+3)</v>
      </c>
      <c r="F26" s="323">
        <f t="shared" ref="F26:F28" si="9">1+0.5</f>
        <v>1.5</v>
      </c>
      <c r="G26" s="89">
        <f t="shared" si="8"/>
        <v>4.5</v>
      </c>
      <c r="H26" s="293">
        <f t="shared" ca="1" si="2"/>
        <v>9</v>
      </c>
      <c r="I26" s="89">
        <f t="shared" ca="1" si="5"/>
        <v>13</v>
      </c>
      <c r="J26" s="90"/>
    </row>
    <row r="27" spans="1:10" s="83" customFormat="1" ht="17.399999999999999" x14ac:dyDescent="0.35">
      <c r="A27" s="296" t="s">
        <v>213</v>
      </c>
      <c r="B27" s="85">
        <v>0</v>
      </c>
      <c r="C27" s="102" t="s">
        <v>105</v>
      </c>
      <c r="D27" s="103" t="str">
        <f>VLOOKUP(C27,'Personal File'!$A$10:$C$15,3,FALSE)</f>
        <v>+3</v>
      </c>
      <c r="E27" s="104" t="str">
        <f t="shared" ref="E27" si="10">CONCATENATE(LEFT(C27,3)," (",D27,")")</f>
        <v>Int (+3)</v>
      </c>
      <c r="F27" s="323">
        <f t="shared" si="9"/>
        <v>1.5</v>
      </c>
      <c r="G27" s="89">
        <f t="shared" ref="G27" si="11">B27+D27+F27</f>
        <v>4.5</v>
      </c>
      <c r="H27" s="293">
        <f t="shared" ca="1" si="2"/>
        <v>17</v>
      </c>
      <c r="I27" s="89">
        <f t="shared" ref="I27" ca="1" si="12">ROUNDDOWN(SUM(G27:H27),0)</f>
        <v>21</v>
      </c>
      <c r="J27" s="117" t="s">
        <v>208</v>
      </c>
    </row>
    <row r="28" spans="1:10" s="83" customFormat="1" ht="17.399999999999999" x14ac:dyDescent="0.35">
      <c r="A28" s="296" t="s">
        <v>151</v>
      </c>
      <c r="B28" s="85">
        <v>0</v>
      </c>
      <c r="C28" s="102" t="s">
        <v>105</v>
      </c>
      <c r="D28" s="103" t="str">
        <f>VLOOKUP(C28,'Personal File'!$A$10:$C$15,3,FALSE)</f>
        <v>+3</v>
      </c>
      <c r="E28" s="104" t="str">
        <f t="shared" si="7"/>
        <v>Int (+3)</v>
      </c>
      <c r="F28" s="323">
        <f t="shared" si="9"/>
        <v>1.5</v>
      </c>
      <c r="G28" s="89">
        <f t="shared" si="8"/>
        <v>4.5</v>
      </c>
      <c r="H28" s="293">
        <f t="shared" ca="1" si="2"/>
        <v>13</v>
      </c>
      <c r="I28" s="89">
        <f t="shared" ca="1" si="5"/>
        <v>17</v>
      </c>
      <c r="J28" s="117" t="s">
        <v>208</v>
      </c>
    </row>
    <row r="29" spans="1:10" s="83" customFormat="1" ht="17.399999999999999" x14ac:dyDescent="0.35">
      <c r="A29" s="296" t="s">
        <v>212</v>
      </c>
      <c r="B29" s="85">
        <v>1</v>
      </c>
      <c r="C29" s="102" t="s">
        <v>105</v>
      </c>
      <c r="D29" s="103" t="str">
        <f>VLOOKUP(C29,'Personal File'!$A$10:$C$15,3,FALSE)</f>
        <v>+3</v>
      </c>
      <c r="E29" s="104" t="str">
        <f t="shared" ref="E29" si="13">CONCATENATE(LEFT(C29,3)," (",D29,")")</f>
        <v>Int (+3)</v>
      </c>
      <c r="F29" s="323">
        <f>1</f>
        <v>1</v>
      </c>
      <c r="G29" s="89">
        <f t="shared" ref="G29" si="14">B29+D29+F29</f>
        <v>5</v>
      </c>
      <c r="H29" s="293">
        <f t="shared" ca="1" si="2"/>
        <v>18</v>
      </c>
      <c r="I29" s="89">
        <f t="shared" ca="1" si="5"/>
        <v>23</v>
      </c>
      <c r="J29" s="117"/>
    </row>
    <row r="30" spans="1:10" s="83" customFormat="1" ht="17.399999999999999" x14ac:dyDescent="0.35">
      <c r="A30" s="296" t="s">
        <v>214</v>
      </c>
      <c r="B30" s="85">
        <v>1</v>
      </c>
      <c r="C30" s="102" t="s">
        <v>105</v>
      </c>
      <c r="D30" s="103" t="str">
        <f>VLOOKUP(C30,'Personal File'!$A$10:$C$15,3,FALSE)</f>
        <v>+3</v>
      </c>
      <c r="E30" s="104" t="str">
        <f t="shared" ref="E30" si="15">CONCATENATE(LEFT(C30,3)," (",D30,")")</f>
        <v>Int (+3)</v>
      </c>
      <c r="F30" s="323">
        <f>1</f>
        <v>1</v>
      </c>
      <c r="G30" s="89">
        <f t="shared" ref="G30" si="16">B30+D30+F30</f>
        <v>5</v>
      </c>
      <c r="H30" s="293">
        <f t="shared" ca="1" si="2"/>
        <v>3</v>
      </c>
      <c r="I30" s="89">
        <f t="shared" ref="I30" ca="1" si="17">ROUNDDOWN(SUM(G30:H30),0)</f>
        <v>8</v>
      </c>
      <c r="J30" s="117"/>
    </row>
    <row r="31" spans="1:10" s="83" customFormat="1" ht="17.399999999999999" x14ac:dyDescent="0.35">
      <c r="A31" s="296" t="s">
        <v>152</v>
      </c>
      <c r="B31" s="85">
        <v>0</v>
      </c>
      <c r="C31" s="102" t="s">
        <v>105</v>
      </c>
      <c r="D31" s="103" t="str">
        <f>VLOOKUP(C31,'Personal File'!$A$10:$C$15,3,FALSE)</f>
        <v>+3</v>
      </c>
      <c r="E31" s="104" t="str">
        <f t="shared" si="7"/>
        <v>Int (+3)</v>
      </c>
      <c r="F31" s="323">
        <f t="shared" ref="F31:F34" si="18">1+0.5</f>
        <v>1.5</v>
      </c>
      <c r="G31" s="89">
        <f t="shared" si="8"/>
        <v>4.5</v>
      </c>
      <c r="H31" s="293">
        <f t="shared" ca="1" si="2"/>
        <v>6</v>
      </c>
      <c r="I31" s="89">
        <f t="shared" ca="1" si="5"/>
        <v>10</v>
      </c>
      <c r="J31" s="117" t="s">
        <v>209</v>
      </c>
    </row>
    <row r="32" spans="1:10" s="83" customFormat="1" ht="17.399999999999999" x14ac:dyDescent="0.35">
      <c r="A32" s="296" t="s">
        <v>153</v>
      </c>
      <c r="B32" s="85">
        <v>0</v>
      </c>
      <c r="C32" s="102" t="s">
        <v>105</v>
      </c>
      <c r="D32" s="103" t="str">
        <f>VLOOKUP(C32,'Personal File'!$A$10:$C$15,3,FALSE)</f>
        <v>+3</v>
      </c>
      <c r="E32" s="104" t="str">
        <f t="shared" si="7"/>
        <v>Int (+3)</v>
      </c>
      <c r="F32" s="323">
        <f t="shared" si="18"/>
        <v>1.5</v>
      </c>
      <c r="G32" s="89">
        <f t="shared" si="8"/>
        <v>4.5</v>
      </c>
      <c r="H32" s="293">
        <f t="shared" ca="1" si="2"/>
        <v>1</v>
      </c>
      <c r="I32" s="89">
        <f t="shared" ca="1" si="5"/>
        <v>5</v>
      </c>
      <c r="J32" s="117" t="s">
        <v>208</v>
      </c>
    </row>
    <row r="33" spans="1:10" s="83" customFormat="1" ht="17.399999999999999" x14ac:dyDescent="0.35">
      <c r="A33" s="296" t="s">
        <v>154</v>
      </c>
      <c r="B33" s="85">
        <v>0</v>
      </c>
      <c r="C33" s="102" t="s">
        <v>105</v>
      </c>
      <c r="D33" s="103" t="str">
        <f>VLOOKUP(C33,'Personal File'!$A$10:$C$15,3,FALSE)</f>
        <v>+3</v>
      </c>
      <c r="E33" s="104" t="str">
        <f t="shared" si="7"/>
        <v>Int (+3)</v>
      </c>
      <c r="F33" s="323">
        <f t="shared" si="18"/>
        <v>1.5</v>
      </c>
      <c r="G33" s="89">
        <f t="shared" si="8"/>
        <v>4.5</v>
      </c>
      <c r="H33" s="293">
        <f t="shared" ca="1" si="2"/>
        <v>12</v>
      </c>
      <c r="I33" s="89">
        <f t="shared" ca="1" si="5"/>
        <v>16</v>
      </c>
      <c r="J33" s="90"/>
    </row>
    <row r="34" spans="1:10" s="83" customFormat="1" ht="17.399999999999999" x14ac:dyDescent="0.35">
      <c r="A34" s="296" t="s">
        <v>155</v>
      </c>
      <c r="B34" s="85">
        <v>0</v>
      </c>
      <c r="C34" s="102" t="s">
        <v>105</v>
      </c>
      <c r="D34" s="103" t="str">
        <f>VLOOKUP(C34,'Personal File'!$A$10:$C$15,3,FALSE)</f>
        <v>+3</v>
      </c>
      <c r="E34" s="104" t="str">
        <f t="shared" si="7"/>
        <v>Int (+3)</v>
      </c>
      <c r="F34" s="323">
        <f t="shared" si="18"/>
        <v>1.5</v>
      </c>
      <c r="G34" s="89">
        <f t="shared" si="8"/>
        <v>4.5</v>
      </c>
      <c r="H34" s="293">
        <f t="shared" ca="1" si="2"/>
        <v>12</v>
      </c>
      <c r="I34" s="89">
        <f t="shared" ca="1" si="5"/>
        <v>16</v>
      </c>
      <c r="J34" s="117" t="s">
        <v>209</v>
      </c>
    </row>
    <row r="35" spans="1:10" s="83" customFormat="1" ht="17.399999999999999" x14ac:dyDescent="0.35">
      <c r="A35" s="126" t="s">
        <v>40</v>
      </c>
      <c r="B35" s="85">
        <v>2</v>
      </c>
      <c r="C35" s="127" t="s">
        <v>104</v>
      </c>
      <c r="D35" s="128">
        <f>VLOOKUP(C35,'Personal File'!$A$10:$C$15,3,FALSE)</f>
        <v>-1</v>
      </c>
      <c r="E35" s="129" t="str">
        <f t="shared" si="0"/>
        <v>Wis (-1)</v>
      </c>
      <c r="F35" s="323">
        <f>-1</f>
        <v>-1</v>
      </c>
      <c r="G35" s="89">
        <f t="shared" si="4"/>
        <v>0</v>
      </c>
      <c r="H35" s="293">
        <f t="shared" ca="1" si="2"/>
        <v>20</v>
      </c>
      <c r="I35" s="89">
        <f t="shared" ca="1" si="5"/>
        <v>20</v>
      </c>
      <c r="J35" s="90"/>
    </row>
    <row r="36" spans="1:10" s="83" customFormat="1" ht="17.399999999999999" x14ac:dyDescent="0.35">
      <c r="A36" s="122" t="s">
        <v>10</v>
      </c>
      <c r="B36" s="85">
        <v>3</v>
      </c>
      <c r="C36" s="123" t="s">
        <v>103</v>
      </c>
      <c r="D36" s="124" t="str">
        <f>VLOOKUP(C36,'Personal File'!$A$10:$C$15,3,FALSE)</f>
        <v>+2</v>
      </c>
      <c r="E36" s="125" t="str">
        <f t="shared" si="0"/>
        <v>Dex (+2)</v>
      </c>
      <c r="F36" s="323">
        <f>SUM(Martial!$D$14:$D$15)</f>
        <v>0</v>
      </c>
      <c r="G36" s="89">
        <f t="shared" si="4"/>
        <v>5</v>
      </c>
      <c r="H36" s="293">
        <f t="shared" ca="1" si="2"/>
        <v>9</v>
      </c>
      <c r="I36" s="89">
        <f t="shared" ca="1" si="5"/>
        <v>14</v>
      </c>
      <c r="J36" s="90"/>
    </row>
    <row r="37" spans="1:10" s="83" customFormat="1" ht="17.399999999999999" x14ac:dyDescent="0.35">
      <c r="A37" s="122" t="s">
        <v>41</v>
      </c>
      <c r="B37" s="85">
        <v>3</v>
      </c>
      <c r="C37" s="123" t="s">
        <v>103</v>
      </c>
      <c r="D37" s="124" t="str">
        <f>VLOOKUP(C37,'Personal File'!$A$10:$C$15,3,FALSE)</f>
        <v>+2</v>
      </c>
      <c r="E37" s="125" t="str">
        <f t="shared" si="0"/>
        <v>Dex (+2)</v>
      </c>
      <c r="F37" s="323">
        <v>2</v>
      </c>
      <c r="G37" s="89">
        <f t="shared" si="4"/>
        <v>7</v>
      </c>
      <c r="H37" s="293">
        <f t="shared" ca="1" si="2"/>
        <v>4</v>
      </c>
      <c r="I37" s="89">
        <f t="shared" ca="1" si="5"/>
        <v>11</v>
      </c>
      <c r="J37" s="90"/>
    </row>
    <row r="38" spans="1:10" ht="17.399999999999999" x14ac:dyDescent="0.35">
      <c r="A38" s="84" t="s">
        <v>156</v>
      </c>
      <c r="B38" s="85">
        <v>1</v>
      </c>
      <c r="C38" s="86" t="s">
        <v>106</v>
      </c>
      <c r="D38" s="87" t="str">
        <f>VLOOKUP(C38,'Personal File'!$A$10:$C$15,3,FALSE)</f>
        <v>+1</v>
      </c>
      <c r="E38" s="88" t="str">
        <f t="shared" si="0"/>
        <v>Cha (+1)</v>
      </c>
      <c r="F38" s="323">
        <v>0</v>
      </c>
      <c r="G38" s="89">
        <f t="shared" si="4"/>
        <v>2</v>
      </c>
      <c r="H38" s="293">
        <f t="shared" ca="1" si="2"/>
        <v>14</v>
      </c>
      <c r="I38" s="89">
        <f t="shared" ca="1" si="5"/>
        <v>16</v>
      </c>
      <c r="J38" s="90"/>
    </row>
    <row r="39" spans="1:10" ht="17.399999999999999" x14ac:dyDescent="0.35">
      <c r="A39" s="130" t="s">
        <v>157</v>
      </c>
      <c r="B39" s="106">
        <v>0</v>
      </c>
      <c r="C39" s="131" t="s">
        <v>104</v>
      </c>
      <c r="D39" s="132">
        <f>VLOOKUP(C39,'Personal File'!$A$10:$C$15,3,FALSE)</f>
        <v>-1</v>
      </c>
      <c r="E39" s="133" t="str">
        <f t="shared" si="0"/>
        <v>Wis (-1)</v>
      </c>
      <c r="F39" s="324">
        <v>0</v>
      </c>
      <c r="G39" s="110">
        <f t="shared" si="4"/>
        <v>-1</v>
      </c>
      <c r="H39" s="293">
        <f t="shared" ca="1" si="2"/>
        <v>15</v>
      </c>
      <c r="I39" s="110">
        <f t="shared" ca="1" si="5"/>
        <v>14</v>
      </c>
      <c r="J39" s="111"/>
    </row>
    <row r="40" spans="1:10" ht="17.399999999999999" x14ac:dyDescent="0.35">
      <c r="A40" s="80" t="s">
        <v>11</v>
      </c>
      <c r="B40" s="63">
        <v>0</v>
      </c>
      <c r="C40" s="81" t="s">
        <v>103</v>
      </c>
      <c r="D40" s="82" t="str">
        <f>VLOOKUP(C40,'Personal File'!$A$10:$C$15,3,FALSE)</f>
        <v>+2</v>
      </c>
      <c r="E40" s="69" t="str">
        <f t="shared" si="0"/>
        <v>Dex (+2)</v>
      </c>
      <c r="F40" s="322">
        <v>0</v>
      </c>
      <c r="G40" s="78">
        <f t="shared" si="4"/>
        <v>2</v>
      </c>
      <c r="H40" s="293">
        <f t="shared" ca="1" si="2"/>
        <v>9</v>
      </c>
      <c r="I40" s="78">
        <f t="shared" ca="1" si="5"/>
        <v>11</v>
      </c>
      <c r="J40" s="67"/>
    </row>
    <row r="41" spans="1:10" ht="17.399999999999999" x14ac:dyDescent="0.35">
      <c r="A41" s="101" t="s">
        <v>12</v>
      </c>
      <c r="B41" s="85">
        <v>3</v>
      </c>
      <c r="C41" s="102" t="s">
        <v>105</v>
      </c>
      <c r="D41" s="103" t="str">
        <f>VLOOKUP(C41,'Personal File'!$A$10:$C$15,3,FALSE)</f>
        <v>+3</v>
      </c>
      <c r="E41" s="104" t="str">
        <f t="shared" si="0"/>
        <v>Int (+3)</v>
      </c>
      <c r="F41" s="323">
        <v>0</v>
      </c>
      <c r="G41" s="89">
        <f t="shared" si="4"/>
        <v>6</v>
      </c>
      <c r="H41" s="293">
        <f t="shared" ca="1" si="2"/>
        <v>14</v>
      </c>
      <c r="I41" s="89">
        <f t="shared" ca="1" si="5"/>
        <v>20</v>
      </c>
      <c r="J41" s="117"/>
    </row>
    <row r="42" spans="1:10" ht="17.399999999999999" x14ac:dyDescent="0.35">
      <c r="A42" s="126" t="s">
        <v>42</v>
      </c>
      <c r="B42" s="85">
        <v>2</v>
      </c>
      <c r="C42" s="127" t="s">
        <v>104</v>
      </c>
      <c r="D42" s="128">
        <f>VLOOKUP(C42,'Personal File'!$A$10:$C$15,3,FALSE)</f>
        <v>-1</v>
      </c>
      <c r="E42" s="129" t="str">
        <f t="shared" si="0"/>
        <v>Wis (-1)</v>
      </c>
      <c r="F42" s="323">
        <v>2</v>
      </c>
      <c r="G42" s="89">
        <f t="shared" si="4"/>
        <v>3</v>
      </c>
      <c r="H42" s="293">
        <f t="shared" ca="1" si="2"/>
        <v>4</v>
      </c>
      <c r="I42" s="89">
        <f t="shared" ca="1" si="5"/>
        <v>7</v>
      </c>
      <c r="J42" s="90"/>
    </row>
    <row r="43" spans="1:10" ht="17.399999999999999" x14ac:dyDescent="0.35">
      <c r="A43" s="122" t="s">
        <v>66</v>
      </c>
      <c r="B43" s="85">
        <v>1</v>
      </c>
      <c r="C43" s="123" t="s">
        <v>103</v>
      </c>
      <c r="D43" s="124" t="str">
        <f>VLOOKUP(C43,'Personal File'!$A$10:$C$15,3,FALSE)</f>
        <v>+2</v>
      </c>
      <c r="E43" s="125" t="str">
        <f t="shared" si="0"/>
        <v>Dex (+2)</v>
      </c>
      <c r="F43" s="323">
        <f>SUM(Martial!$D$14:$D$15)</f>
        <v>0</v>
      </c>
      <c r="G43" s="89">
        <f t="shared" si="4"/>
        <v>3</v>
      </c>
      <c r="H43" s="293">
        <f t="shared" ca="1" si="2"/>
        <v>8</v>
      </c>
      <c r="I43" s="89">
        <f t="shared" ca="1" si="5"/>
        <v>11</v>
      </c>
      <c r="J43" s="90"/>
    </row>
    <row r="44" spans="1:10" ht="17.399999999999999" x14ac:dyDescent="0.35">
      <c r="A44" s="105" t="s">
        <v>65</v>
      </c>
      <c r="B44" s="106">
        <v>0</v>
      </c>
      <c r="C44" s="107" t="s">
        <v>105</v>
      </c>
      <c r="D44" s="108" t="str">
        <f>VLOOKUP(C44,'Personal File'!$A$10:$C$15,3,FALSE)</f>
        <v>+3</v>
      </c>
      <c r="E44" s="109" t="str">
        <f t="shared" si="0"/>
        <v>Int (+3)</v>
      </c>
      <c r="F44" s="324">
        <v>0</v>
      </c>
      <c r="G44" s="110">
        <f t="shared" si="4"/>
        <v>3</v>
      </c>
      <c r="H44" s="293">
        <f t="shared" ca="1" si="2"/>
        <v>16</v>
      </c>
      <c r="I44" s="110">
        <f t="shared" ca="1" si="5"/>
        <v>19</v>
      </c>
      <c r="J44" s="134"/>
    </row>
    <row r="45" spans="1:10" ht="17.399999999999999" x14ac:dyDescent="0.35">
      <c r="A45" s="101" t="s">
        <v>43</v>
      </c>
      <c r="B45" s="85">
        <v>2</v>
      </c>
      <c r="C45" s="102" t="s">
        <v>105</v>
      </c>
      <c r="D45" s="103" t="str">
        <f>VLOOKUP(C45,'Personal File'!$A$10:$C$15,3,FALSE)</f>
        <v>+3</v>
      </c>
      <c r="E45" s="104" t="str">
        <f t="shared" si="0"/>
        <v>Int (+3)</v>
      </c>
      <c r="F45" s="323">
        <v>2</v>
      </c>
      <c r="G45" s="89">
        <f t="shared" si="4"/>
        <v>7</v>
      </c>
      <c r="H45" s="293">
        <f t="shared" ca="1" si="2"/>
        <v>7</v>
      </c>
      <c r="I45" s="89">
        <f t="shared" ca="1" si="5"/>
        <v>14</v>
      </c>
      <c r="J45" s="117"/>
    </row>
    <row r="46" spans="1:10" ht="17.399999999999999" x14ac:dyDescent="0.35">
      <c r="A46" s="126" t="s">
        <v>44</v>
      </c>
      <c r="B46" s="85">
        <v>3</v>
      </c>
      <c r="C46" s="127" t="s">
        <v>104</v>
      </c>
      <c r="D46" s="128">
        <f>VLOOKUP(C46,'Personal File'!$A$10:$C$15,3,FALSE)</f>
        <v>-1</v>
      </c>
      <c r="E46" s="129" t="str">
        <f t="shared" si="0"/>
        <v>Wis (-1)</v>
      </c>
      <c r="F46" s="323">
        <f>-1</f>
        <v>-1</v>
      </c>
      <c r="G46" s="89">
        <f t="shared" si="4"/>
        <v>1</v>
      </c>
      <c r="H46" s="293">
        <f t="shared" ca="1" si="2"/>
        <v>18</v>
      </c>
      <c r="I46" s="89">
        <f t="shared" ca="1" si="5"/>
        <v>19</v>
      </c>
      <c r="J46" s="90"/>
    </row>
    <row r="47" spans="1:10" ht="17.399999999999999" x14ac:dyDescent="0.35">
      <c r="A47" s="118" t="s">
        <v>67</v>
      </c>
      <c r="B47" s="63">
        <v>0</v>
      </c>
      <c r="C47" s="119" t="s">
        <v>104</v>
      </c>
      <c r="D47" s="120">
        <f>VLOOKUP(C47,'Personal File'!$A$10:$C$15,3,FALSE)</f>
        <v>-1</v>
      </c>
      <c r="E47" s="121" t="str">
        <f t="shared" si="0"/>
        <v>Wis (-1)</v>
      </c>
      <c r="F47" s="322">
        <v>0</v>
      </c>
      <c r="G47" s="78">
        <f t="shared" si="4"/>
        <v>-1</v>
      </c>
      <c r="H47" s="293">
        <f t="shared" ca="1" si="2"/>
        <v>5</v>
      </c>
      <c r="I47" s="78">
        <f t="shared" ca="1" si="5"/>
        <v>4</v>
      </c>
      <c r="J47" s="67"/>
    </row>
    <row r="48" spans="1:10" ht="17.399999999999999" x14ac:dyDescent="0.35">
      <c r="A48" s="92" t="s">
        <v>13</v>
      </c>
      <c r="B48" s="63">
        <v>0</v>
      </c>
      <c r="C48" s="93" t="s">
        <v>107</v>
      </c>
      <c r="D48" s="94" t="str">
        <f>VLOOKUP(C48,'Personal File'!$A$10:$C$15,3,FALSE)</f>
        <v>+0</v>
      </c>
      <c r="E48" s="95" t="str">
        <f t="shared" si="0"/>
        <v>Str (+0)</v>
      </c>
      <c r="F48" s="322">
        <v>0</v>
      </c>
      <c r="G48" s="78">
        <f t="shared" si="4"/>
        <v>0</v>
      </c>
      <c r="H48" s="293">
        <f t="shared" ca="1" si="2"/>
        <v>3</v>
      </c>
      <c r="I48" s="78">
        <f t="shared" ca="1" si="5"/>
        <v>3</v>
      </c>
      <c r="J48" s="67"/>
    </row>
    <row r="49" spans="1:10" ht="17.399999999999999" x14ac:dyDescent="0.35">
      <c r="A49" s="122" t="s">
        <v>45</v>
      </c>
      <c r="B49" s="85">
        <v>5</v>
      </c>
      <c r="C49" s="123" t="s">
        <v>103</v>
      </c>
      <c r="D49" s="124" t="str">
        <f>VLOOKUP(C49,'Personal File'!$A$10:$C$15,3,FALSE)</f>
        <v>+2</v>
      </c>
      <c r="E49" s="125" t="str">
        <f t="shared" si="0"/>
        <v>Dex (+2)</v>
      </c>
      <c r="F49" s="323">
        <f>SUM(Martial!$D$14:$D$15)</f>
        <v>0</v>
      </c>
      <c r="G49" s="89">
        <f t="shared" si="4"/>
        <v>7</v>
      </c>
      <c r="H49" s="293">
        <f t="shared" ca="1" si="2"/>
        <v>2</v>
      </c>
      <c r="I49" s="89">
        <f t="shared" ca="1" si="5"/>
        <v>9</v>
      </c>
      <c r="J49" s="90"/>
    </row>
    <row r="50" spans="1:10" ht="17.399999999999999" x14ac:dyDescent="0.35">
      <c r="A50" s="84" t="s">
        <v>46</v>
      </c>
      <c r="B50" s="85">
        <v>5</v>
      </c>
      <c r="C50" s="86" t="s">
        <v>106</v>
      </c>
      <c r="D50" s="87" t="str">
        <f>VLOOKUP(C50,'Personal File'!$A$10:$C$15,3,FALSE)</f>
        <v>+1</v>
      </c>
      <c r="E50" s="88" t="str">
        <f t="shared" si="0"/>
        <v>Cha (+1)</v>
      </c>
      <c r="F50" s="323">
        <v>2</v>
      </c>
      <c r="G50" s="89">
        <f t="shared" si="4"/>
        <v>8</v>
      </c>
      <c r="H50" s="293">
        <f t="shared" ca="1" si="2"/>
        <v>9</v>
      </c>
      <c r="I50" s="89">
        <f t="shared" ca="1" si="5"/>
        <v>17</v>
      </c>
      <c r="J50" s="90"/>
    </row>
    <row r="51" spans="1:10" ht="18" thickBot="1" x14ac:dyDescent="0.4">
      <c r="A51" s="330" t="s">
        <v>47</v>
      </c>
      <c r="B51" s="331">
        <v>2</v>
      </c>
      <c r="C51" s="332" t="s">
        <v>103</v>
      </c>
      <c r="D51" s="333" t="str">
        <f>VLOOKUP(C51,'Personal File'!$A$10:$C$15,3,FALSE)</f>
        <v>+2</v>
      </c>
      <c r="E51" s="334" t="str">
        <f t="shared" si="0"/>
        <v>Dex (+2)</v>
      </c>
      <c r="F51" s="335">
        <v>0</v>
      </c>
      <c r="G51" s="336">
        <f t="shared" si="4"/>
        <v>4</v>
      </c>
      <c r="H51" s="295">
        <f t="shared" ca="1" si="2"/>
        <v>20</v>
      </c>
      <c r="I51" s="336">
        <f t="shared" ca="1" si="5"/>
        <v>24</v>
      </c>
      <c r="J51" s="337"/>
    </row>
    <row r="52" spans="1:10" ht="16.2" thickTop="1" x14ac:dyDescent="0.3">
      <c r="B52" s="135">
        <f>SUM($B$6:$B$51)</f>
        <v>58</v>
      </c>
      <c r="E52" s="136">
        <f>SUM(E53:E55)</f>
        <v>58</v>
      </c>
    </row>
    <row r="53" spans="1:10" x14ac:dyDescent="0.3">
      <c r="B53" s="135"/>
      <c r="E53" s="137">
        <f>4*(8+'Personal File'!$C$13)</f>
        <v>44</v>
      </c>
      <c r="F53" s="138" t="s">
        <v>77</v>
      </c>
    </row>
    <row r="54" spans="1:10" x14ac:dyDescent="0.3">
      <c r="B54" s="290"/>
      <c r="E54" s="137">
        <f>6+'Personal File'!$C$13</f>
        <v>9</v>
      </c>
      <c r="F54" s="138" t="s">
        <v>164</v>
      </c>
    </row>
    <row r="55" spans="1:10" x14ac:dyDescent="0.3">
      <c r="E55" s="137">
        <f>SUM('Personal File'!$E$3:$E$4,3)</f>
        <v>5</v>
      </c>
      <c r="F55" s="138" t="s">
        <v>133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AC24-BC61-425D-965B-2C5A5F71BE7C}">
  <dimension ref="A1:I96"/>
  <sheetViews>
    <sheetView showGridLines="0" workbookViewId="0">
      <pane ySplit="2" topLeftCell="A3" activePane="bottomLeft" state="frozen"/>
      <selection pane="bottomLeft" activeCell="A3" sqref="A3"/>
    </sheetView>
  </sheetViews>
  <sheetFormatPr defaultColWidth="13" defaultRowHeight="17.399999999999999" x14ac:dyDescent="0.35"/>
  <cols>
    <col min="1" max="1" width="22.296875" style="472" bestFit="1" customWidth="1"/>
    <col min="2" max="2" width="6.19921875" style="52" bestFit="1" customWidth="1"/>
    <col min="3" max="3" width="13.59765625" style="473" bestFit="1" customWidth="1"/>
    <col min="4" max="4" width="12.09765625" style="473" bestFit="1" customWidth="1"/>
    <col min="5" max="5" width="10.5" style="474" bestFit="1" customWidth="1"/>
    <col min="6" max="6" width="13.19921875" style="473" bestFit="1" customWidth="1"/>
    <col min="7" max="7" width="11.3984375" style="473" bestFit="1" customWidth="1"/>
    <col min="8" max="8" width="19" style="472" bestFit="1" customWidth="1"/>
    <col min="9" max="9" width="5.5" style="7" bestFit="1" customWidth="1"/>
    <col min="10" max="16384" width="13" style="386"/>
  </cols>
  <sheetData>
    <row r="1" spans="1:9" ht="24" thickBot="1" x14ac:dyDescent="0.5">
      <c r="A1" s="383" t="s">
        <v>215</v>
      </c>
      <c r="B1" s="55"/>
      <c r="C1" s="384"/>
      <c r="D1" s="384"/>
      <c r="E1" s="385"/>
      <c r="F1" s="384"/>
      <c r="G1" s="384"/>
      <c r="H1" s="384"/>
    </row>
    <row r="2" spans="1:9" s="390" customFormat="1" x14ac:dyDescent="0.3">
      <c r="A2" s="387" t="s">
        <v>216</v>
      </c>
      <c r="B2" s="388" t="s">
        <v>98</v>
      </c>
      <c r="C2" s="389" t="s">
        <v>217</v>
      </c>
      <c r="D2" s="475" t="s">
        <v>218</v>
      </c>
      <c r="E2" s="389" t="s">
        <v>219</v>
      </c>
      <c r="F2" s="389" t="s">
        <v>220</v>
      </c>
      <c r="G2" s="389" t="s">
        <v>221</v>
      </c>
      <c r="H2" s="389" t="s">
        <v>222</v>
      </c>
      <c r="I2" s="389" t="s">
        <v>223</v>
      </c>
    </row>
    <row r="3" spans="1:9" x14ac:dyDescent="0.35">
      <c r="A3" s="391" t="s">
        <v>224</v>
      </c>
      <c r="B3" s="392">
        <v>0</v>
      </c>
      <c r="C3" s="393" t="s">
        <v>225</v>
      </c>
      <c r="D3" s="394" t="s">
        <v>226</v>
      </c>
      <c r="E3" s="394" t="s">
        <v>227</v>
      </c>
      <c r="F3" s="395" t="s">
        <v>228</v>
      </c>
      <c r="G3" s="395" t="s">
        <v>229</v>
      </c>
      <c r="H3" s="395" t="s">
        <v>230</v>
      </c>
      <c r="I3" s="396" t="s">
        <v>231</v>
      </c>
    </row>
    <row r="4" spans="1:9" x14ac:dyDescent="0.35">
      <c r="A4" s="391" t="s">
        <v>232</v>
      </c>
      <c r="B4" s="392">
        <v>0</v>
      </c>
      <c r="C4" s="393" t="s">
        <v>233</v>
      </c>
      <c r="D4" s="394" t="s">
        <v>234</v>
      </c>
      <c r="E4" s="394" t="s">
        <v>227</v>
      </c>
      <c r="F4" s="397" t="s">
        <v>235</v>
      </c>
      <c r="G4" s="395" t="s">
        <v>236</v>
      </c>
      <c r="H4" s="395" t="s">
        <v>230</v>
      </c>
      <c r="I4" s="396" t="s">
        <v>237</v>
      </c>
    </row>
    <row r="5" spans="1:9" x14ac:dyDescent="0.35">
      <c r="A5" s="391" t="s">
        <v>238</v>
      </c>
      <c r="B5" s="392">
        <v>0</v>
      </c>
      <c r="C5" s="393" t="s">
        <v>239</v>
      </c>
      <c r="D5" s="394" t="s">
        <v>226</v>
      </c>
      <c r="E5" s="394" t="s">
        <v>227</v>
      </c>
      <c r="F5" s="395" t="s">
        <v>240</v>
      </c>
      <c r="G5" s="395" t="s">
        <v>241</v>
      </c>
      <c r="H5" s="395" t="s">
        <v>230</v>
      </c>
      <c r="I5" s="396" t="s">
        <v>242</v>
      </c>
    </row>
    <row r="6" spans="1:9" x14ac:dyDescent="0.35">
      <c r="A6" s="391" t="s">
        <v>243</v>
      </c>
      <c r="B6" s="392">
        <v>0</v>
      </c>
      <c r="C6" s="393" t="s">
        <v>225</v>
      </c>
      <c r="D6" s="394" t="s">
        <v>234</v>
      </c>
      <c r="E6" s="394" t="s">
        <v>227</v>
      </c>
      <c r="F6" s="397" t="s">
        <v>235</v>
      </c>
      <c r="G6" s="395" t="s">
        <v>244</v>
      </c>
      <c r="H6" s="395" t="s">
        <v>230</v>
      </c>
      <c r="I6" s="396" t="s">
        <v>245</v>
      </c>
    </row>
    <row r="7" spans="1:9" x14ac:dyDescent="0.35">
      <c r="A7" s="391" t="s">
        <v>246</v>
      </c>
      <c r="B7" s="392">
        <v>0</v>
      </c>
      <c r="C7" s="393" t="s">
        <v>247</v>
      </c>
      <c r="D7" s="398" t="s">
        <v>248</v>
      </c>
      <c r="E7" s="398" t="s">
        <v>227</v>
      </c>
      <c r="F7" s="395" t="s">
        <v>228</v>
      </c>
      <c r="G7" s="395" t="s">
        <v>249</v>
      </c>
      <c r="H7" s="395" t="s">
        <v>230</v>
      </c>
      <c r="I7" s="399">
        <v>253</v>
      </c>
    </row>
    <row r="8" spans="1:9" x14ac:dyDescent="0.35">
      <c r="A8" s="391" t="s">
        <v>250</v>
      </c>
      <c r="B8" s="392">
        <v>0</v>
      </c>
      <c r="C8" s="393" t="s">
        <v>247</v>
      </c>
      <c r="D8" s="398" t="s">
        <v>248</v>
      </c>
      <c r="E8" s="398" t="s">
        <v>227</v>
      </c>
      <c r="F8" s="397" t="s">
        <v>235</v>
      </c>
      <c r="G8" s="395" t="s">
        <v>251</v>
      </c>
      <c r="H8" s="395" t="s">
        <v>230</v>
      </c>
      <c r="I8" s="399">
        <v>258</v>
      </c>
    </row>
    <row r="9" spans="1:9" x14ac:dyDescent="0.35">
      <c r="A9" s="400" t="s">
        <v>252</v>
      </c>
      <c r="B9" s="401">
        <v>0</v>
      </c>
      <c r="C9" s="402" t="s">
        <v>239</v>
      </c>
      <c r="D9" s="403" t="s">
        <v>248</v>
      </c>
      <c r="E9" s="403" t="s">
        <v>227</v>
      </c>
      <c r="F9" s="404" t="s">
        <v>253</v>
      </c>
      <c r="G9" s="404" t="s">
        <v>249</v>
      </c>
      <c r="H9" s="404" t="s">
        <v>230</v>
      </c>
      <c r="I9" s="405" t="s">
        <v>254</v>
      </c>
    </row>
    <row r="10" spans="1:9" x14ac:dyDescent="0.35">
      <c r="A10" s="391" t="s">
        <v>255</v>
      </c>
      <c r="B10" s="392">
        <v>1</v>
      </c>
      <c r="C10" s="406" t="s">
        <v>233</v>
      </c>
      <c r="D10" s="394" t="s">
        <v>226</v>
      </c>
      <c r="E10" s="394" t="s">
        <v>227</v>
      </c>
      <c r="F10" s="397" t="s">
        <v>235</v>
      </c>
      <c r="G10" s="397" t="s">
        <v>256</v>
      </c>
      <c r="H10" s="397" t="s">
        <v>230</v>
      </c>
      <c r="I10" s="399">
        <v>209</v>
      </c>
    </row>
    <row r="11" spans="1:9" x14ac:dyDescent="0.35">
      <c r="A11" s="391" t="s">
        <v>257</v>
      </c>
      <c r="B11" s="407">
        <v>1</v>
      </c>
      <c r="C11" s="408" t="s">
        <v>225</v>
      </c>
      <c r="D11" s="409" t="s">
        <v>234</v>
      </c>
      <c r="E11" s="409" t="s">
        <v>227</v>
      </c>
      <c r="F11" s="397" t="s">
        <v>235</v>
      </c>
      <c r="G11" s="395" t="s">
        <v>251</v>
      </c>
      <c r="H11" s="395" t="s">
        <v>230</v>
      </c>
      <c r="I11" s="399">
        <v>210</v>
      </c>
    </row>
    <row r="12" spans="1:9" x14ac:dyDescent="0.35">
      <c r="A12" s="391" t="s">
        <v>258</v>
      </c>
      <c r="B12" s="407">
        <v>1</v>
      </c>
      <c r="C12" s="408" t="s">
        <v>259</v>
      </c>
      <c r="D12" s="394" t="s">
        <v>260</v>
      </c>
      <c r="E12" s="394" t="s">
        <v>227</v>
      </c>
      <c r="F12" s="395" t="s">
        <v>253</v>
      </c>
      <c r="G12" s="395" t="s">
        <v>249</v>
      </c>
      <c r="H12" s="395" t="s">
        <v>230</v>
      </c>
      <c r="I12" s="399">
        <v>212</v>
      </c>
    </row>
    <row r="13" spans="1:9" x14ac:dyDescent="0.35">
      <c r="A13" s="391" t="s">
        <v>261</v>
      </c>
      <c r="B13" s="392">
        <v>1</v>
      </c>
      <c r="C13" s="406" t="s">
        <v>259</v>
      </c>
      <c r="D13" s="409" t="s">
        <v>226</v>
      </c>
      <c r="E13" s="409" t="s">
        <v>227</v>
      </c>
      <c r="F13" s="395" t="s">
        <v>240</v>
      </c>
      <c r="G13" s="397" t="s">
        <v>241</v>
      </c>
      <c r="H13" s="397" t="s">
        <v>230</v>
      </c>
      <c r="I13" s="399">
        <v>220</v>
      </c>
    </row>
    <row r="14" spans="1:9" x14ac:dyDescent="0.35">
      <c r="A14" s="391" t="s">
        <v>262</v>
      </c>
      <c r="B14" s="392">
        <v>1</v>
      </c>
      <c r="C14" s="406" t="s">
        <v>225</v>
      </c>
      <c r="D14" s="409" t="s">
        <v>226</v>
      </c>
      <c r="E14" s="409" t="s">
        <v>227</v>
      </c>
      <c r="F14" s="397" t="s">
        <v>253</v>
      </c>
      <c r="G14" s="397" t="s">
        <v>249</v>
      </c>
      <c r="H14" s="397" t="s">
        <v>230</v>
      </c>
      <c r="I14" s="410">
        <v>222</v>
      </c>
    </row>
    <row r="15" spans="1:9" x14ac:dyDescent="0.35">
      <c r="A15" s="391" t="s">
        <v>263</v>
      </c>
      <c r="B15" s="392">
        <v>1</v>
      </c>
      <c r="C15" s="411" t="s">
        <v>247</v>
      </c>
      <c r="D15" s="412" t="s">
        <v>226</v>
      </c>
      <c r="E15" s="322" t="s">
        <v>227</v>
      </c>
      <c r="F15" s="413" t="s">
        <v>253</v>
      </c>
      <c r="G15" s="414" t="s">
        <v>241</v>
      </c>
      <c r="H15" s="414" t="s">
        <v>230</v>
      </c>
      <c r="I15" s="399">
        <v>228</v>
      </c>
    </row>
    <row r="16" spans="1:9" x14ac:dyDescent="0.35">
      <c r="A16" s="391" t="s">
        <v>264</v>
      </c>
      <c r="B16" s="392">
        <v>1</v>
      </c>
      <c r="C16" s="411" t="s">
        <v>233</v>
      </c>
      <c r="D16" s="412" t="s">
        <v>226</v>
      </c>
      <c r="E16" s="322" t="s">
        <v>227</v>
      </c>
      <c r="F16" s="414" t="s">
        <v>235</v>
      </c>
      <c r="G16" s="414" t="s">
        <v>265</v>
      </c>
      <c r="H16" s="414" t="s">
        <v>230</v>
      </c>
      <c r="I16" s="399">
        <v>242</v>
      </c>
    </row>
    <row r="17" spans="1:9" x14ac:dyDescent="0.35">
      <c r="A17" s="391" t="s">
        <v>266</v>
      </c>
      <c r="B17" s="392">
        <v>1</v>
      </c>
      <c r="C17" s="411" t="s">
        <v>267</v>
      </c>
      <c r="D17" s="398" t="s">
        <v>248</v>
      </c>
      <c r="E17" s="322" t="s">
        <v>227</v>
      </c>
      <c r="F17" s="414" t="s">
        <v>268</v>
      </c>
      <c r="G17" s="414" t="s">
        <v>256</v>
      </c>
      <c r="H17" s="414" t="s">
        <v>230</v>
      </c>
      <c r="I17" s="399">
        <v>249</v>
      </c>
    </row>
    <row r="18" spans="1:9" x14ac:dyDescent="0.35">
      <c r="A18" s="391" t="s">
        <v>269</v>
      </c>
      <c r="B18" s="392">
        <v>1</v>
      </c>
      <c r="C18" s="411" t="s">
        <v>267</v>
      </c>
      <c r="D18" s="412" t="s">
        <v>226</v>
      </c>
      <c r="E18" s="322" t="s">
        <v>227</v>
      </c>
      <c r="F18" s="413" t="s">
        <v>270</v>
      </c>
      <c r="G18" s="414" t="s">
        <v>241</v>
      </c>
      <c r="H18" s="414" t="s">
        <v>230</v>
      </c>
      <c r="I18" s="399">
        <v>258</v>
      </c>
    </row>
    <row r="19" spans="1:9" x14ac:dyDescent="0.35">
      <c r="A19" s="391" t="s">
        <v>271</v>
      </c>
      <c r="B19" s="392">
        <v>1</v>
      </c>
      <c r="C19" s="411" t="s">
        <v>233</v>
      </c>
      <c r="D19" s="412" t="s">
        <v>226</v>
      </c>
      <c r="E19" s="322" t="s">
        <v>227</v>
      </c>
      <c r="F19" s="414" t="s">
        <v>235</v>
      </c>
      <c r="G19" s="414" t="s">
        <v>251</v>
      </c>
      <c r="H19" s="414" t="s">
        <v>272</v>
      </c>
      <c r="I19" s="399">
        <v>123</v>
      </c>
    </row>
    <row r="20" spans="1:9" x14ac:dyDescent="0.35">
      <c r="A20" s="391" t="s">
        <v>273</v>
      </c>
      <c r="B20" s="392">
        <v>1</v>
      </c>
      <c r="C20" s="411" t="s">
        <v>225</v>
      </c>
      <c r="D20" s="398" t="s">
        <v>248</v>
      </c>
      <c r="E20" s="322" t="s">
        <v>227</v>
      </c>
      <c r="F20" s="413" t="s">
        <v>274</v>
      </c>
      <c r="G20" s="414" t="s">
        <v>275</v>
      </c>
      <c r="H20" s="414" t="s">
        <v>230</v>
      </c>
      <c r="I20" s="399">
        <v>279</v>
      </c>
    </row>
    <row r="21" spans="1:9" x14ac:dyDescent="0.35">
      <c r="A21" s="391" t="s">
        <v>276</v>
      </c>
      <c r="B21" s="392">
        <v>1</v>
      </c>
      <c r="C21" s="411" t="s">
        <v>233</v>
      </c>
      <c r="D21" s="412" t="s">
        <v>260</v>
      </c>
      <c r="E21" s="322" t="s">
        <v>227</v>
      </c>
      <c r="F21" s="413" t="s">
        <v>228</v>
      </c>
      <c r="G21" s="414" t="s">
        <v>241</v>
      </c>
      <c r="H21" s="414" t="s">
        <v>230</v>
      </c>
      <c r="I21" s="399">
        <v>280</v>
      </c>
    </row>
    <row r="22" spans="1:9" x14ac:dyDescent="0.35">
      <c r="A22" s="391" t="s">
        <v>277</v>
      </c>
      <c r="B22" s="392">
        <v>1</v>
      </c>
      <c r="C22" s="411" t="s">
        <v>278</v>
      </c>
      <c r="D22" s="412" t="s">
        <v>226</v>
      </c>
      <c r="E22" s="322" t="s">
        <v>227</v>
      </c>
      <c r="F22" s="413" t="s">
        <v>235</v>
      </c>
      <c r="G22" s="414" t="s">
        <v>279</v>
      </c>
      <c r="H22" s="414" t="s">
        <v>230</v>
      </c>
      <c r="I22" s="399">
        <v>297</v>
      </c>
    </row>
    <row r="23" spans="1:9" x14ac:dyDescent="0.35">
      <c r="A23" s="415" t="s">
        <v>280</v>
      </c>
      <c r="B23" s="416">
        <v>1</v>
      </c>
      <c r="C23" s="417" t="s">
        <v>225</v>
      </c>
      <c r="D23" s="418" t="s">
        <v>226</v>
      </c>
      <c r="E23" s="419" t="s">
        <v>227</v>
      </c>
      <c r="F23" s="420" t="s">
        <v>235</v>
      </c>
      <c r="G23" s="420" t="s">
        <v>281</v>
      </c>
      <c r="H23" s="420" t="s">
        <v>282</v>
      </c>
      <c r="I23" s="421">
        <v>147</v>
      </c>
    </row>
    <row r="24" spans="1:9" x14ac:dyDescent="0.35">
      <c r="A24" s="400" t="s">
        <v>283</v>
      </c>
      <c r="B24" s="401">
        <v>1</v>
      </c>
      <c r="C24" s="422" t="s">
        <v>233</v>
      </c>
      <c r="D24" s="423" t="s">
        <v>226</v>
      </c>
      <c r="E24" s="424" t="s">
        <v>227</v>
      </c>
      <c r="F24" s="425" t="s">
        <v>235</v>
      </c>
      <c r="G24" s="426" t="s">
        <v>251</v>
      </c>
      <c r="H24" s="426" t="s">
        <v>272</v>
      </c>
      <c r="I24" s="427">
        <v>128</v>
      </c>
    </row>
    <row r="25" spans="1:9" x14ac:dyDescent="0.35">
      <c r="A25" s="428" t="s">
        <v>284</v>
      </c>
      <c r="B25" s="429">
        <v>2</v>
      </c>
      <c r="C25" s="430" t="s">
        <v>285</v>
      </c>
      <c r="D25" s="431" t="s">
        <v>248</v>
      </c>
      <c r="E25" s="324" t="s">
        <v>227</v>
      </c>
      <c r="F25" s="432" t="s">
        <v>228</v>
      </c>
      <c r="G25" s="432" t="s">
        <v>244</v>
      </c>
      <c r="H25" s="432" t="s">
        <v>272</v>
      </c>
      <c r="I25" s="433">
        <v>104</v>
      </c>
    </row>
    <row r="26" spans="1:9" x14ac:dyDescent="0.35">
      <c r="A26" s="428" t="s">
        <v>286</v>
      </c>
      <c r="B26" s="429">
        <v>2</v>
      </c>
      <c r="C26" s="430" t="s">
        <v>225</v>
      </c>
      <c r="D26" s="434" t="s">
        <v>287</v>
      </c>
      <c r="E26" s="324" t="s">
        <v>227</v>
      </c>
      <c r="F26" s="432" t="s">
        <v>268</v>
      </c>
      <c r="G26" s="435" t="s">
        <v>241</v>
      </c>
      <c r="H26" s="435" t="s">
        <v>230</v>
      </c>
      <c r="I26" s="433">
        <v>206</v>
      </c>
    </row>
    <row r="27" spans="1:9" x14ac:dyDescent="0.35">
      <c r="A27" s="428" t="s">
        <v>288</v>
      </c>
      <c r="B27" s="429">
        <v>2</v>
      </c>
      <c r="C27" s="430" t="s">
        <v>233</v>
      </c>
      <c r="D27" s="431" t="s">
        <v>234</v>
      </c>
      <c r="E27" s="324" t="s">
        <v>227</v>
      </c>
      <c r="F27" s="432" t="s">
        <v>228</v>
      </c>
      <c r="G27" s="435" t="s">
        <v>236</v>
      </c>
      <c r="H27" s="435" t="s">
        <v>230</v>
      </c>
      <c r="I27" s="433">
        <v>217</v>
      </c>
    </row>
    <row r="28" spans="1:9" x14ac:dyDescent="0.35">
      <c r="A28" s="428" t="s">
        <v>289</v>
      </c>
      <c r="B28" s="429">
        <v>2</v>
      </c>
      <c r="C28" s="430" t="s">
        <v>259</v>
      </c>
      <c r="D28" s="434" t="s">
        <v>290</v>
      </c>
      <c r="E28" s="324" t="s">
        <v>227</v>
      </c>
      <c r="F28" s="432" t="s">
        <v>240</v>
      </c>
      <c r="G28" s="435" t="s">
        <v>241</v>
      </c>
      <c r="H28" s="435" t="s">
        <v>230</v>
      </c>
      <c r="I28" s="433">
        <v>220</v>
      </c>
    </row>
    <row r="29" spans="1:9" x14ac:dyDescent="0.35">
      <c r="A29" s="428" t="s">
        <v>291</v>
      </c>
      <c r="B29" s="429">
        <v>2</v>
      </c>
      <c r="C29" s="430" t="s">
        <v>267</v>
      </c>
      <c r="D29" s="431" t="s">
        <v>226</v>
      </c>
      <c r="E29" s="324" t="s">
        <v>227</v>
      </c>
      <c r="F29" s="432" t="s">
        <v>228</v>
      </c>
      <c r="G29" s="435" t="s">
        <v>249</v>
      </c>
      <c r="H29" s="435" t="s">
        <v>230</v>
      </c>
      <c r="I29" s="433">
        <v>232</v>
      </c>
    </row>
    <row r="30" spans="1:9" x14ac:dyDescent="0.35">
      <c r="A30" s="428" t="s">
        <v>292</v>
      </c>
      <c r="B30" s="429">
        <v>2</v>
      </c>
      <c r="C30" s="436" t="s">
        <v>267</v>
      </c>
      <c r="D30" s="431" t="s">
        <v>234</v>
      </c>
      <c r="E30" s="324" t="s">
        <v>227</v>
      </c>
      <c r="F30" s="432" t="s">
        <v>228</v>
      </c>
      <c r="G30" s="432" t="s">
        <v>244</v>
      </c>
      <c r="H30" s="432" t="s">
        <v>230</v>
      </c>
      <c r="I30" s="433">
        <v>236</v>
      </c>
    </row>
    <row r="31" spans="1:9" x14ac:dyDescent="0.35">
      <c r="A31" s="428" t="s">
        <v>293</v>
      </c>
      <c r="B31" s="429">
        <v>2</v>
      </c>
      <c r="C31" s="430" t="s">
        <v>225</v>
      </c>
      <c r="D31" s="431" t="s">
        <v>234</v>
      </c>
      <c r="E31" s="324" t="s">
        <v>227</v>
      </c>
      <c r="F31" s="432" t="s">
        <v>228</v>
      </c>
      <c r="G31" s="435" t="s">
        <v>294</v>
      </c>
      <c r="H31" s="435" t="s">
        <v>230</v>
      </c>
      <c r="I31" s="433">
        <v>242</v>
      </c>
    </row>
    <row r="32" spans="1:9" x14ac:dyDescent="0.35">
      <c r="A32" s="428" t="s">
        <v>295</v>
      </c>
      <c r="B32" s="429">
        <v>2</v>
      </c>
      <c r="C32" s="430" t="s">
        <v>225</v>
      </c>
      <c r="D32" s="434" t="s">
        <v>290</v>
      </c>
      <c r="E32" s="324" t="s">
        <v>227</v>
      </c>
      <c r="F32" s="435" t="s">
        <v>268</v>
      </c>
      <c r="G32" s="435" t="s">
        <v>249</v>
      </c>
      <c r="H32" s="435" t="s">
        <v>230</v>
      </c>
      <c r="I32" s="433">
        <v>245</v>
      </c>
    </row>
    <row r="33" spans="1:9" x14ac:dyDescent="0.35">
      <c r="A33" s="428" t="s">
        <v>296</v>
      </c>
      <c r="B33" s="429">
        <v>2</v>
      </c>
      <c r="C33" s="430" t="s">
        <v>247</v>
      </c>
      <c r="D33" s="431" t="s">
        <v>287</v>
      </c>
      <c r="E33" s="324" t="s">
        <v>227</v>
      </c>
      <c r="F33" s="432" t="s">
        <v>228</v>
      </c>
      <c r="G33" s="435" t="s">
        <v>251</v>
      </c>
      <c r="H33" s="435" t="s">
        <v>230</v>
      </c>
      <c r="I33" s="433">
        <v>246</v>
      </c>
    </row>
    <row r="34" spans="1:9" x14ac:dyDescent="0.35">
      <c r="A34" s="428" t="s">
        <v>297</v>
      </c>
      <c r="B34" s="429">
        <v>2</v>
      </c>
      <c r="C34" s="430" t="s">
        <v>225</v>
      </c>
      <c r="D34" s="431" t="s">
        <v>248</v>
      </c>
      <c r="E34" s="324" t="s">
        <v>227</v>
      </c>
      <c r="F34" s="432" t="s">
        <v>274</v>
      </c>
      <c r="G34" s="435" t="s">
        <v>275</v>
      </c>
      <c r="H34" s="435" t="s">
        <v>230</v>
      </c>
      <c r="I34" s="437">
        <v>254</v>
      </c>
    </row>
    <row r="35" spans="1:9" x14ac:dyDescent="0.35">
      <c r="A35" s="428" t="s">
        <v>298</v>
      </c>
      <c r="B35" s="429">
        <v>2</v>
      </c>
      <c r="C35" s="430" t="s">
        <v>225</v>
      </c>
      <c r="D35" s="434" t="s">
        <v>226</v>
      </c>
      <c r="E35" s="324" t="s">
        <v>227</v>
      </c>
      <c r="F35" s="432" t="s">
        <v>253</v>
      </c>
      <c r="G35" s="435" t="s">
        <v>241</v>
      </c>
      <c r="H35" s="435" t="s">
        <v>230</v>
      </c>
      <c r="I35" s="437">
        <v>254</v>
      </c>
    </row>
    <row r="36" spans="1:9" x14ac:dyDescent="0.35">
      <c r="A36" s="428" t="s">
        <v>299</v>
      </c>
      <c r="B36" s="429">
        <v>2</v>
      </c>
      <c r="C36" s="430" t="s">
        <v>225</v>
      </c>
      <c r="D36" s="434" t="s">
        <v>226</v>
      </c>
      <c r="E36" s="324" t="s">
        <v>227</v>
      </c>
      <c r="F36" s="435" t="s">
        <v>235</v>
      </c>
      <c r="G36" s="432" t="s">
        <v>256</v>
      </c>
      <c r="H36" s="432" t="s">
        <v>230</v>
      </c>
      <c r="I36" s="437">
        <v>254</v>
      </c>
    </row>
    <row r="37" spans="1:9" x14ac:dyDescent="0.35">
      <c r="A37" s="428" t="s">
        <v>300</v>
      </c>
      <c r="B37" s="429">
        <v>2</v>
      </c>
      <c r="C37" s="430" t="s">
        <v>259</v>
      </c>
      <c r="D37" s="434" t="s">
        <v>234</v>
      </c>
      <c r="E37" s="324" t="s">
        <v>227</v>
      </c>
      <c r="F37" s="432" t="s">
        <v>228</v>
      </c>
      <c r="G37" s="435" t="s">
        <v>249</v>
      </c>
      <c r="H37" s="435" t="s">
        <v>230</v>
      </c>
      <c r="I37" s="433">
        <v>275</v>
      </c>
    </row>
    <row r="38" spans="1:9" x14ac:dyDescent="0.35">
      <c r="A38" s="428" t="s">
        <v>301</v>
      </c>
      <c r="B38" s="429">
        <v>2</v>
      </c>
      <c r="C38" s="430" t="s">
        <v>225</v>
      </c>
      <c r="D38" s="434" t="s">
        <v>226</v>
      </c>
      <c r="E38" s="324" t="s">
        <v>227</v>
      </c>
      <c r="F38" s="435" t="s">
        <v>274</v>
      </c>
      <c r="G38" s="435" t="s">
        <v>241</v>
      </c>
      <c r="H38" s="435" t="s">
        <v>230</v>
      </c>
      <c r="I38" s="433">
        <v>279</v>
      </c>
    </row>
    <row r="39" spans="1:9" x14ac:dyDescent="0.35">
      <c r="A39" s="428" t="s">
        <v>302</v>
      </c>
      <c r="B39" s="429">
        <v>2</v>
      </c>
      <c r="C39" s="430" t="s">
        <v>247</v>
      </c>
      <c r="D39" s="434" t="s">
        <v>234</v>
      </c>
      <c r="E39" s="324" t="s">
        <v>227</v>
      </c>
      <c r="F39" s="432" t="s">
        <v>268</v>
      </c>
      <c r="G39" s="432" t="s">
        <v>249</v>
      </c>
      <c r="H39" s="432" t="s">
        <v>230</v>
      </c>
      <c r="I39" s="437">
        <v>283</v>
      </c>
    </row>
    <row r="40" spans="1:9" x14ac:dyDescent="0.35">
      <c r="A40" s="428" t="s">
        <v>303</v>
      </c>
      <c r="B40" s="429">
        <v>2</v>
      </c>
      <c r="C40" s="430" t="s">
        <v>233</v>
      </c>
      <c r="D40" s="434" t="s">
        <v>287</v>
      </c>
      <c r="E40" s="324" t="s">
        <v>227</v>
      </c>
      <c r="F40" s="432" t="s">
        <v>228</v>
      </c>
      <c r="G40" s="435" t="s">
        <v>251</v>
      </c>
      <c r="H40" s="435" t="s">
        <v>272</v>
      </c>
      <c r="I40" s="433">
        <v>126</v>
      </c>
    </row>
    <row r="41" spans="1:9" x14ac:dyDescent="0.35">
      <c r="A41" s="428" t="s">
        <v>304</v>
      </c>
      <c r="B41" s="429">
        <v>2</v>
      </c>
      <c r="C41" s="436" t="s">
        <v>233</v>
      </c>
      <c r="D41" s="431" t="s">
        <v>226</v>
      </c>
      <c r="E41" s="324" t="s">
        <v>227</v>
      </c>
      <c r="F41" s="432" t="s">
        <v>268</v>
      </c>
      <c r="G41" s="432" t="s">
        <v>249</v>
      </c>
      <c r="H41" s="432" t="s">
        <v>230</v>
      </c>
      <c r="I41" s="433">
        <v>294</v>
      </c>
    </row>
    <row r="42" spans="1:9" x14ac:dyDescent="0.35">
      <c r="A42" s="428" t="s">
        <v>305</v>
      </c>
      <c r="B42" s="429">
        <v>2</v>
      </c>
      <c r="C42" s="430" t="s">
        <v>225</v>
      </c>
      <c r="D42" s="434" t="s">
        <v>226</v>
      </c>
      <c r="E42" s="324" t="s">
        <v>227</v>
      </c>
      <c r="F42" s="435" t="s">
        <v>235</v>
      </c>
      <c r="G42" s="432" t="s">
        <v>244</v>
      </c>
      <c r="H42" s="432" t="s">
        <v>272</v>
      </c>
      <c r="I42" s="433">
        <v>127</v>
      </c>
    </row>
    <row r="43" spans="1:9" x14ac:dyDescent="0.35">
      <c r="A43" s="438" t="s">
        <v>306</v>
      </c>
      <c r="B43" s="439">
        <v>2</v>
      </c>
      <c r="C43" s="440" t="s">
        <v>233</v>
      </c>
      <c r="D43" s="441" t="s">
        <v>226</v>
      </c>
      <c r="E43" s="442" t="s">
        <v>227</v>
      </c>
      <c r="F43" s="443" t="s">
        <v>93</v>
      </c>
      <c r="G43" s="444" t="s">
        <v>251</v>
      </c>
      <c r="H43" s="444" t="s">
        <v>272</v>
      </c>
      <c r="I43" s="445">
        <v>128</v>
      </c>
    </row>
    <row r="44" spans="1:9" x14ac:dyDescent="0.35">
      <c r="A44" s="428" t="s">
        <v>307</v>
      </c>
      <c r="B44" s="429">
        <v>3</v>
      </c>
      <c r="C44" s="430" t="s">
        <v>259</v>
      </c>
      <c r="D44" s="434" t="s">
        <v>226</v>
      </c>
      <c r="E44" s="324" t="s">
        <v>227</v>
      </c>
      <c r="F44" s="432" t="s">
        <v>253</v>
      </c>
      <c r="G44" s="435" t="s">
        <v>241</v>
      </c>
      <c r="H44" s="435" t="s">
        <v>230</v>
      </c>
      <c r="I44" s="437">
        <v>200</v>
      </c>
    </row>
    <row r="45" spans="1:9" x14ac:dyDescent="0.35">
      <c r="A45" s="428" t="s">
        <v>308</v>
      </c>
      <c r="B45" s="429">
        <v>3</v>
      </c>
      <c r="C45" s="430" t="s">
        <v>259</v>
      </c>
      <c r="D45" s="434" t="s">
        <v>290</v>
      </c>
      <c r="E45" s="324" t="s">
        <v>227</v>
      </c>
      <c r="F45" s="435" t="s">
        <v>274</v>
      </c>
      <c r="G45" s="435" t="s">
        <v>309</v>
      </c>
      <c r="H45" s="435" t="s">
        <v>230</v>
      </c>
      <c r="I45" s="437">
        <v>209</v>
      </c>
    </row>
    <row r="46" spans="1:9" x14ac:dyDescent="0.35">
      <c r="A46" s="428" t="s">
        <v>310</v>
      </c>
      <c r="B46" s="429">
        <v>3</v>
      </c>
      <c r="C46" s="430" t="s">
        <v>225</v>
      </c>
      <c r="D46" s="431" t="s">
        <v>248</v>
      </c>
      <c r="E46" s="324" t="s">
        <v>227</v>
      </c>
      <c r="F46" s="432" t="s">
        <v>268</v>
      </c>
      <c r="G46" s="435" t="s">
        <v>256</v>
      </c>
      <c r="H46" s="435" t="s">
        <v>272</v>
      </c>
      <c r="I46" s="433">
        <v>108</v>
      </c>
    </row>
    <row r="47" spans="1:9" x14ac:dyDescent="0.35">
      <c r="A47" s="428" t="s">
        <v>311</v>
      </c>
      <c r="B47" s="429">
        <v>3</v>
      </c>
      <c r="C47" s="430" t="s">
        <v>233</v>
      </c>
      <c r="D47" s="434" t="s">
        <v>260</v>
      </c>
      <c r="E47" s="324" t="s">
        <v>227</v>
      </c>
      <c r="F47" s="435" t="s">
        <v>235</v>
      </c>
      <c r="G47" s="435" t="s">
        <v>241</v>
      </c>
      <c r="H47" s="435" t="s">
        <v>230</v>
      </c>
      <c r="I47" s="437">
        <v>217</v>
      </c>
    </row>
    <row r="48" spans="1:9" x14ac:dyDescent="0.35">
      <c r="A48" s="428" t="s">
        <v>312</v>
      </c>
      <c r="B48" s="429">
        <v>3</v>
      </c>
      <c r="C48" s="436" t="s">
        <v>278</v>
      </c>
      <c r="D48" s="431" t="s">
        <v>226</v>
      </c>
      <c r="E48" s="324" t="s">
        <v>227</v>
      </c>
      <c r="F48" s="432" t="s">
        <v>228</v>
      </c>
      <c r="G48" s="432" t="s">
        <v>251</v>
      </c>
      <c r="H48" s="432" t="s">
        <v>230</v>
      </c>
      <c r="I48" s="437">
        <v>223</v>
      </c>
    </row>
    <row r="49" spans="1:9" x14ac:dyDescent="0.35">
      <c r="A49" s="428" t="s">
        <v>313</v>
      </c>
      <c r="B49" s="429">
        <v>3</v>
      </c>
      <c r="C49" s="430" t="s">
        <v>225</v>
      </c>
      <c r="D49" s="431" t="s">
        <v>314</v>
      </c>
      <c r="E49" s="324" t="s">
        <v>227</v>
      </c>
      <c r="F49" s="432" t="s">
        <v>268</v>
      </c>
      <c r="G49" s="435" t="s">
        <v>244</v>
      </c>
      <c r="H49" s="435" t="s">
        <v>230</v>
      </c>
      <c r="I49" s="437">
        <v>223</v>
      </c>
    </row>
    <row r="50" spans="1:9" x14ac:dyDescent="0.35">
      <c r="A50" s="428" t="s">
        <v>315</v>
      </c>
      <c r="B50" s="429">
        <v>3</v>
      </c>
      <c r="C50" s="430" t="s">
        <v>247</v>
      </c>
      <c r="D50" s="434" t="s">
        <v>316</v>
      </c>
      <c r="E50" s="324" t="s">
        <v>227</v>
      </c>
      <c r="F50" s="432" t="s">
        <v>253</v>
      </c>
      <c r="G50" s="435" t="s">
        <v>249</v>
      </c>
      <c r="H50" s="435" t="s">
        <v>230</v>
      </c>
      <c r="I50" s="437">
        <v>235</v>
      </c>
    </row>
    <row r="51" spans="1:9" x14ac:dyDescent="0.35">
      <c r="A51" s="428" t="s">
        <v>317</v>
      </c>
      <c r="B51" s="429">
        <v>3</v>
      </c>
      <c r="C51" s="430" t="s">
        <v>247</v>
      </c>
      <c r="D51" s="434" t="s">
        <v>287</v>
      </c>
      <c r="E51" s="324" t="s">
        <v>318</v>
      </c>
      <c r="F51" s="435" t="s">
        <v>235</v>
      </c>
      <c r="G51" s="435" t="s">
        <v>236</v>
      </c>
      <c r="H51" s="435" t="s">
        <v>272</v>
      </c>
      <c r="I51" s="433">
        <v>114</v>
      </c>
    </row>
    <row r="52" spans="1:9" x14ac:dyDescent="0.35">
      <c r="A52" s="428" t="s">
        <v>319</v>
      </c>
      <c r="B52" s="429">
        <v>3</v>
      </c>
      <c r="C52" s="436" t="s">
        <v>247</v>
      </c>
      <c r="D52" s="431" t="s">
        <v>234</v>
      </c>
      <c r="E52" s="324" t="s">
        <v>227</v>
      </c>
      <c r="F52" s="435" t="s">
        <v>235</v>
      </c>
      <c r="G52" s="432" t="s">
        <v>244</v>
      </c>
      <c r="H52" s="432" t="s">
        <v>230</v>
      </c>
      <c r="I52" s="446">
        <v>239</v>
      </c>
    </row>
    <row r="53" spans="1:9" x14ac:dyDescent="0.35">
      <c r="A53" s="428" t="s">
        <v>320</v>
      </c>
      <c r="B53" s="429">
        <v>3</v>
      </c>
      <c r="C53" s="447" t="s">
        <v>233</v>
      </c>
      <c r="D53" s="434" t="s">
        <v>226</v>
      </c>
      <c r="E53" s="324" t="s">
        <v>318</v>
      </c>
      <c r="F53" s="435" t="s">
        <v>235</v>
      </c>
      <c r="G53" s="432" t="s">
        <v>244</v>
      </c>
      <c r="H53" s="432" t="s">
        <v>272</v>
      </c>
      <c r="I53" s="433">
        <v>114</v>
      </c>
    </row>
    <row r="54" spans="1:9" x14ac:dyDescent="0.35">
      <c r="A54" s="428" t="s">
        <v>321</v>
      </c>
      <c r="B54" s="429">
        <v>3</v>
      </c>
      <c r="C54" s="430" t="s">
        <v>233</v>
      </c>
      <c r="D54" s="434" t="s">
        <v>290</v>
      </c>
      <c r="E54" s="324" t="s">
        <v>227</v>
      </c>
      <c r="F54" s="432" t="s">
        <v>228</v>
      </c>
      <c r="G54" s="432" t="s">
        <v>244</v>
      </c>
      <c r="H54" s="432" t="s">
        <v>230</v>
      </c>
      <c r="I54" s="433">
        <v>241</v>
      </c>
    </row>
    <row r="55" spans="1:9" x14ac:dyDescent="0.35">
      <c r="A55" s="428" t="s">
        <v>322</v>
      </c>
      <c r="B55" s="429">
        <v>3</v>
      </c>
      <c r="C55" s="430" t="s">
        <v>233</v>
      </c>
      <c r="D55" s="434" t="s">
        <v>226</v>
      </c>
      <c r="E55" s="324" t="s">
        <v>318</v>
      </c>
      <c r="F55" s="432" t="s">
        <v>268</v>
      </c>
      <c r="G55" s="432" t="s">
        <v>244</v>
      </c>
      <c r="H55" s="432" t="s">
        <v>272</v>
      </c>
      <c r="I55" s="433">
        <v>115</v>
      </c>
    </row>
    <row r="56" spans="1:9" x14ac:dyDescent="0.35">
      <c r="A56" s="428" t="s">
        <v>323</v>
      </c>
      <c r="B56" s="429">
        <v>3</v>
      </c>
      <c r="C56" s="430" t="s">
        <v>225</v>
      </c>
      <c r="D56" s="434" t="s">
        <v>234</v>
      </c>
      <c r="E56" s="324" t="s">
        <v>227</v>
      </c>
      <c r="F56" s="432" t="s">
        <v>324</v>
      </c>
      <c r="G56" s="435" t="s">
        <v>241</v>
      </c>
      <c r="H56" s="435" t="s">
        <v>230</v>
      </c>
      <c r="I56" s="433">
        <v>245</v>
      </c>
    </row>
    <row r="57" spans="1:9" x14ac:dyDescent="0.35">
      <c r="A57" s="428" t="s">
        <v>325</v>
      </c>
      <c r="B57" s="429">
        <v>3</v>
      </c>
      <c r="C57" s="430" t="s">
        <v>225</v>
      </c>
      <c r="D57" s="431" t="s">
        <v>234</v>
      </c>
      <c r="E57" s="324" t="s">
        <v>227</v>
      </c>
      <c r="F57" s="435" t="s">
        <v>235</v>
      </c>
      <c r="G57" s="432" t="s">
        <v>244</v>
      </c>
      <c r="H57" s="432" t="s">
        <v>272</v>
      </c>
      <c r="I57" s="433">
        <v>116</v>
      </c>
    </row>
    <row r="58" spans="1:9" x14ac:dyDescent="0.35">
      <c r="A58" s="428" t="s">
        <v>326</v>
      </c>
      <c r="B58" s="429">
        <v>3</v>
      </c>
      <c r="C58" s="430" t="s">
        <v>225</v>
      </c>
      <c r="D58" s="431" t="s">
        <v>248</v>
      </c>
      <c r="E58" s="324" t="s">
        <v>227</v>
      </c>
      <c r="F58" s="432" t="s">
        <v>274</v>
      </c>
      <c r="G58" s="435" t="s">
        <v>294</v>
      </c>
      <c r="H58" s="435" t="s">
        <v>230</v>
      </c>
      <c r="I58" s="437">
        <v>252</v>
      </c>
    </row>
    <row r="59" spans="1:9" x14ac:dyDescent="0.35">
      <c r="A59" s="428" t="s">
        <v>327</v>
      </c>
      <c r="B59" s="429">
        <v>3</v>
      </c>
      <c r="C59" s="430" t="s">
        <v>278</v>
      </c>
      <c r="D59" s="431" t="s">
        <v>234</v>
      </c>
      <c r="E59" s="324" t="s">
        <v>227</v>
      </c>
      <c r="F59" s="432" t="s">
        <v>268</v>
      </c>
      <c r="G59" s="432" t="s">
        <v>256</v>
      </c>
      <c r="H59" s="432" t="s">
        <v>230</v>
      </c>
      <c r="I59" s="437">
        <v>257</v>
      </c>
    </row>
    <row r="60" spans="1:9" x14ac:dyDescent="0.35">
      <c r="A60" s="428" t="s">
        <v>328</v>
      </c>
      <c r="B60" s="429">
        <v>3</v>
      </c>
      <c r="C60" s="430" t="s">
        <v>247</v>
      </c>
      <c r="D60" s="431" t="s">
        <v>234</v>
      </c>
      <c r="E60" s="324" t="s">
        <v>227</v>
      </c>
      <c r="F60" s="435" t="s">
        <v>235</v>
      </c>
      <c r="G60" s="435" t="s">
        <v>244</v>
      </c>
      <c r="H60" s="435" t="s">
        <v>230</v>
      </c>
      <c r="I60" s="437">
        <v>280</v>
      </c>
    </row>
    <row r="61" spans="1:9" x14ac:dyDescent="0.35">
      <c r="A61" s="428" t="s">
        <v>329</v>
      </c>
      <c r="B61" s="429">
        <v>3</v>
      </c>
      <c r="C61" s="430" t="s">
        <v>233</v>
      </c>
      <c r="D61" s="434" t="s">
        <v>226</v>
      </c>
      <c r="E61" s="324" t="s">
        <v>227</v>
      </c>
      <c r="F61" s="432" t="s">
        <v>235</v>
      </c>
      <c r="G61" s="435" t="s">
        <v>256</v>
      </c>
      <c r="H61" s="435" t="s">
        <v>230</v>
      </c>
      <c r="I61" s="437">
        <v>285</v>
      </c>
    </row>
    <row r="62" spans="1:9" x14ac:dyDescent="0.35">
      <c r="A62" s="428" t="s">
        <v>330</v>
      </c>
      <c r="B62" s="429">
        <v>3</v>
      </c>
      <c r="C62" s="430" t="s">
        <v>225</v>
      </c>
      <c r="D62" s="434" t="s">
        <v>226</v>
      </c>
      <c r="E62" s="324" t="s">
        <v>227</v>
      </c>
      <c r="F62" s="432" t="s">
        <v>228</v>
      </c>
      <c r="G62" s="432" t="s">
        <v>244</v>
      </c>
      <c r="H62" s="432" t="s">
        <v>272</v>
      </c>
      <c r="I62" s="433">
        <v>128</v>
      </c>
    </row>
    <row r="63" spans="1:9" x14ac:dyDescent="0.35">
      <c r="A63" s="438" t="s">
        <v>331</v>
      </c>
      <c r="B63" s="439">
        <v>3</v>
      </c>
      <c r="C63" s="440" t="s">
        <v>225</v>
      </c>
      <c r="D63" s="441" t="s">
        <v>226</v>
      </c>
      <c r="E63" s="442" t="s">
        <v>332</v>
      </c>
      <c r="F63" s="444" t="s">
        <v>333</v>
      </c>
      <c r="G63" s="444" t="s">
        <v>236</v>
      </c>
      <c r="H63" s="444" t="s">
        <v>230</v>
      </c>
      <c r="I63" s="448">
        <v>303</v>
      </c>
    </row>
    <row r="64" spans="1:9" x14ac:dyDescent="0.35">
      <c r="A64" s="428" t="s">
        <v>334</v>
      </c>
      <c r="B64" s="429">
        <v>4</v>
      </c>
      <c r="C64" s="430" t="s">
        <v>233</v>
      </c>
      <c r="D64" s="434" t="s">
        <v>226</v>
      </c>
      <c r="E64" s="324" t="s">
        <v>227</v>
      </c>
      <c r="F64" s="432" t="s">
        <v>235</v>
      </c>
      <c r="G64" s="435" t="s">
        <v>335</v>
      </c>
      <c r="H64" s="435" t="s">
        <v>230</v>
      </c>
      <c r="I64" s="437">
        <v>209</v>
      </c>
    </row>
    <row r="65" spans="1:9" x14ac:dyDescent="0.35">
      <c r="A65" s="428" t="s">
        <v>336</v>
      </c>
      <c r="B65" s="429">
        <v>4</v>
      </c>
      <c r="C65" s="430" t="s">
        <v>233</v>
      </c>
      <c r="D65" s="431" t="s">
        <v>260</v>
      </c>
      <c r="E65" s="324" t="s">
        <v>227</v>
      </c>
      <c r="F65" s="432" t="s">
        <v>228</v>
      </c>
      <c r="G65" s="435" t="s">
        <v>244</v>
      </c>
      <c r="H65" s="435" t="s">
        <v>230</v>
      </c>
      <c r="I65" s="437">
        <v>212</v>
      </c>
    </row>
    <row r="66" spans="1:9" x14ac:dyDescent="0.35">
      <c r="A66" s="428" t="s">
        <v>337</v>
      </c>
      <c r="B66" s="429">
        <v>4</v>
      </c>
      <c r="C66" s="430" t="s">
        <v>233</v>
      </c>
      <c r="D66" s="434" t="s">
        <v>234</v>
      </c>
      <c r="E66" s="324" t="s">
        <v>227</v>
      </c>
      <c r="F66" s="432" t="s">
        <v>93</v>
      </c>
      <c r="G66" s="435" t="s">
        <v>241</v>
      </c>
      <c r="H66" s="435" t="s">
        <v>230</v>
      </c>
      <c r="I66" s="433">
        <v>215</v>
      </c>
    </row>
    <row r="67" spans="1:9" x14ac:dyDescent="0.35">
      <c r="A67" s="428" t="s">
        <v>338</v>
      </c>
      <c r="B67" s="429">
        <v>4</v>
      </c>
      <c r="C67" s="430" t="s">
        <v>278</v>
      </c>
      <c r="D67" s="431" t="s">
        <v>260</v>
      </c>
      <c r="E67" s="324" t="s">
        <v>227</v>
      </c>
      <c r="F67" s="432" t="s">
        <v>268</v>
      </c>
      <c r="G67" s="435" t="s">
        <v>249</v>
      </c>
      <c r="H67" s="435" t="s">
        <v>230</v>
      </c>
      <c r="I67" s="433">
        <v>233</v>
      </c>
    </row>
    <row r="68" spans="1:9" x14ac:dyDescent="0.35">
      <c r="A68" s="428" t="s">
        <v>339</v>
      </c>
      <c r="B68" s="429">
        <v>4</v>
      </c>
      <c r="C68" s="436" t="s">
        <v>225</v>
      </c>
      <c r="D68" s="431" t="s">
        <v>226</v>
      </c>
      <c r="E68" s="324" t="s">
        <v>227</v>
      </c>
      <c r="F68" s="432" t="s">
        <v>268</v>
      </c>
      <c r="G68" s="432" t="s">
        <v>241</v>
      </c>
      <c r="H68" s="432" t="s">
        <v>230</v>
      </c>
      <c r="I68" s="433">
        <v>245</v>
      </c>
    </row>
    <row r="69" spans="1:9" x14ac:dyDescent="0.35">
      <c r="A69" s="428" t="s">
        <v>340</v>
      </c>
      <c r="B69" s="429">
        <v>4</v>
      </c>
      <c r="C69" s="430" t="s">
        <v>225</v>
      </c>
      <c r="D69" s="434" t="s">
        <v>226</v>
      </c>
      <c r="E69" s="324" t="s">
        <v>318</v>
      </c>
      <c r="F69" s="432" t="s">
        <v>253</v>
      </c>
      <c r="G69" s="435" t="s">
        <v>241</v>
      </c>
      <c r="H69" s="435" t="s">
        <v>272</v>
      </c>
      <c r="I69" s="433">
        <v>120</v>
      </c>
    </row>
    <row r="70" spans="1:9" x14ac:dyDescent="0.35">
      <c r="A70" s="428" t="s">
        <v>341</v>
      </c>
      <c r="B70" s="429">
        <v>4</v>
      </c>
      <c r="C70" s="430" t="s">
        <v>259</v>
      </c>
      <c r="D70" s="434" t="s">
        <v>234</v>
      </c>
      <c r="E70" s="324" t="s">
        <v>227</v>
      </c>
      <c r="F70" s="435" t="s">
        <v>274</v>
      </c>
      <c r="G70" s="432" t="s">
        <v>241</v>
      </c>
      <c r="H70" s="432" t="s">
        <v>230</v>
      </c>
      <c r="I70" s="437">
        <v>249</v>
      </c>
    </row>
    <row r="71" spans="1:9" x14ac:dyDescent="0.35">
      <c r="A71" s="428" t="s">
        <v>342</v>
      </c>
      <c r="B71" s="429">
        <v>4</v>
      </c>
      <c r="C71" s="430" t="s">
        <v>233</v>
      </c>
      <c r="D71" s="434" t="s">
        <v>226</v>
      </c>
      <c r="E71" s="434" t="s">
        <v>227</v>
      </c>
      <c r="F71" s="432" t="s">
        <v>235</v>
      </c>
      <c r="G71" s="435" t="s">
        <v>251</v>
      </c>
      <c r="H71" s="435" t="s">
        <v>272</v>
      </c>
      <c r="I71" s="433">
        <v>128</v>
      </c>
    </row>
    <row r="72" spans="1:9" x14ac:dyDescent="0.35">
      <c r="A72" s="428" t="s">
        <v>343</v>
      </c>
      <c r="B72" s="429">
        <v>4</v>
      </c>
      <c r="C72" s="430" t="s">
        <v>225</v>
      </c>
      <c r="D72" s="434" t="s">
        <v>226</v>
      </c>
      <c r="E72" s="434" t="s">
        <v>227</v>
      </c>
      <c r="F72" s="432" t="s">
        <v>228</v>
      </c>
      <c r="G72" s="435" t="s">
        <v>244</v>
      </c>
      <c r="H72" s="435" t="s">
        <v>272</v>
      </c>
      <c r="I72" s="433">
        <v>120</v>
      </c>
    </row>
    <row r="73" spans="1:9" x14ac:dyDescent="0.35">
      <c r="A73" s="428" t="s">
        <v>344</v>
      </c>
      <c r="B73" s="429">
        <v>4</v>
      </c>
      <c r="C73" s="430" t="s">
        <v>225</v>
      </c>
      <c r="D73" s="434" t="s">
        <v>345</v>
      </c>
      <c r="E73" s="324" t="s">
        <v>227</v>
      </c>
      <c r="F73" s="432" t="s">
        <v>228</v>
      </c>
      <c r="G73" s="435" t="s">
        <v>294</v>
      </c>
      <c r="H73" s="435" t="s">
        <v>230</v>
      </c>
      <c r="I73" s="437">
        <v>268</v>
      </c>
    </row>
    <row r="74" spans="1:9" x14ac:dyDescent="0.35">
      <c r="A74" s="449" t="s">
        <v>346</v>
      </c>
      <c r="B74" s="450">
        <v>4</v>
      </c>
      <c r="C74" s="451" t="s">
        <v>225</v>
      </c>
      <c r="D74" s="452" t="s">
        <v>226</v>
      </c>
      <c r="E74" s="452" t="s">
        <v>227</v>
      </c>
      <c r="F74" s="453" t="s">
        <v>235</v>
      </c>
      <c r="G74" s="454" t="s">
        <v>244</v>
      </c>
      <c r="H74" s="454" t="s">
        <v>282</v>
      </c>
      <c r="I74" s="455">
        <v>186</v>
      </c>
    </row>
    <row r="75" spans="1:9" x14ac:dyDescent="0.35">
      <c r="A75" s="438" t="s">
        <v>347</v>
      </c>
      <c r="B75" s="439">
        <v>4</v>
      </c>
      <c r="C75" s="440" t="s">
        <v>267</v>
      </c>
      <c r="D75" s="441" t="s">
        <v>234</v>
      </c>
      <c r="E75" s="442" t="s">
        <v>227</v>
      </c>
      <c r="F75" s="444" t="s">
        <v>228</v>
      </c>
      <c r="G75" s="444" t="s">
        <v>241</v>
      </c>
      <c r="H75" s="444" t="s">
        <v>230</v>
      </c>
      <c r="I75" s="448">
        <v>281</v>
      </c>
    </row>
    <row r="76" spans="1:9" x14ac:dyDescent="0.35">
      <c r="A76" s="428" t="s">
        <v>348</v>
      </c>
      <c r="B76" s="429">
        <v>5</v>
      </c>
      <c r="C76" s="430" t="s">
        <v>278</v>
      </c>
      <c r="D76" s="434" t="s">
        <v>226</v>
      </c>
      <c r="E76" s="324" t="s">
        <v>229</v>
      </c>
      <c r="F76" s="432" t="s">
        <v>235</v>
      </c>
      <c r="G76" s="435" t="s">
        <v>251</v>
      </c>
      <c r="H76" s="435" t="s">
        <v>230</v>
      </c>
      <c r="I76" s="437">
        <v>207</v>
      </c>
    </row>
    <row r="77" spans="1:9" x14ac:dyDescent="0.35">
      <c r="A77" s="428" t="s">
        <v>349</v>
      </c>
      <c r="B77" s="429">
        <v>5</v>
      </c>
      <c r="C77" s="436" t="s">
        <v>233</v>
      </c>
      <c r="D77" s="456" t="s">
        <v>226</v>
      </c>
      <c r="E77" s="457" t="s">
        <v>332</v>
      </c>
      <c r="F77" s="458" t="s">
        <v>235</v>
      </c>
      <c r="G77" s="432" t="s">
        <v>335</v>
      </c>
      <c r="H77" s="432" t="s">
        <v>230</v>
      </c>
      <c r="I77" s="459">
        <v>224</v>
      </c>
    </row>
    <row r="78" spans="1:9" x14ac:dyDescent="0.35">
      <c r="A78" s="428" t="s">
        <v>350</v>
      </c>
      <c r="B78" s="429">
        <v>5</v>
      </c>
      <c r="C78" s="436" t="s">
        <v>233</v>
      </c>
      <c r="D78" s="456" t="s">
        <v>234</v>
      </c>
      <c r="E78" s="460" t="s">
        <v>227</v>
      </c>
      <c r="F78" s="458" t="s">
        <v>228</v>
      </c>
      <c r="G78" s="432" t="s">
        <v>251</v>
      </c>
      <c r="H78" s="432" t="s">
        <v>230</v>
      </c>
      <c r="I78" s="437">
        <v>229</v>
      </c>
    </row>
    <row r="79" spans="1:9" x14ac:dyDescent="0.35">
      <c r="A79" s="428" t="s">
        <v>351</v>
      </c>
      <c r="B79" s="429">
        <v>5</v>
      </c>
      <c r="C79" s="436" t="s">
        <v>233</v>
      </c>
      <c r="D79" s="456" t="s">
        <v>234</v>
      </c>
      <c r="E79" s="460" t="s">
        <v>227</v>
      </c>
      <c r="F79" s="458" t="s">
        <v>228</v>
      </c>
      <c r="G79" s="432" t="s">
        <v>244</v>
      </c>
      <c r="H79" s="432" t="s">
        <v>272</v>
      </c>
      <c r="I79" s="437">
        <v>114</v>
      </c>
    </row>
    <row r="80" spans="1:9" x14ac:dyDescent="0.35">
      <c r="A80" s="428" t="s">
        <v>352</v>
      </c>
      <c r="B80" s="429">
        <v>5</v>
      </c>
      <c r="C80" s="436" t="s">
        <v>233</v>
      </c>
      <c r="D80" s="431" t="s">
        <v>290</v>
      </c>
      <c r="E80" s="460" t="s">
        <v>227</v>
      </c>
      <c r="F80" s="432" t="s">
        <v>228</v>
      </c>
      <c r="G80" s="432" t="s">
        <v>244</v>
      </c>
      <c r="H80" s="432" t="s">
        <v>230</v>
      </c>
      <c r="I80" s="437">
        <v>241</v>
      </c>
    </row>
    <row r="81" spans="1:9" x14ac:dyDescent="0.35">
      <c r="A81" s="428" t="s">
        <v>353</v>
      </c>
      <c r="B81" s="429">
        <v>5</v>
      </c>
      <c r="C81" s="436" t="s">
        <v>233</v>
      </c>
      <c r="D81" s="431" t="s">
        <v>287</v>
      </c>
      <c r="E81" s="460" t="s">
        <v>227</v>
      </c>
      <c r="F81" s="432" t="s">
        <v>235</v>
      </c>
      <c r="G81" s="432" t="s">
        <v>236</v>
      </c>
      <c r="H81" s="432" t="s">
        <v>272</v>
      </c>
      <c r="I81" s="437">
        <v>115</v>
      </c>
    </row>
    <row r="82" spans="1:9" x14ac:dyDescent="0.35">
      <c r="A82" s="428" t="s">
        <v>354</v>
      </c>
      <c r="B82" s="429">
        <v>5</v>
      </c>
      <c r="C82" s="436" t="s">
        <v>233</v>
      </c>
      <c r="D82" s="431" t="s">
        <v>226</v>
      </c>
      <c r="E82" s="460" t="s">
        <v>227</v>
      </c>
      <c r="F82" s="432" t="s">
        <v>228</v>
      </c>
      <c r="G82" s="432" t="s">
        <v>294</v>
      </c>
      <c r="H82" s="432" t="s">
        <v>230</v>
      </c>
      <c r="I82" s="437">
        <v>253</v>
      </c>
    </row>
    <row r="83" spans="1:9" x14ac:dyDescent="0.35">
      <c r="A83" s="428" t="s">
        <v>355</v>
      </c>
      <c r="B83" s="429">
        <v>5</v>
      </c>
      <c r="C83" s="436" t="s">
        <v>259</v>
      </c>
      <c r="D83" s="456" t="s">
        <v>234</v>
      </c>
      <c r="E83" s="460" t="s">
        <v>227</v>
      </c>
      <c r="F83" s="432" t="s">
        <v>235</v>
      </c>
      <c r="G83" s="432" t="s">
        <v>249</v>
      </c>
      <c r="H83" s="432" t="s">
        <v>230</v>
      </c>
      <c r="I83" s="437">
        <v>268</v>
      </c>
    </row>
    <row r="84" spans="1:9" x14ac:dyDescent="0.35">
      <c r="A84" s="428" t="s">
        <v>356</v>
      </c>
      <c r="B84" s="429">
        <v>5</v>
      </c>
      <c r="C84" s="436" t="s">
        <v>225</v>
      </c>
      <c r="D84" s="431" t="s">
        <v>226</v>
      </c>
      <c r="E84" s="460" t="s">
        <v>227</v>
      </c>
      <c r="F84" s="432" t="s">
        <v>235</v>
      </c>
      <c r="G84" s="432" t="s">
        <v>309</v>
      </c>
      <c r="H84" s="432" t="s">
        <v>230</v>
      </c>
      <c r="I84" s="437">
        <v>275</v>
      </c>
    </row>
    <row r="85" spans="1:9" x14ac:dyDescent="0.35">
      <c r="A85" s="428" t="s">
        <v>357</v>
      </c>
      <c r="B85" s="429">
        <v>5</v>
      </c>
      <c r="C85" s="436" t="s">
        <v>285</v>
      </c>
      <c r="D85" s="431" t="s">
        <v>260</v>
      </c>
      <c r="E85" s="460" t="s">
        <v>309</v>
      </c>
      <c r="F85" s="432" t="s">
        <v>235</v>
      </c>
      <c r="G85" s="432" t="s">
        <v>358</v>
      </c>
      <c r="H85" s="432" t="s">
        <v>230</v>
      </c>
      <c r="I85" s="437">
        <v>275</v>
      </c>
    </row>
    <row r="86" spans="1:9" x14ac:dyDescent="0.35">
      <c r="A86" s="438" t="s">
        <v>359</v>
      </c>
      <c r="B86" s="439">
        <v>5</v>
      </c>
      <c r="C86" s="440" t="s">
        <v>247</v>
      </c>
      <c r="D86" s="461" t="s">
        <v>226</v>
      </c>
      <c r="E86" s="461" t="s">
        <v>227</v>
      </c>
      <c r="F86" s="444" t="s">
        <v>235</v>
      </c>
      <c r="G86" s="444" t="s">
        <v>236</v>
      </c>
      <c r="H86" s="444" t="s">
        <v>272</v>
      </c>
      <c r="I86" s="445">
        <v>113</v>
      </c>
    </row>
    <row r="87" spans="1:9" x14ac:dyDescent="0.35">
      <c r="A87" s="428" t="s">
        <v>360</v>
      </c>
      <c r="B87" s="429">
        <v>6</v>
      </c>
      <c r="C87" s="436" t="s">
        <v>278</v>
      </c>
      <c r="D87" s="456" t="s">
        <v>226</v>
      </c>
      <c r="E87" s="460" t="s">
        <v>227</v>
      </c>
      <c r="F87" s="458" t="s">
        <v>228</v>
      </c>
      <c r="G87" s="432" t="s">
        <v>251</v>
      </c>
      <c r="H87" s="432" t="s">
        <v>230</v>
      </c>
      <c r="I87" s="437">
        <v>221</v>
      </c>
    </row>
    <row r="88" spans="1:9" x14ac:dyDescent="0.35">
      <c r="A88" s="449" t="s">
        <v>361</v>
      </c>
      <c r="B88" s="450">
        <v>6</v>
      </c>
      <c r="C88" s="462" t="s">
        <v>233</v>
      </c>
      <c r="D88" s="463" t="s">
        <v>226</v>
      </c>
      <c r="E88" s="464" t="s">
        <v>227</v>
      </c>
      <c r="F88" s="453" t="s">
        <v>235</v>
      </c>
      <c r="G88" s="465" t="s">
        <v>244</v>
      </c>
      <c r="H88" s="453" t="s">
        <v>362</v>
      </c>
      <c r="I88" s="455">
        <v>95</v>
      </c>
    </row>
    <row r="89" spans="1:9" x14ac:dyDescent="0.35">
      <c r="A89" s="428" t="s">
        <v>363</v>
      </c>
      <c r="B89" s="429">
        <v>6</v>
      </c>
      <c r="C89" s="436" t="s">
        <v>233</v>
      </c>
      <c r="D89" s="431" t="s">
        <v>226</v>
      </c>
      <c r="E89" s="460" t="s">
        <v>227</v>
      </c>
      <c r="F89" s="458" t="s">
        <v>228</v>
      </c>
      <c r="G89" s="432" t="s">
        <v>256</v>
      </c>
      <c r="H89" s="432" t="s">
        <v>230</v>
      </c>
      <c r="I89" s="437">
        <v>285</v>
      </c>
    </row>
    <row r="90" spans="1:9" x14ac:dyDescent="0.35">
      <c r="A90" s="428" t="s">
        <v>364</v>
      </c>
      <c r="B90" s="429">
        <v>6</v>
      </c>
      <c r="C90" s="436" t="s">
        <v>225</v>
      </c>
      <c r="D90" s="431" t="s">
        <v>316</v>
      </c>
      <c r="E90" s="460" t="s">
        <v>227</v>
      </c>
      <c r="F90" s="432" t="s">
        <v>235</v>
      </c>
      <c r="G90" s="458" t="s">
        <v>244</v>
      </c>
      <c r="H90" s="432" t="s">
        <v>230</v>
      </c>
      <c r="I90" s="437">
        <v>255</v>
      </c>
    </row>
    <row r="91" spans="1:9" x14ac:dyDescent="0.35">
      <c r="A91" s="428" t="s">
        <v>365</v>
      </c>
      <c r="B91" s="429">
        <v>6</v>
      </c>
      <c r="C91" s="436" t="s">
        <v>233</v>
      </c>
      <c r="D91" s="431" t="s">
        <v>226</v>
      </c>
      <c r="E91" s="460" t="s">
        <v>227</v>
      </c>
      <c r="F91" s="432" t="s">
        <v>268</v>
      </c>
      <c r="G91" s="432" t="s">
        <v>251</v>
      </c>
      <c r="H91" s="432" t="s">
        <v>272</v>
      </c>
      <c r="I91" s="437">
        <v>120</v>
      </c>
    </row>
    <row r="92" spans="1:9" x14ac:dyDescent="0.35">
      <c r="A92" s="428" t="s">
        <v>366</v>
      </c>
      <c r="B92" s="429">
        <v>6</v>
      </c>
      <c r="C92" s="436" t="s">
        <v>278</v>
      </c>
      <c r="D92" s="431" t="s">
        <v>367</v>
      </c>
      <c r="E92" s="460" t="s">
        <v>227</v>
      </c>
      <c r="F92" s="432" t="s">
        <v>368</v>
      </c>
      <c r="G92" s="458" t="s">
        <v>244</v>
      </c>
      <c r="H92" s="432" t="s">
        <v>230</v>
      </c>
      <c r="I92" s="437">
        <v>271</v>
      </c>
    </row>
    <row r="93" spans="1:9" x14ac:dyDescent="0.35">
      <c r="A93" s="428" t="s">
        <v>369</v>
      </c>
      <c r="B93" s="429">
        <v>6</v>
      </c>
      <c r="C93" s="436" t="s">
        <v>225</v>
      </c>
      <c r="D93" s="431" t="s">
        <v>226</v>
      </c>
      <c r="E93" s="460" t="s">
        <v>227</v>
      </c>
      <c r="F93" s="432" t="s">
        <v>268</v>
      </c>
      <c r="G93" s="432" t="s">
        <v>256</v>
      </c>
      <c r="H93" s="432" t="s">
        <v>230</v>
      </c>
      <c r="I93" s="437">
        <v>277</v>
      </c>
    </row>
    <row r="94" spans="1:9" x14ac:dyDescent="0.35">
      <c r="A94" s="428" t="s">
        <v>370</v>
      </c>
      <c r="B94" s="429">
        <v>6</v>
      </c>
      <c r="C94" s="436" t="s">
        <v>259</v>
      </c>
      <c r="D94" s="431" t="s">
        <v>234</v>
      </c>
      <c r="E94" s="460" t="s">
        <v>227</v>
      </c>
      <c r="F94" s="458" t="s">
        <v>268</v>
      </c>
      <c r="G94" s="458" t="s">
        <v>241</v>
      </c>
      <c r="H94" s="432" t="s">
        <v>230</v>
      </c>
      <c r="I94" s="437">
        <v>296</v>
      </c>
    </row>
    <row r="95" spans="1:9" ht="18" thickBot="1" x14ac:dyDescent="0.4">
      <c r="A95" s="466" t="s">
        <v>371</v>
      </c>
      <c r="B95" s="467">
        <v>6</v>
      </c>
      <c r="C95" s="468" t="s">
        <v>225</v>
      </c>
      <c r="D95" s="469" t="s">
        <v>226</v>
      </c>
      <c r="E95" s="469" t="s">
        <v>227</v>
      </c>
      <c r="F95" s="470" t="s">
        <v>274</v>
      </c>
      <c r="G95" s="470" t="s">
        <v>372</v>
      </c>
      <c r="H95" s="470" t="s">
        <v>230</v>
      </c>
      <c r="I95" s="471">
        <v>298</v>
      </c>
    </row>
    <row r="96" spans="1:9" ht="18" thickTop="1" x14ac:dyDescent="0.35"/>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54D03-641C-4EC3-B3B1-B3E79DA07337}">
  <dimension ref="A1:I9"/>
  <sheetViews>
    <sheetView showGridLines="0" workbookViewId="0"/>
  </sheetViews>
  <sheetFormatPr defaultColWidth="9.8984375" defaultRowHeight="17.399999999999999" x14ac:dyDescent="0.3"/>
  <cols>
    <col min="1" max="1" width="17.69921875" style="353" bestFit="1" customWidth="1"/>
    <col min="2" max="2" width="3.8984375" style="353" customWidth="1"/>
    <col min="3" max="3" width="3.59765625" style="353" bestFit="1" customWidth="1"/>
    <col min="4" max="4" width="4.3984375" style="353" bestFit="1" customWidth="1"/>
    <col min="5" max="5" width="4.09765625" style="353" bestFit="1" customWidth="1"/>
    <col min="6" max="11" width="3.8984375" style="353" bestFit="1" customWidth="1"/>
    <col min="12" max="16384" width="9.8984375" style="353"/>
  </cols>
  <sheetData>
    <row r="1" spans="1:9" ht="18" thickTop="1" x14ac:dyDescent="0.3">
      <c r="A1" s="348"/>
      <c r="B1" s="349" t="s">
        <v>373</v>
      </c>
      <c r="C1" s="350"/>
      <c r="D1" s="351"/>
      <c r="E1" s="351"/>
      <c r="F1" s="351"/>
      <c r="G1" s="351"/>
      <c r="H1" s="351"/>
      <c r="I1" s="352"/>
    </row>
    <row r="2" spans="1:9" ht="18" thickBot="1" x14ac:dyDescent="0.35">
      <c r="A2" s="348"/>
      <c r="B2" s="354" t="s">
        <v>376</v>
      </c>
      <c r="C2" s="355" t="s">
        <v>377</v>
      </c>
      <c r="D2" s="355" t="s">
        <v>378</v>
      </c>
      <c r="E2" s="355" t="s">
        <v>379</v>
      </c>
      <c r="F2" s="355" t="s">
        <v>380</v>
      </c>
      <c r="G2" s="355" t="s">
        <v>381</v>
      </c>
      <c r="H2" s="355" t="s">
        <v>382</v>
      </c>
      <c r="I2" s="356" t="s">
        <v>383</v>
      </c>
    </row>
    <row r="3" spans="1:9" ht="18" thickTop="1" x14ac:dyDescent="0.3">
      <c r="A3" s="357" t="s">
        <v>215</v>
      </c>
      <c r="B3" s="358">
        <v>5</v>
      </c>
      <c r="C3" s="359">
        <v>3</v>
      </c>
      <c r="D3" s="360">
        <v>0</v>
      </c>
      <c r="E3" s="360">
        <v>0</v>
      </c>
      <c r="F3" s="360">
        <v>0</v>
      </c>
      <c r="G3" s="360">
        <v>0</v>
      </c>
      <c r="H3" s="360">
        <v>0</v>
      </c>
      <c r="I3" s="361">
        <v>0</v>
      </c>
    </row>
    <row r="4" spans="1:9" x14ac:dyDescent="0.3">
      <c r="A4" s="362" t="s">
        <v>388</v>
      </c>
      <c r="B4" s="363">
        <v>0</v>
      </c>
      <c r="C4" s="363">
        <v>1</v>
      </c>
      <c r="D4" s="364">
        <v>1</v>
      </c>
      <c r="E4" s="364">
        <v>1</v>
      </c>
      <c r="F4" s="364">
        <v>0</v>
      </c>
      <c r="G4" s="364">
        <v>0</v>
      </c>
      <c r="H4" s="364">
        <v>0</v>
      </c>
      <c r="I4" s="365">
        <v>0</v>
      </c>
    </row>
    <row r="5" spans="1:9" x14ac:dyDescent="0.3">
      <c r="A5" s="366" t="s">
        <v>384</v>
      </c>
      <c r="B5" s="367">
        <f>SUM(B3:B4)</f>
        <v>5</v>
      </c>
      <c r="C5" s="368">
        <f>SUM(C3:C4)</f>
        <v>4</v>
      </c>
      <c r="D5" s="369">
        <v>0</v>
      </c>
      <c r="E5" s="369">
        <v>0</v>
      </c>
      <c r="F5" s="369">
        <v>0</v>
      </c>
      <c r="G5" s="369">
        <v>0</v>
      </c>
      <c r="H5" s="369">
        <v>0</v>
      </c>
      <c r="I5" s="370">
        <v>0</v>
      </c>
    </row>
    <row r="6" spans="1:9" x14ac:dyDescent="0.3">
      <c r="A6" s="371" t="s">
        <v>374</v>
      </c>
      <c r="B6" s="372">
        <f>10+(LEFT(B2,1)+'Personal File'!$C$13)</f>
        <v>13</v>
      </c>
      <c r="C6" s="373">
        <f>10+(LEFT(C2,1)+'Personal File'!$C$13)</f>
        <v>14</v>
      </c>
      <c r="D6" s="374" t="s">
        <v>94</v>
      </c>
      <c r="E6" s="374" t="s">
        <v>94</v>
      </c>
      <c r="F6" s="374" t="s">
        <v>94</v>
      </c>
      <c r="G6" s="374" t="s">
        <v>94</v>
      </c>
      <c r="H6" s="374" t="s">
        <v>94</v>
      </c>
      <c r="I6" s="375" t="s">
        <v>94</v>
      </c>
    </row>
    <row r="7" spans="1:9" ht="18" thickBot="1" x14ac:dyDescent="0.35">
      <c r="A7" s="376" t="s">
        <v>375</v>
      </c>
      <c r="B7" s="377">
        <v>0</v>
      </c>
      <c r="C7" s="378">
        <v>0</v>
      </c>
      <c r="D7" s="379" t="s">
        <v>94</v>
      </c>
      <c r="E7" s="379" t="s">
        <v>94</v>
      </c>
      <c r="F7" s="379" t="s">
        <v>94</v>
      </c>
      <c r="G7" s="379" t="s">
        <v>94</v>
      </c>
      <c r="H7" s="379" t="s">
        <v>94</v>
      </c>
      <c r="I7" s="380" t="s">
        <v>94</v>
      </c>
    </row>
    <row r="8" spans="1:9" ht="18" thickTop="1" x14ac:dyDescent="0.3"/>
    <row r="9" spans="1:9" x14ac:dyDescent="0.3">
      <c r="A9" s="381" t="s">
        <v>385</v>
      </c>
      <c r="B9" s="382">
        <f>'Personal File'!E4</f>
        <v>1</v>
      </c>
    </row>
  </sheetData>
  <printOptions gridLinesSet="0"/>
  <pageMargins left="0.62" right="0.33" top="0.5" bottom="0.63" header="0.5" footer="0.5"/>
  <pageSetup orientation="portrait" horizontalDpi="120" verticalDpi="144"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showGridLines="0" workbookViewId="0"/>
  </sheetViews>
  <sheetFormatPr defaultColWidth="8.69921875" defaultRowHeight="17.399999999999999" x14ac:dyDescent="0.35"/>
  <cols>
    <col min="1" max="1" width="24" style="18" bestFit="1" customWidth="1"/>
    <col min="2" max="2" width="2.19921875" style="10" customWidth="1"/>
    <col min="3" max="3" width="25.796875" style="11" bestFit="1" customWidth="1"/>
    <col min="4" max="4" width="13.19921875" style="11" bestFit="1" customWidth="1"/>
    <col min="5" max="5" width="9.296875" style="11" bestFit="1" customWidth="1"/>
    <col min="6" max="6" width="12.296875" style="11" bestFit="1" customWidth="1"/>
    <col min="7" max="7" width="11.69921875" style="11" bestFit="1" customWidth="1"/>
    <col min="8" max="16384" width="8.69921875" style="47"/>
  </cols>
  <sheetData>
    <row r="1" spans="1:7" ht="22.2" thickTop="1" thickBot="1" x14ac:dyDescent="0.45">
      <c r="A1" s="139" t="s">
        <v>70</v>
      </c>
      <c r="B1" s="47"/>
      <c r="C1" s="287" t="s">
        <v>57</v>
      </c>
      <c r="D1" s="47"/>
      <c r="E1" s="47"/>
      <c r="F1" s="47"/>
      <c r="G1" s="47"/>
    </row>
    <row r="2" spans="1:7" x14ac:dyDescent="0.35">
      <c r="A2" s="276" t="s">
        <v>140</v>
      </c>
      <c r="B2" s="47"/>
      <c r="C2" s="273" t="s">
        <v>134</v>
      </c>
      <c r="D2" s="47"/>
      <c r="E2" s="47"/>
      <c r="F2" s="47"/>
      <c r="G2" s="47"/>
    </row>
    <row r="3" spans="1:7" ht="18" thickBot="1" x14ac:dyDescent="0.4">
      <c r="A3" s="328" t="s">
        <v>141</v>
      </c>
      <c r="B3" s="47"/>
      <c r="C3" s="274" t="s">
        <v>135</v>
      </c>
      <c r="D3" s="47"/>
      <c r="E3" s="47"/>
      <c r="F3" s="47"/>
      <c r="G3" s="47"/>
    </row>
    <row r="4" spans="1:7" ht="18.600000000000001" thickTop="1" thickBot="1" x14ac:dyDescent="0.4">
      <c r="A4" s="328" t="s">
        <v>142</v>
      </c>
      <c r="B4" s="47"/>
      <c r="C4" s="47"/>
      <c r="D4" s="47"/>
      <c r="E4" s="47"/>
      <c r="F4" s="47"/>
      <c r="G4" s="47"/>
    </row>
    <row r="5" spans="1:7" ht="22.2" thickTop="1" thickBot="1" x14ac:dyDescent="0.4">
      <c r="A5" s="326" t="s">
        <v>143</v>
      </c>
      <c r="B5" s="47"/>
      <c r="C5" s="287" t="s">
        <v>145</v>
      </c>
      <c r="D5" s="47"/>
      <c r="E5" s="47"/>
      <c r="F5" s="47"/>
      <c r="G5" s="47"/>
    </row>
    <row r="6" spans="1:7" ht="18.600000000000001" thickTop="1" thickBot="1" x14ac:dyDescent="0.4">
      <c r="B6" s="47"/>
      <c r="C6" s="328" t="s">
        <v>146</v>
      </c>
      <c r="D6" s="47"/>
      <c r="E6" s="47"/>
      <c r="F6" s="47"/>
      <c r="G6" s="47"/>
    </row>
    <row r="7" spans="1:7" ht="22.2" thickTop="1" thickBot="1" x14ac:dyDescent="0.45">
      <c r="A7" s="139" t="s">
        <v>131</v>
      </c>
      <c r="B7" s="47"/>
      <c r="C7" s="328" t="s">
        <v>147</v>
      </c>
      <c r="D7" s="47"/>
      <c r="E7" s="47"/>
      <c r="F7" s="47"/>
      <c r="G7" s="47"/>
    </row>
    <row r="8" spans="1:7" ht="18" thickBot="1" x14ac:dyDescent="0.4">
      <c r="A8" s="327" t="s">
        <v>72</v>
      </c>
      <c r="B8" s="47"/>
      <c r="C8" s="342" t="s">
        <v>144</v>
      </c>
      <c r="D8" s="47"/>
      <c r="E8" s="47"/>
      <c r="F8" s="47"/>
      <c r="G8" s="47"/>
    </row>
    <row r="9" spans="1:7" ht="18.600000000000001" thickTop="1" thickBot="1" x14ac:dyDescent="0.4">
      <c r="A9" s="325" t="s">
        <v>132</v>
      </c>
      <c r="B9" s="47"/>
      <c r="C9" s="47"/>
      <c r="D9" s="47"/>
      <c r="E9" s="47"/>
      <c r="F9" s="47"/>
      <c r="G9" s="47"/>
    </row>
    <row r="10" spans="1:7" ht="22.2" thickTop="1" thickBot="1" x14ac:dyDescent="0.4">
      <c r="A10" s="327" t="str">
        <f>CONCATENATE("Trap Sense +",1)</f>
        <v>Trap Sense +1</v>
      </c>
      <c r="B10" s="47"/>
      <c r="C10" s="288" t="s">
        <v>68</v>
      </c>
      <c r="D10" s="47"/>
      <c r="E10" s="47"/>
      <c r="F10" s="47"/>
      <c r="G10" s="47"/>
    </row>
    <row r="11" spans="1:7" ht="18" thickBot="1" x14ac:dyDescent="0.4">
      <c r="A11" s="326" t="s">
        <v>73</v>
      </c>
      <c r="B11" s="47"/>
      <c r="C11" s="275" t="s">
        <v>76</v>
      </c>
      <c r="D11" s="47"/>
      <c r="E11" s="47"/>
      <c r="F11" s="47"/>
      <c r="G11" s="47"/>
    </row>
    <row r="12" spans="1:7" ht="18.600000000000001" thickTop="1" thickBot="1" x14ac:dyDescent="0.4">
      <c r="C12" s="276" t="s">
        <v>90</v>
      </c>
      <c r="D12" s="47"/>
      <c r="E12" s="47"/>
      <c r="F12" s="47"/>
      <c r="G12" s="47"/>
    </row>
    <row r="13" spans="1:7" ht="22.2" thickTop="1" thickBot="1" x14ac:dyDescent="0.45">
      <c r="A13" s="329" t="s">
        <v>167</v>
      </c>
      <c r="C13" s="277" t="s">
        <v>78</v>
      </c>
      <c r="D13" s="47"/>
      <c r="E13" s="47"/>
      <c r="F13" s="47"/>
      <c r="G13" s="47"/>
    </row>
    <row r="14" spans="1:7" x14ac:dyDescent="0.35">
      <c r="A14" s="325" t="s">
        <v>165</v>
      </c>
      <c r="C14" s="47"/>
    </row>
    <row r="15" spans="1:7" x14ac:dyDescent="0.35">
      <c r="A15" s="276" t="s">
        <v>73</v>
      </c>
      <c r="C15" s="47"/>
      <c r="D15" s="47"/>
    </row>
    <row r="16" spans="1:7" ht="18" thickBot="1" x14ac:dyDescent="0.4">
      <c r="A16" s="345" t="s">
        <v>166</v>
      </c>
    </row>
    <row r="17" spans="3:3" ht="18" thickTop="1" x14ac:dyDescent="0.35">
      <c r="C17" s="47"/>
    </row>
  </sheetData>
  <sortState xmlns:xlrd2="http://schemas.microsoft.com/office/spreadsheetml/2017/richdata2" ref="A8:A11">
    <sortCondition ref="A8:A1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
  <sheetViews>
    <sheetView showGridLines="0" workbookViewId="0"/>
  </sheetViews>
  <sheetFormatPr defaultColWidth="13" defaultRowHeight="15.6" x14ac:dyDescent="0.3"/>
  <cols>
    <col min="1" max="1" width="17.19921875" style="160" bestFit="1" customWidth="1"/>
    <col min="2" max="2" width="11.796875" style="160" bestFit="1" customWidth="1"/>
    <col min="3" max="3" width="4.3984375" style="160" bestFit="1" customWidth="1"/>
    <col min="4" max="4" width="6.19921875" style="160" bestFit="1" customWidth="1"/>
    <col min="5" max="5" width="8.5" style="160" bestFit="1" customWidth="1"/>
    <col min="6" max="6" width="8.8984375" style="160" bestFit="1" customWidth="1"/>
    <col min="7" max="7" width="4.3984375" style="160" bestFit="1" customWidth="1"/>
    <col min="8" max="8" width="5.59765625" style="160" bestFit="1" customWidth="1"/>
    <col min="9" max="9" width="5.5" style="160" bestFit="1" customWidth="1"/>
    <col min="10" max="10" width="6.19921875" style="160" bestFit="1" customWidth="1"/>
    <col min="11" max="11" width="18" style="160" bestFit="1" customWidth="1"/>
    <col min="12" max="12" width="3" style="141" customWidth="1"/>
    <col min="13" max="13" width="8.796875" style="141" bestFit="1" customWidth="1"/>
    <col min="14" max="14" width="8.8984375" style="141" bestFit="1" customWidth="1"/>
    <col min="15" max="16384" width="13" style="141"/>
  </cols>
  <sheetData>
    <row r="1" spans="1:14" ht="24" thickBot="1" x14ac:dyDescent="0.35">
      <c r="A1" s="140" t="s">
        <v>14</v>
      </c>
      <c r="B1" s="140"/>
      <c r="C1" s="140"/>
      <c r="D1" s="140"/>
      <c r="E1" s="140"/>
      <c r="F1" s="140"/>
      <c r="G1" s="140"/>
      <c r="H1" s="140"/>
      <c r="I1" s="140"/>
      <c r="J1" s="140"/>
      <c r="K1" s="140"/>
    </row>
    <row r="2" spans="1:14" ht="16.8" thickTop="1" thickBot="1" x14ac:dyDescent="0.35">
      <c r="A2" s="142" t="s">
        <v>0</v>
      </c>
      <c r="B2" s="143" t="s">
        <v>1</v>
      </c>
      <c r="C2" s="143" t="s">
        <v>17</v>
      </c>
      <c r="D2" s="143" t="s">
        <v>18</v>
      </c>
      <c r="E2" s="144" t="s">
        <v>51</v>
      </c>
      <c r="F2" s="143" t="s">
        <v>15</v>
      </c>
      <c r="G2" s="143" t="s">
        <v>19</v>
      </c>
      <c r="H2" s="145" t="s">
        <v>69</v>
      </c>
      <c r="I2" s="146" t="s">
        <v>75</v>
      </c>
      <c r="J2" s="145" t="s">
        <v>62</v>
      </c>
      <c r="K2" s="147" t="s">
        <v>61</v>
      </c>
      <c r="M2" s="148" t="s">
        <v>96</v>
      </c>
    </row>
    <row r="3" spans="1:14" x14ac:dyDescent="0.3">
      <c r="A3" s="476" t="s">
        <v>169</v>
      </c>
      <c r="B3" s="176" t="s">
        <v>87</v>
      </c>
      <c r="C3" s="477" t="str">
        <f>'Personal File'!$C$10</f>
        <v>+0</v>
      </c>
      <c r="D3" s="478" t="s">
        <v>49</v>
      </c>
      <c r="E3" s="478" t="s">
        <v>170</v>
      </c>
      <c r="F3" s="479" t="s">
        <v>83</v>
      </c>
      <c r="G3" s="196">
        <v>2</v>
      </c>
      <c r="H3" s="480" t="str">
        <f>CONCATENATE("+",'Personal File'!$B$8+'Personal File'!$C$10+D3)</f>
        <v>+0</v>
      </c>
      <c r="I3" s="481">
        <f t="shared" ref="I3:I6" ca="1" si="0">RANDBETWEEN(1,20)</f>
        <v>10</v>
      </c>
      <c r="J3" s="482">
        <f t="shared" ref="J3" ca="1" si="1">I3+H3</f>
        <v>10</v>
      </c>
      <c r="K3" s="483" t="str">
        <f>Feats!$A$9</f>
        <v>Sneak Attack +1d6</v>
      </c>
      <c r="M3" s="180">
        <v>20</v>
      </c>
      <c r="N3" s="149"/>
    </row>
    <row r="4" spans="1:14" x14ac:dyDescent="0.3">
      <c r="A4" s="484" t="s">
        <v>391</v>
      </c>
      <c r="B4" s="485"/>
      <c r="C4" s="486"/>
      <c r="D4" s="487"/>
      <c r="E4" s="487"/>
      <c r="F4" s="488"/>
      <c r="G4" s="489"/>
      <c r="H4" s="490"/>
      <c r="I4" s="491"/>
      <c r="J4" s="492"/>
      <c r="K4" s="493" t="s">
        <v>392</v>
      </c>
      <c r="M4" s="494"/>
      <c r="N4" s="149"/>
    </row>
    <row r="5" spans="1:14" x14ac:dyDescent="0.3">
      <c r="A5" s="308" t="s">
        <v>81</v>
      </c>
      <c r="B5" s="309" t="s">
        <v>160</v>
      </c>
      <c r="C5" s="310" t="str">
        <f>'Personal File'!$C$10</f>
        <v>+0</v>
      </c>
      <c r="D5" s="311">
        <v>0</v>
      </c>
      <c r="E5" s="311" t="s">
        <v>84</v>
      </c>
      <c r="F5" s="312" t="s">
        <v>85</v>
      </c>
      <c r="G5" s="313">
        <v>2</v>
      </c>
      <c r="H5" s="314" t="str">
        <f>CONCATENATE("+",'Personal File'!$B$8+'Personal File'!$C$10+D5)</f>
        <v>+0</v>
      </c>
      <c r="I5" s="315">
        <f t="shared" ca="1" si="0"/>
        <v>8</v>
      </c>
      <c r="J5" s="316">
        <f t="shared" ref="J5" ca="1" si="2">I5+H5</f>
        <v>8</v>
      </c>
      <c r="K5" s="317" t="str">
        <f>Feats!$A$9</f>
        <v>Sneak Attack +1d6</v>
      </c>
      <c r="M5" s="161">
        <v>1</v>
      </c>
    </row>
    <row r="6" spans="1:14" ht="16.2" thickBot="1" x14ac:dyDescent="0.35">
      <c r="A6" s="151" t="s">
        <v>159</v>
      </c>
      <c r="B6" s="152" t="s">
        <v>127</v>
      </c>
      <c r="C6" s="153" t="str">
        <f>'Personal File'!$C$10</f>
        <v>+0</v>
      </c>
      <c r="D6" s="154" t="s">
        <v>49</v>
      </c>
      <c r="E6" s="154" t="s">
        <v>79</v>
      </c>
      <c r="F6" s="155" t="s">
        <v>80</v>
      </c>
      <c r="G6" s="205">
        <v>1</v>
      </c>
      <c r="H6" s="156" t="str">
        <f>CONCATENATE("+",'Personal File'!$B$8+'Personal File'!$C$10+D6)</f>
        <v>+0</v>
      </c>
      <c r="I6" s="157">
        <f t="shared" ca="1" si="0"/>
        <v>7</v>
      </c>
      <c r="J6" s="158">
        <f t="shared" ref="J6" ca="1" si="3">I6+H6</f>
        <v>7</v>
      </c>
      <c r="K6" s="159" t="str">
        <f>Feats!$A$9</f>
        <v>Sneak Attack +1d6</v>
      </c>
      <c r="M6" s="169">
        <v>2</v>
      </c>
      <c r="N6" s="149"/>
    </row>
    <row r="7" spans="1:14" ht="6" customHeight="1" thickTop="1" thickBot="1" x14ac:dyDescent="0.35"/>
    <row r="8" spans="1:14" ht="16.8" thickTop="1" thickBot="1" x14ac:dyDescent="0.35">
      <c r="A8" s="142" t="s">
        <v>3</v>
      </c>
      <c r="B8" s="143" t="s">
        <v>4</v>
      </c>
      <c r="C8" s="143" t="s">
        <v>17</v>
      </c>
      <c r="D8" s="143" t="s">
        <v>18</v>
      </c>
      <c r="E8" s="144" t="s">
        <v>51</v>
      </c>
      <c r="F8" s="143" t="s">
        <v>5</v>
      </c>
      <c r="G8" s="143" t="s">
        <v>19</v>
      </c>
      <c r="H8" s="145" t="s">
        <v>69</v>
      </c>
      <c r="I8" s="146" t="s">
        <v>75</v>
      </c>
      <c r="J8" s="145" t="s">
        <v>62</v>
      </c>
      <c r="K8" s="147" t="s">
        <v>61</v>
      </c>
      <c r="M8" s="148" t="s">
        <v>96</v>
      </c>
    </row>
    <row r="9" spans="1:14" x14ac:dyDescent="0.3">
      <c r="A9" s="301" t="s">
        <v>171</v>
      </c>
      <c r="B9" s="302" t="s">
        <v>172</v>
      </c>
      <c r="C9" s="318" t="s">
        <v>49</v>
      </c>
      <c r="D9" s="318" t="s">
        <v>386</v>
      </c>
      <c r="E9" s="302" t="s">
        <v>79</v>
      </c>
      <c r="F9" s="318" t="s">
        <v>173</v>
      </c>
      <c r="G9" s="303">
        <v>4</v>
      </c>
      <c r="H9" s="304" t="str">
        <f>CONCATENATE("+",'Personal File'!$B$8+'Personal File'!$C$11+D9)</f>
        <v>+3</v>
      </c>
      <c r="I9" s="305">
        <f ca="1">RANDBETWEEN(1,20)</f>
        <v>18</v>
      </c>
      <c r="J9" s="306">
        <f ca="1">I9+H9</f>
        <v>21</v>
      </c>
      <c r="K9" s="307" t="str">
        <f>Feats!$A$9</f>
        <v>Sneak Attack +1d6</v>
      </c>
      <c r="M9" s="300">
        <v>335</v>
      </c>
      <c r="N9" s="149"/>
    </row>
    <row r="10" spans="1:14" x14ac:dyDescent="0.3">
      <c r="A10" s="308"/>
      <c r="B10" s="309"/>
      <c r="C10" s="319"/>
      <c r="D10" s="319"/>
      <c r="E10" s="309"/>
      <c r="F10" s="319"/>
      <c r="G10" s="313"/>
      <c r="H10" s="314" t="str">
        <f>CONCATENATE("+",'Personal File'!$B$8+'Personal File'!$C$11+D10)</f>
        <v>+2</v>
      </c>
      <c r="I10" s="315">
        <f ca="1">RANDBETWEEN(1,20)</f>
        <v>9</v>
      </c>
      <c r="J10" s="316">
        <f ca="1">I10+H10</f>
        <v>11</v>
      </c>
      <c r="K10" s="320"/>
      <c r="M10" s="321"/>
    </row>
    <row r="11" spans="1:14" ht="16.2" thickBot="1" x14ac:dyDescent="0.35">
      <c r="A11" s="162" t="s">
        <v>91</v>
      </c>
      <c r="B11" s="163" t="s">
        <v>94</v>
      </c>
      <c r="C11" s="164" t="s">
        <v>49</v>
      </c>
      <c r="D11" s="164" t="s">
        <v>49</v>
      </c>
      <c r="E11" s="163" t="s">
        <v>94</v>
      </c>
      <c r="F11" s="164" t="s">
        <v>94</v>
      </c>
      <c r="G11" s="165" t="s">
        <v>94</v>
      </c>
      <c r="H11" s="166" t="str">
        <f>CONCATENATE("+",'Personal File'!$B$8+'Personal File'!$C$11+D11)</f>
        <v>+2</v>
      </c>
      <c r="I11" s="157">
        <f ca="1">RANDBETWEEN(1,20)</f>
        <v>1</v>
      </c>
      <c r="J11" s="167">
        <f ca="1">I11+H11</f>
        <v>3</v>
      </c>
      <c r="K11" s="168"/>
      <c r="M11" s="346" t="s">
        <v>94</v>
      </c>
    </row>
    <row r="12" spans="1:14" ht="6" customHeight="1" thickTop="1" thickBot="1" x14ac:dyDescent="0.35">
      <c r="D12" s="170"/>
      <c r="E12" s="170"/>
      <c r="G12" s="171"/>
      <c r="H12" s="171"/>
      <c r="I12" s="171"/>
      <c r="J12" s="171"/>
    </row>
    <row r="13" spans="1:14" ht="16.8" thickTop="1" thickBot="1" x14ac:dyDescent="0.35">
      <c r="A13" s="142" t="s">
        <v>55</v>
      </c>
      <c r="B13" s="143" t="s">
        <v>8</v>
      </c>
      <c r="C13" s="143" t="s">
        <v>22</v>
      </c>
      <c r="D13" s="143" t="s">
        <v>62</v>
      </c>
      <c r="E13" s="143" t="s">
        <v>63</v>
      </c>
      <c r="F13" s="143" t="s">
        <v>64</v>
      </c>
      <c r="G13" s="143" t="s">
        <v>19</v>
      </c>
      <c r="H13" s="172" t="s">
        <v>61</v>
      </c>
      <c r="I13" s="173"/>
      <c r="J13" s="173"/>
      <c r="K13" s="174"/>
      <c r="M13" s="148" t="s">
        <v>96</v>
      </c>
    </row>
    <row r="14" spans="1:14" x14ac:dyDescent="0.3">
      <c r="A14" s="175" t="s">
        <v>168</v>
      </c>
      <c r="B14" s="176">
        <v>2</v>
      </c>
      <c r="C14" s="297">
        <v>6</v>
      </c>
      <c r="D14" s="176">
        <v>0</v>
      </c>
      <c r="E14" s="298">
        <v>0.1</v>
      </c>
      <c r="F14" s="299" t="s">
        <v>93</v>
      </c>
      <c r="G14" s="196">
        <v>15</v>
      </c>
      <c r="H14" s="177"/>
      <c r="I14" s="178"/>
      <c r="J14" s="178"/>
      <c r="K14" s="179"/>
      <c r="M14" s="180">
        <v>10</v>
      </c>
      <c r="N14" s="149"/>
    </row>
    <row r="15" spans="1:14" ht="16.2" thickBot="1" x14ac:dyDescent="0.35">
      <c r="A15" s="181"/>
      <c r="B15" s="182"/>
      <c r="C15" s="183"/>
      <c r="D15" s="182"/>
      <c r="E15" s="184"/>
      <c r="F15" s="182"/>
      <c r="G15" s="185"/>
      <c r="H15" s="186"/>
      <c r="I15" s="187"/>
      <c r="J15" s="187"/>
      <c r="K15" s="188"/>
      <c r="M15" s="189"/>
      <c r="N15" s="149"/>
    </row>
    <row r="16" spans="1:14" ht="6.75" customHeight="1" thickTop="1" thickBot="1" x14ac:dyDescent="0.35"/>
    <row r="17" spans="1:13" ht="16.8" thickTop="1" thickBot="1" x14ac:dyDescent="0.35">
      <c r="A17" s="190"/>
      <c r="B17" s="171"/>
      <c r="D17" s="191" t="s">
        <v>56</v>
      </c>
      <c r="E17" s="192"/>
      <c r="F17" s="172" t="s">
        <v>2</v>
      </c>
      <c r="G17" s="143" t="s">
        <v>19</v>
      </c>
      <c r="H17" s="145" t="s">
        <v>69</v>
      </c>
      <c r="I17" s="172" t="s">
        <v>61</v>
      </c>
      <c r="J17" s="173"/>
      <c r="K17" s="174"/>
      <c r="M17" s="148" t="s">
        <v>96</v>
      </c>
    </row>
    <row r="18" spans="1:13" x14ac:dyDescent="0.3">
      <c r="A18" s="190"/>
      <c r="B18" s="171"/>
      <c r="D18" s="193" t="s">
        <v>387</v>
      </c>
      <c r="E18" s="194"/>
      <c r="F18" s="195">
        <v>10</v>
      </c>
      <c r="G18" s="196">
        <f>F18*0.1</f>
        <v>1</v>
      </c>
      <c r="H18" s="197" t="s">
        <v>86</v>
      </c>
      <c r="I18" s="198"/>
      <c r="J18" s="199"/>
      <c r="K18" s="200"/>
      <c r="M18" s="201">
        <f>F18/10</f>
        <v>1</v>
      </c>
    </row>
    <row r="19" spans="1:13" ht="16.2" thickBot="1" x14ac:dyDescent="0.35">
      <c r="A19" s="190"/>
      <c r="B19" s="171"/>
      <c r="D19" s="202"/>
      <c r="E19" s="203"/>
      <c r="F19" s="204"/>
      <c r="G19" s="205"/>
      <c r="H19" s="206"/>
      <c r="I19" s="207"/>
      <c r="J19" s="208"/>
      <c r="K19" s="209"/>
      <c r="M19" s="189"/>
    </row>
    <row r="20" spans="1:13" ht="6" customHeight="1" thickTop="1" thickBot="1" x14ac:dyDescent="0.35"/>
    <row r="21" spans="1:13" ht="16.8" thickTop="1" thickBot="1" x14ac:dyDescent="0.35">
      <c r="D21" s="191" t="s">
        <v>97</v>
      </c>
      <c r="E21" s="173"/>
      <c r="F21" s="173"/>
      <c r="G21" s="173"/>
      <c r="H21" s="210" t="s">
        <v>2</v>
      </c>
      <c r="I21" s="210" t="s">
        <v>98</v>
      </c>
      <c r="J21" s="210" t="s">
        <v>99</v>
      </c>
      <c r="K21" s="174" t="s">
        <v>101</v>
      </c>
      <c r="M21" s="148" t="s">
        <v>96</v>
      </c>
    </row>
    <row r="22" spans="1:13" x14ac:dyDescent="0.3">
      <c r="D22" s="211" t="s">
        <v>162</v>
      </c>
      <c r="E22" s="212"/>
      <c r="F22" s="212"/>
      <c r="G22" s="212"/>
      <c r="H22" s="176">
        <v>0</v>
      </c>
      <c r="I22" s="176">
        <v>1</v>
      </c>
      <c r="J22" s="176">
        <v>1</v>
      </c>
      <c r="K22" s="200" t="s">
        <v>161</v>
      </c>
      <c r="M22" s="201">
        <f>25*H22*I22*J22*LEFT(K22,2)</f>
        <v>0</v>
      </c>
    </row>
    <row r="23" spans="1:13" x14ac:dyDescent="0.3">
      <c r="D23" s="213" t="s">
        <v>163</v>
      </c>
      <c r="E23" s="214"/>
      <c r="F23" s="214"/>
      <c r="G23" s="214"/>
      <c r="H23" s="215">
        <v>0</v>
      </c>
      <c r="I23" s="215">
        <v>1</v>
      </c>
      <c r="J23" s="215">
        <v>1</v>
      </c>
      <c r="K23" s="216"/>
      <c r="M23" s="201">
        <f>25*H23*I23*J23</f>
        <v>0</v>
      </c>
    </row>
    <row r="24" spans="1:13" x14ac:dyDescent="0.3">
      <c r="C24" s="217"/>
      <c r="D24" s="213" t="s">
        <v>184</v>
      </c>
      <c r="E24" s="214"/>
      <c r="F24" s="214"/>
      <c r="G24" s="214"/>
      <c r="H24" s="215">
        <v>2</v>
      </c>
      <c r="I24" s="215">
        <v>1</v>
      </c>
      <c r="J24" s="215">
        <v>1</v>
      </c>
      <c r="K24" s="216"/>
      <c r="M24" s="201">
        <f>50*H24*I24*J24</f>
        <v>100</v>
      </c>
    </row>
    <row r="25" spans="1:13" x14ac:dyDescent="0.3">
      <c r="C25" s="217"/>
      <c r="D25" s="218"/>
      <c r="E25" s="219"/>
      <c r="F25" s="219"/>
      <c r="G25" s="219"/>
      <c r="H25" s="220"/>
      <c r="I25" s="220"/>
      <c r="J25" s="220"/>
      <c r="K25" s="221"/>
      <c r="M25" s="150"/>
    </row>
    <row r="26" spans="1:13" ht="16.2" thickBot="1" x14ac:dyDescent="0.35">
      <c r="D26" s="222"/>
      <c r="E26" s="223"/>
      <c r="F26" s="223"/>
      <c r="G26" s="223"/>
      <c r="H26" s="182"/>
      <c r="I26" s="182"/>
      <c r="J26" s="182"/>
      <c r="K26" s="224"/>
      <c r="M26" s="189"/>
    </row>
    <row r="27" spans="1:13" ht="16.2" thickTop="1" x14ac:dyDescent="0.3"/>
  </sheetData>
  <phoneticPr fontId="0" type="noConversion"/>
  <conditionalFormatting sqref="I3:I4">
    <cfRule type="cellIs" dxfId="2" priority="1" operator="greaterThanOrEqual">
      <formula>17</formula>
    </cfRule>
  </conditionalFormatting>
  <conditionalFormatting sqref="I10">
    <cfRule type="cellIs" dxfId="1" priority="5"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0"/>
  <sheetViews>
    <sheetView showGridLines="0" workbookViewId="0"/>
  </sheetViews>
  <sheetFormatPr defaultColWidth="13" defaultRowHeight="15.6" x14ac:dyDescent="0.3"/>
  <cols>
    <col min="1" max="1" width="23.8984375" style="227" bestFit="1" customWidth="1"/>
    <col min="2" max="2" width="4.5" style="227" bestFit="1" customWidth="1"/>
    <col min="3" max="3" width="5.59765625" style="270" bestFit="1" customWidth="1"/>
    <col min="4" max="5" width="26.59765625" style="7" customWidth="1"/>
    <col min="6" max="6" width="2.8984375" style="227" customWidth="1"/>
    <col min="7" max="7" width="9.296875" style="7" bestFit="1" customWidth="1"/>
    <col min="8" max="16384" width="13" style="7"/>
  </cols>
  <sheetData>
    <row r="1" spans="1:7" ht="24" thickBot="1" x14ac:dyDescent="0.5">
      <c r="A1" s="225" t="s">
        <v>58</v>
      </c>
      <c r="B1" s="225"/>
      <c r="C1" s="226"/>
      <c r="D1" s="225"/>
      <c r="E1" s="225"/>
    </row>
    <row r="2" spans="1:7" s="227" customFormat="1" ht="16.8" thickTop="1" thickBot="1" x14ac:dyDescent="0.35">
      <c r="A2" s="228" t="s">
        <v>59</v>
      </c>
      <c r="B2" s="229" t="s">
        <v>2</v>
      </c>
      <c r="C2" s="230" t="s">
        <v>19</v>
      </c>
      <c r="D2" s="231" t="s">
        <v>60</v>
      </c>
      <c r="E2" s="232" t="s">
        <v>61</v>
      </c>
      <c r="G2" s="233" t="s">
        <v>96</v>
      </c>
    </row>
    <row r="3" spans="1:7" x14ac:dyDescent="0.3">
      <c r="A3" s="234" t="s">
        <v>174</v>
      </c>
      <c r="B3" s="235">
        <v>1</v>
      </c>
      <c r="C3" s="236" t="s">
        <v>178</v>
      </c>
      <c r="D3" s="237"/>
      <c r="E3" s="238"/>
      <c r="G3" s="239" t="s">
        <v>179</v>
      </c>
    </row>
    <row r="4" spans="1:7" x14ac:dyDescent="0.3">
      <c r="A4" s="240" t="s">
        <v>175</v>
      </c>
      <c r="B4" s="235">
        <v>1</v>
      </c>
      <c r="C4" s="241">
        <v>0</v>
      </c>
      <c r="D4" s="242"/>
      <c r="E4" s="243"/>
      <c r="G4" s="244">
        <v>1</v>
      </c>
    </row>
    <row r="5" spans="1:7" x14ac:dyDescent="0.3">
      <c r="A5" s="240" t="s">
        <v>176</v>
      </c>
      <c r="B5" s="235">
        <v>1</v>
      </c>
      <c r="C5" s="241">
        <v>0.5</v>
      </c>
      <c r="D5" s="242"/>
      <c r="E5" s="243"/>
      <c r="G5" s="244">
        <v>1</v>
      </c>
    </row>
    <row r="6" spans="1:7" x14ac:dyDescent="0.3">
      <c r="A6" s="240" t="s">
        <v>177</v>
      </c>
      <c r="B6" s="235">
        <v>1</v>
      </c>
      <c r="C6" s="241">
        <v>1</v>
      </c>
      <c r="D6" s="242"/>
      <c r="E6" s="243"/>
      <c r="G6" s="244">
        <v>1</v>
      </c>
    </row>
    <row r="7" spans="1:7" x14ac:dyDescent="0.3">
      <c r="A7" s="248"/>
      <c r="B7" s="249">
        <v>1</v>
      </c>
      <c r="C7" s="250"/>
      <c r="D7" s="253"/>
      <c r="E7" s="252"/>
      <c r="G7" s="247"/>
    </row>
    <row r="8" spans="1:7" ht="16.2" thickBot="1" x14ac:dyDescent="0.35">
      <c r="A8" s="254"/>
      <c r="B8" s="255">
        <v>1</v>
      </c>
      <c r="C8" s="256"/>
      <c r="D8" s="257"/>
      <c r="E8" s="258"/>
      <c r="G8" s="259"/>
    </row>
    <row r="9" spans="1:7" ht="24.6" thickTop="1" thickBot="1" x14ac:dyDescent="0.5">
      <c r="A9" s="225" t="s">
        <v>92</v>
      </c>
      <c r="B9" s="225"/>
      <c r="C9" s="260"/>
      <c r="D9" s="225"/>
      <c r="E9" s="261"/>
    </row>
    <row r="10" spans="1:7" ht="16.8" thickTop="1" thickBot="1" x14ac:dyDescent="0.35">
      <c r="A10" s="228" t="s">
        <v>59</v>
      </c>
      <c r="B10" s="229" t="s">
        <v>2</v>
      </c>
      <c r="C10" s="230" t="s">
        <v>19</v>
      </c>
      <c r="D10" s="231" t="s">
        <v>60</v>
      </c>
      <c r="E10" s="232" t="s">
        <v>61</v>
      </c>
      <c r="G10" s="233" t="s">
        <v>96</v>
      </c>
    </row>
    <row r="11" spans="1:7" x14ac:dyDescent="0.3">
      <c r="A11" s="343" t="s">
        <v>181</v>
      </c>
      <c r="B11" s="235">
        <v>1</v>
      </c>
      <c r="C11" s="241">
        <v>0.5</v>
      </c>
      <c r="D11" s="262"/>
      <c r="E11" s="263"/>
      <c r="G11" s="244">
        <v>0</v>
      </c>
    </row>
    <row r="12" spans="1:7" x14ac:dyDescent="0.3">
      <c r="A12" s="240" t="s">
        <v>389</v>
      </c>
      <c r="B12" s="235">
        <v>2</v>
      </c>
      <c r="C12" s="241">
        <v>0</v>
      </c>
      <c r="D12" s="262"/>
      <c r="E12" s="264"/>
      <c r="G12" s="347">
        <f>B12*0.1</f>
        <v>0.2</v>
      </c>
    </row>
    <row r="13" spans="1:7" x14ac:dyDescent="0.3">
      <c r="A13" s="240" t="s">
        <v>88</v>
      </c>
      <c r="B13" s="235">
        <v>1</v>
      </c>
      <c r="C13" s="241">
        <v>0.5</v>
      </c>
      <c r="D13" s="262" t="s">
        <v>89</v>
      </c>
      <c r="E13" s="264"/>
      <c r="G13" s="244">
        <v>1</v>
      </c>
    </row>
    <row r="14" spans="1:7" x14ac:dyDescent="0.3">
      <c r="A14" s="266" t="s">
        <v>180</v>
      </c>
      <c r="B14" s="267">
        <v>1</v>
      </c>
      <c r="C14" s="245">
        <v>3</v>
      </c>
      <c r="D14" s="268"/>
      <c r="E14" s="246"/>
      <c r="F14" s="160"/>
      <c r="G14" s="265">
        <v>15</v>
      </c>
    </row>
    <row r="15" spans="1:7" x14ac:dyDescent="0.3">
      <c r="A15" s="248" t="s">
        <v>182</v>
      </c>
      <c r="B15" s="249">
        <v>2</v>
      </c>
      <c r="C15" s="245">
        <v>0</v>
      </c>
      <c r="D15" s="251"/>
      <c r="E15" s="264"/>
      <c r="G15" s="244">
        <f>B15*8</f>
        <v>16</v>
      </c>
    </row>
    <row r="16" spans="1:7" x14ac:dyDescent="0.3">
      <c r="A16" s="248" t="s">
        <v>183</v>
      </c>
      <c r="B16" s="249">
        <v>2</v>
      </c>
      <c r="C16" s="245">
        <v>0</v>
      </c>
      <c r="D16" s="251"/>
      <c r="E16" s="264"/>
      <c r="G16" s="244">
        <f>B16*50</f>
        <v>100</v>
      </c>
    </row>
    <row r="17" spans="1:7" x14ac:dyDescent="0.3">
      <c r="A17" s="248" t="s">
        <v>185</v>
      </c>
      <c r="B17" s="249">
        <v>10</v>
      </c>
      <c r="C17" s="245">
        <v>0</v>
      </c>
      <c r="D17" s="251"/>
      <c r="E17" s="264"/>
      <c r="G17" s="244">
        <f>B17*10</f>
        <v>100</v>
      </c>
    </row>
    <row r="18" spans="1:7" ht="16.2" thickBot="1" x14ac:dyDescent="0.35">
      <c r="A18" s="254" t="s">
        <v>210</v>
      </c>
      <c r="B18" s="255">
        <v>1</v>
      </c>
      <c r="C18" s="256">
        <v>2</v>
      </c>
      <c r="D18" s="257" t="s">
        <v>74</v>
      </c>
      <c r="E18" s="269"/>
      <c r="G18" s="259">
        <v>100</v>
      </c>
    </row>
    <row r="19" spans="1:7" ht="24.6" thickTop="1" thickBot="1" x14ac:dyDescent="0.5">
      <c r="A19" s="225" t="s">
        <v>204</v>
      </c>
      <c r="B19" s="225"/>
      <c r="C19" s="260"/>
      <c r="D19" s="225"/>
      <c r="E19" s="261"/>
      <c r="G19" s="227">
        <v>8</v>
      </c>
    </row>
    <row r="20" spans="1:7" ht="16.8" thickTop="1" thickBot="1" x14ac:dyDescent="0.35">
      <c r="A20" s="228" t="s">
        <v>59</v>
      </c>
      <c r="B20" s="229" t="s">
        <v>2</v>
      </c>
      <c r="C20" s="230" t="s">
        <v>19</v>
      </c>
      <c r="D20" s="231" t="s">
        <v>60</v>
      </c>
      <c r="E20" s="232" t="s">
        <v>61</v>
      </c>
      <c r="G20" s="233" t="s">
        <v>96</v>
      </c>
    </row>
    <row r="21" spans="1:7" x14ac:dyDescent="0.3">
      <c r="A21" s="240" t="s">
        <v>187</v>
      </c>
      <c r="B21" s="235">
        <v>1</v>
      </c>
      <c r="C21" s="241">
        <v>15</v>
      </c>
      <c r="D21" s="262"/>
      <c r="E21" s="263"/>
      <c r="G21" s="244">
        <v>5</v>
      </c>
    </row>
    <row r="22" spans="1:7" x14ac:dyDescent="0.3">
      <c r="A22" s="248" t="s">
        <v>188</v>
      </c>
      <c r="B22" s="249">
        <v>1</v>
      </c>
      <c r="C22" s="245">
        <v>1</v>
      </c>
      <c r="D22" s="251"/>
      <c r="E22" s="264"/>
      <c r="G22" s="247">
        <v>2</v>
      </c>
    </row>
    <row r="23" spans="1:7" x14ac:dyDescent="0.3">
      <c r="A23" s="248" t="s">
        <v>198</v>
      </c>
      <c r="B23" s="249">
        <v>1</v>
      </c>
      <c r="C23" s="245">
        <v>4</v>
      </c>
      <c r="D23" s="251"/>
      <c r="E23" s="264"/>
      <c r="G23" s="247">
        <v>1</v>
      </c>
    </row>
    <row r="24" spans="1:7" x14ac:dyDescent="0.3">
      <c r="A24" s="248" t="s">
        <v>199</v>
      </c>
      <c r="B24" s="249">
        <v>1</v>
      </c>
      <c r="C24" s="245">
        <v>4</v>
      </c>
      <c r="D24" s="251"/>
      <c r="E24" s="264"/>
      <c r="G24" s="247">
        <v>3</v>
      </c>
    </row>
    <row r="25" spans="1:7" x14ac:dyDescent="0.3">
      <c r="A25" s="248" t="s">
        <v>200</v>
      </c>
      <c r="B25" s="249">
        <v>1</v>
      </c>
      <c r="C25" s="245">
        <v>2</v>
      </c>
      <c r="D25" s="251"/>
      <c r="E25" s="264"/>
      <c r="G25" s="247">
        <v>5</v>
      </c>
    </row>
    <row r="26" spans="1:7" x14ac:dyDescent="0.3">
      <c r="A26" s="248" t="s">
        <v>201</v>
      </c>
      <c r="B26" s="249">
        <v>1</v>
      </c>
      <c r="C26" s="245">
        <v>2</v>
      </c>
      <c r="D26" s="251"/>
      <c r="E26" s="264"/>
      <c r="G26" s="344">
        <v>0.1</v>
      </c>
    </row>
    <row r="27" spans="1:7" x14ac:dyDescent="0.3">
      <c r="A27" s="248" t="s">
        <v>202</v>
      </c>
      <c r="B27" s="249">
        <v>1</v>
      </c>
      <c r="C27" s="245">
        <v>1</v>
      </c>
      <c r="D27" s="251"/>
      <c r="E27" s="264"/>
      <c r="G27" s="247">
        <v>30</v>
      </c>
    </row>
    <row r="28" spans="1:7" x14ac:dyDescent="0.3">
      <c r="A28" s="248" t="s">
        <v>203</v>
      </c>
      <c r="B28" s="249">
        <v>1</v>
      </c>
      <c r="C28" s="245">
        <v>5</v>
      </c>
      <c r="D28" s="251"/>
      <c r="E28" s="264"/>
      <c r="G28" s="247">
        <v>10</v>
      </c>
    </row>
    <row r="29" spans="1:7" x14ac:dyDescent="0.3">
      <c r="A29" s="248" t="s">
        <v>189</v>
      </c>
      <c r="B29" s="249">
        <v>1</v>
      </c>
      <c r="C29" s="245">
        <v>5</v>
      </c>
      <c r="D29" s="251"/>
      <c r="E29" s="264"/>
      <c r="G29" s="344">
        <v>0.1</v>
      </c>
    </row>
    <row r="30" spans="1:7" x14ac:dyDescent="0.3">
      <c r="A30" s="248" t="s">
        <v>190</v>
      </c>
      <c r="B30" s="249">
        <v>1</v>
      </c>
      <c r="C30" s="245">
        <v>4</v>
      </c>
      <c r="D30" s="251"/>
      <c r="E30" s="264"/>
      <c r="G30" s="247">
        <v>1</v>
      </c>
    </row>
    <row r="31" spans="1:7" x14ac:dyDescent="0.3">
      <c r="A31" s="248" t="s">
        <v>191</v>
      </c>
      <c r="B31" s="249">
        <v>1</v>
      </c>
      <c r="C31" s="245">
        <v>2</v>
      </c>
      <c r="D31" s="251"/>
      <c r="E31" s="264"/>
      <c r="G31" s="247">
        <v>7</v>
      </c>
    </row>
    <row r="32" spans="1:7" x14ac:dyDescent="0.3">
      <c r="A32" s="248" t="s">
        <v>195</v>
      </c>
      <c r="B32" s="249">
        <v>2</v>
      </c>
      <c r="C32" s="245">
        <f>B32</f>
        <v>2</v>
      </c>
      <c r="D32" s="251"/>
      <c r="E32" s="264"/>
      <c r="G32" s="344">
        <f>B32/10</f>
        <v>0.2</v>
      </c>
    </row>
    <row r="33" spans="1:7" x14ac:dyDescent="0.3">
      <c r="A33" s="248" t="s">
        <v>192</v>
      </c>
      <c r="B33" s="249">
        <v>1</v>
      </c>
      <c r="C33" s="245">
        <f>B33</f>
        <v>1</v>
      </c>
      <c r="D33" s="251"/>
      <c r="E33" s="264"/>
      <c r="G33" s="247">
        <v>10</v>
      </c>
    </row>
    <row r="34" spans="1:7" x14ac:dyDescent="0.3">
      <c r="A34" s="248" t="s">
        <v>193</v>
      </c>
      <c r="B34" s="249">
        <v>1</v>
      </c>
      <c r="C34" s="245">
        <v>0</v>
      </c>
      <c r="D34" s="251"/>
      <c r="E34" s="264"/>
      <c r="G34" s="247">
        <v>1</v>
      </c>
    </row>
    <row r="35" spans="1:7" x14ac:dyDescent="0.3">
      <c r="A35" s="248" t="s">
        <v>194</v>
      </c>
      <c r="B35" s="249">
        <v>1</v>
      </c>
      <c r="C35" s="245">
        <v>0</v>
      </c>
      <c r="D35" s="251"/>
      <c r="E35" s="264"/>
      <c r="G35" s="247">
        <v>1</v>
      </c>
    </row>
    <row r="36" spans="1:7" x14ac:dyDescent="0.3">
      <c r="A36" s="248" t="s">
        <v>196</v>
      </c>
      <c r="B36" s="249">
        <v>10</v>
      </c>
      <c r="C36" s="245">
        <v>0</v>
      </c>
      <c r="D36" s="251"/>
      <c r="E36" s="264"/>
      <c r="G36" s="344">
        <v>0.1</v>
      </c>
    </row>
    <row r="37" spans="1:7" ht="16.2" thickBot="1" x14ac:dyDescent="0.35">
      <c r="A37" s="254" t="s">
        <v>197</v>
      </c>
      <c r="B37" s="255">
        <v>10</v>
      </c>
      <c r="C37" s="256">
        <v>0</v>
      </c>
      <c r="D37" s="257"/>
      <c r="E37" s="269"/>
      <c r="G37" s="259">
        <v>10</v>
      </c>
    </row>
    <row r="38" spans="1:7" ht="16.2" thickTop="1" x14ac:dyDescent="0.3"/>
    <row r="39" spans="1:7" x14ac:dyDescent="0.3">
      <c r="A39" s="7"/>
      <c r="B39" s="271" t="s">
        <v>390</v>
      </c>
      <c r="C39" s="270">
        <f>SUM(C21:C37)</f>
        <v>48</v>
      </c>
      <c r="E39" s="271" t="s">
        <v>100</v>
      </c>
      <c r="F39" s="141"/>
      <c r="G39" s="272">
        <f>SUM($G$3:$G$37,Martial!$M$3:$M$26)</f>
        <v>898.7</v>
      </c>
    </row>
    <row r="40" spans="1:7" x14ac:dyDescent="0.3">
      <c r="E40" s="271" t="s">
        <v>186</v>
      </c>
      <c r="G40" s="272">
        <v>500</v>
      </c>
    </row>
  </sheetData>
  <sortState xmlns:xlrd2="http://schemas.microsoft.com/office/spreadsheetml/2017/richdata2" ref="A3:E10">
    <sortCondition ref="A3:A10"/>
  </sortState>
  <phoneticPr fontId="0" type="noConversion"/>
  <conditionalFormatting sqref="G39">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Beguiler</vt:lpstr>
      <vt:lpstr>Spells</vt:lpstr>
      <vt:lpstr>Feats</vt:lpstr>
      <vt:lpstr>Martial</vt:lpstr>
      <vt:lpstr>Equipment</vt:lpstr>
      <vt:lpstr>Beguiler!Print_Area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2016-11-01T13:04:40Z</cp:lastPrinted>
  <dcterms:created xsi:type="dcterms:W3CDTF">2000-10-24T15:39:59Z</dcterms:created>
  <dcterms:modified xsi:type="dcterms:W3CDTF">2025-04-02T00:45:16Z</dcterms:modified>
</cp:coreProperties>
</file>