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A\Juegos\NLM\PCs\"/>
    </mc:Choice>
  </mc:AlternateContent>
  <xr:revisionPtr revIDLastSave="0" documentId="13_ncr:1_{F48320B7-4B26-48C9-8F03-99DE69447CF2}" xr6:coauthVersionLast="47" xr6:coauthVersionMax="47" xr10:uidLastSave="{00000000-0000-0000-0000-000000000000}"/>
  <bookViews>
    <workbookView xWindow="-108" yWindow="-108" windowWidth="23256" windowHeight="13176" xr2:uid="{00000000-000D-0000-FFFF-FFFF00000000}"/>
  </bookViews>
  <sheets>
    <sheet name="Personal File" sheetId="1" r:id="rId1"/>
    <sheet name="Skills" sheetId="2" r:id="rId2"/>
    <sheet name="Prayerbook" sheetId="3" r:id="rId3"/>
    <sheet name="Prayers" sheetId="4" r:id="rId4"/>
    <sheet name="Feats" sheetId="5" r:id="rId5"/>
    <sheet name="Martial" sheetId="6" r:id="rId6"/>
    <sheet name="Equipment" sheetId="7" r:id="rId7"/>
  </sheets>
  <externalReferences>
    <externalReference r:id="rId8"/>
  </externalReferences>
  <definedNames>
    <definedName name="NoShade">'[1]Spell Sheet'!$FH$1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 r="B14" i="1"/>
  <c r="B13" i="1"/>
  <c r="B12" i="1"/>
  <c r="B11" i="1"/>
  <c r="C44" i="7"/>
  <c r="B44" i="7" s="1"/>
  <c r="B52" i="2" l="1"/>
  <c r="H42" i="2"/>
  <c r="E12" i="1" l="1"/>
  <c r="G5" i="7" l="1"/>
  <c r="F18" i="6" l="1"/>
  <c r="B8" i="1"/>
  <c r="B23" i="6" l="1"/>
  <c r="H48" i="2" l="1"/>
  <c r="H47" i="2"/>
  <c r="H49" i="2"/>
  <c r="H18" i="2"/>
  <c r="H50" i="2"/>
  <c r="H17" i="6" l="1"/>
  <c r="I10" i="6"/>
  <c r="I14" i="6" l="1"/>
  <c r="H15" i="6"/>
  <c r="I15" i="6"/>
  <c r="I16" i="6"/>
  <c r="I17" i="6"/>
  <c r="I18" i="6"/>
  <c r="J15" i="6" l="1"/>
  <c r="J17" i="6"/>
  <c r="G43" i="7"/>
  <c r="C43" i="7"/>
  <c r="G32" i="7"/>
  <c r="C32" i="7"/>
  <c r="B5" i="2" l="1"/>
  <c r="B4" i="2"/>
  <c r="B3" i="2"/>
  <c r="H46" i="2"/>
  <c r="H40" i="2"/>
  <c r="G30" i="7" l="1"/>
  <c r="C30" i="7"/>
  <c r="C3" i="7"/>
  <c r="G12" i="7" l="1"/>
  <c r="G45" i="7" s="1"/>
  <c r="F33" i="2" l="1"/>
  <c r="E10" i="1" l="1"/>
  <c r="C17" i="7" l="1"/>
  <c r="I3" i="6"/>
  <c r="I4" i="6"/>
  <c r="I6" i="6"/>
  <c r="I7" i="6"/>
  <c r="E73" i="2" l="1"/>
  <c r="H45" i="2"/>
  <c r="H44" i="2"/>
  <c r="H43" i="2"/>
  <c r="H41" i="2"/>
  <c r="H39" i="2"/>
  <c r="H38" i="2"/>
  <c r="H37" i="2"/>
  <c r="H36" i="2"/>
  <c r="H35" i="2"/>
  <c r="H34" i="2"/>
  <c r="H33" i="2"/>
  <c r="H32" i="2"/>
  <c r="H31" i="2"/>
  <c r="H30" i="2"/>
  <c r="H29" i="2"/>
  <c r="H28" i="2"/>
  <c r="H27" i="2"/>
  <c r="H26" i="2"/>
  <c r="H25" i="2"/>
  <c r="H24" i="2"/>
  <c r="H23" i="2"/>
  <c r="H22" i="2"/>
  <c r="H15" i="2"/>
  <c r="H13" i="2"/>
  <c r="H12" i="2"/>
  <c r="H11" i="2"/>
  <c r="M61" i="6" l="1"/>
  <c r="M42" i="6" l="1"/>
  <c r="M41" i="6"/>
  <c r="F3" i="2" l="1"/>
  <c r="F4" i="2"/>
  <c r="F5" i="2"/>
  <c r="O6" i="4" l="1"/>
  <c r="I9" i="6" l="1"/>
  <c r="M31" i="6"/>
  <c r="M32" i="6"/>
  <c r="M33" i="6"/>
  <c r="H20" i="2"/>
  <c r="F23" i="2"/>
  <c r="M38" i="6" l="1"/>
  <c r="M59" i="6" l="1"/>
  <c r="M58" i="6"/>
  <c r="M57" i="6"/>
  <c r="M56" i="6"/>
  <c r="M55" i="6"/>
  <c r="M54" i="6"/>
  <c r="M53" i="6"/>
  <c r="M52" i="6"/>
  <c r="M51" i="6"/>
  <c r="M50" i="6"/>
  <c r="M49" i="6"/>
  <c r="M48" i="6"/>
  <c r="M47" i="6"/>
  <c r="M46" i="6"/>
  <c r="M45" i="6"/>
  <c r="M44" i="6"/>
  <c r="C28" i="7" l="1"/>
  <c r="M43" i="6"/>
  <c r="M40" i="6"/>
  <c r="G34" i="6"/>
  <c r="G33" i="6"/>
  <c r="G32" i="6"/>
  <c r="G31" i="6"/>
  <c r="I20" i="6"/>
  <c r="I19" i="6"/>
  <c r="I11" i="6"/>
  <c r="H6" i="4"/>
  <c r="I6" i="4"/>
  <c r="J6" i="4"/>
  <c r="K6" i="4"/>
  <c r="L6" i="4"/>
  <c r="M6" i="4"/>
  <c r="N6" i="4"/>
  <c r="P6" i="4"/>
  <c r="Q6" i="4"/>
  <c r="H51" i="2"/>
  <c r="H21" i="2"/>
  <c r="H19" i="2"/>
  <c r="H17" i="2"/>
  <c r="H16" i="2"/>
  <c r="H14" i="2"/>
  <c r="H10" i="2"/>
  <c r="H9" i="2"/>
  <c r="H8" i="2"/>
  <c r="H7" i="2"/>
  <c r="H6" i="2"/>
  <c r="H5" i="2"/>
  <c r="H4" i="2"/>
  <c r="H3" i="2"/>
  <c r="C16" i="1"/>
  <c r="C15" i="1"/>
  <c r="C14" i="1"/>
  <c r="E72" i="2" s="1"/>
  <c r="C13" i="1"/>
  <c r="C12" i="1"/>
  <c r="E14" i="1" s="1"/>
  <c r="C11" i="1"/>
  <c r="D3" i="4" l="1"/>
  <c r="V55" i="4"/>
  <c r="D55" i="4"/>
  <c r="V47" i="4"/>
  <c r="D47" i="4"/>
  <c r="E71" i="2"/>
  <c r="H18" i="6"/>
  <c r="J18" i="6" s="1"/>
  <c r="H19" i="6"/>
  <c r="J19" i="6" s="1"/>
  <c r="H20" i="6"/>
  <c r="H16" i="6"/>
  <c r="J16" i="6" s="1"/>
  <c r="H14" i="6"/>
  <c r="J14" i="6" s="1"/>
  <c r="H3" i="6"/>
  <c r="J3" i="6" s="1"/>
  <c r="H6" i="6"/>
  <c r="H4" i="6"/>
  <c r="J4" i="6" s="1"/>
  <c r="H9" i="6"/>
  <c r="J9" i="6" s="1"/>
  <c r="H10" i="6"/>
  <c r="J10" i="6" s="1"/>
  <c r="H11" i="6"/>
  <c r="H7" i="6"/>
  <c r="J7" i="6" s="1"/>
  <c r="V52" i="4"/>
  <c r="E70" i="2"/>
  <c r="V56" i="4"/>
  <c r="D52" i="4"/>
  <c r="D56" i="4"/>
  <c r="V42" i="4"/>
  <c r="V39" i="4"/>
  <c r="D38" i="4"/>
  <c r="D42" i="4"/>
  <c r="V57" i="4"/>
  <c r="V48" i="4"/>
  <c r="V36" i="4"/>
  <c r="V25" i="4"/>
  <c r="V18" i="4"/>
  <c r="V13" i="4"/>
  <c r="V6" i="4"/>
  <c r="V54" i="4"/>
  <c r="V35" i="4"/>
  <c r="V22" i="4"/>
  <c r="V16" i="4"/>
  <c r="V12" i="4"/>
  <c r="D48" i="4"/>
  <c r="V43" i="4"/>
  <c r="V44" i="4"/>
  <c r="V53" i="4"/>
  <c r="V33" i="4"/>
  <c r="V51" i="4"/>
  <c r="V41" i="4"/>
  <c r="V32" i="4"/>
  <c r="V24" i="4"/>
  <c r="V19" i="4"/>
  <c r="V11" i="4"/>
  <c r="D50" i="4"/>
  <c r="V10" i="4"/>
  <c r="V21" i="4"/>
  <c r="D53" i="4"/>
  <c r="V17" i="4"/>
  <c r="D57" i="4"/>
  <c r="V7" i="4"/>
  <c r="V50" i="4"/>
  <c r="V40" i="4"/>
  <c r="V29" i="4"/>
  <c r="V27" i="4"/>
  <c r="V15" i="4"/>
  <c r="D51" i="4"/>
  <c r="V14" i="4"/>
  <c r="V45" i="4"/>
  <c r="V8" i="4"/>
  <c r="V26" i="4"/>
  <c r="V49" i="4"/>
  <c r="V34" i="4"/>
  <c r="V28" i="4"/>
  <c r="V4" i="4"/>
  <c r="V30" i="4"/>
  <c r="V20" i="4"/>
  <c r="V46" i="4"/>
  <c r="V38" i="4"/>
  <c r="V31" i="4"/>
  <c r="V23" i="4"/>
  <c r="V9" i="4"/>
  <c r="V5" i="4"/>
  <c r="D54" i="4"/>
  <c r="V37" i="4"/>
  <c r="V3" i="4"/>
  <c r="D49" i="4"/>
  <c r="E69" i="2"/>
  <c r="E68" i="2"/>
  <c r="E67" i="2"/>
  <c r="D13" i="2"/>
  <c r="E66" i="2"/>
  <c r="E65" i="2"/>
  <c r="D12" i="2"/>
  <c r="C6" i="6"/>
  <c r="C7" i="6"/>
  <c r="C3" i="6"/>
  <c r="C4" i="6"/>
  <c r="D8" i="2"/>
  <c r="E8" i="2" s="1"/>
  <c r="D21" i="2"/>
  <c r="E21" i="2" s="1"/>
  <c r="D20" i="2"/>
  <c r="E20" i="2" s="1"/>
  <c r="D15" i="2"/>
  <c r="E15" i="2" s="1"/>
  <c r="D24" i="2"/>
  <c r="E24" i="2" s="1"/>
  <c r="D17" i="2"/>
  <c r="E17" i="2" s="1"/>
  <c r="D38" i="2"/>
  <c r="E38" i="2" s="1"/>
  <c r="D50" i="2"/>
  <c r="E50" i="2" s="1"/>
  <c r="D5" i="2"/>
  <c r="E5" i="2" s="1"/>
  <c r="D35" i="2"/>
  <c r="E35" i="2" s="1"/>
  <c r="D46" i="2"/>
  <c r="E46" i="2" s="1"/>
  <c r="D47" i="2"/>
  <c r="E47" i="2" s="1"/>
  <c r="D22" i="2"/>
  <c r="E22" i="2" s="1"/>
  <c r="D39" i="2"/>
  <c r="E39" i="2" s="1"/>
  <c r="D42" i="2"/>
  <c r="E42" i="2" s="1"/>
  <c r="D14" i="2"/>
  <c r="E14" i="2" s="1"/>
  <c r="D19" i="2"/>
  <c r="E19" i="2" s="1"/>
  <c r="D29" i="2"/>
  <c r="E29" i="2" s="1"/>
  <c r="D33" i="2"/>
  <c r="E33" i="2" s="1"/>
  <c r="D45" i="2"/>
  <c r="E45" i="2" s="1"/>
  <c r="D11" i="2"/>
  <c r="E11" i="2" s="1"/>
  <c r="D28" i="2"/>
  <c r="E28" i="2" s="1"/>
  <c r="D32" i="2"/>
  <c r="E32" i="2" s="1"/>
  <c r="D44" i="2"/>
  <c r="E44" i="2" s="1"/>
  <c r="D6" i="2"/>
  <c r="E6" i="2" s="1"/>
  <c r="D26" i="2"/>
  <c r="E26" i="2" s="1"/>
  <c r="D30" i="2"/>
  <c r="E30" i="2" s="1"/>
  <c r="D34" i="2"/>
  <c r="E34" i="2" s="1"/>
  <c r="D41" i="2"/>
  <c r="E41" i="2" s="1"/>
  <c r="D16" i="2"/>
  <c r="E16" i="2" s="1"/>
  <c r="D27" i="2"/>
  <c r="E27" i="2" s="1"/>
  <c r="D31" i="2"/>
  <c r="E31" i="2" s="1"/>
  <c r="D35" i="4"/>
  <c r="D44" i="4"/>
  <c r="D36" i="4"/>
  <c r="D43" i="4"/>
  <c r="D46" i="4"/>
  <c r="D37" i="4"/>
  <c r="D31" i="4"/>
  <c r="D39" i="4"/>
  <c r="D40" i="4"/>
  <c r="D45" i="4"/>
  <c r="D41" i="4"/>
  <c r="D25" i="4"/>
  <c r="D26" i="4"/>
  <c r="D29" i="4"/>
  <c r="D34" i="4"/>
  <c r="D16" i="4"/>
  <c r="D18" i="4"/>
  <c r="D20" i="4"/>
  <c r="D24" i="4"/>
  <c r="D21" i="4"/>
  <c r="D30" i="4"/>
  <c r="D22" i="4"/>
  <c r="D33" i="4"/>
  <c r="D19" i="4"/>
  <c r="D27" i="4"/>
  <c r="D28" i="4"/>
  <c r="D32" i="4"/>
  <c r="D17" i="4"/>
  <c r="D23" i="4"/>
  <c r="D3" i="2"/>
  <c r="E3" i="2" s="1"/>
  <c r="D10" i="2"/>
  <c r="E10" i="2" s="1"/>
  <c r="E16" i="1"/>
  <c r="E15" i="1" s="1"/>
  <c r="D7" i="2"/>
  <c r="E7" i="2" s="1"/>
  <c r="D18" i="2"/>
  <c r="E18" i="2" s="1"/>
  <c r="D43" i="2"/>
  <c r="E43" i="2" s="1"/>
  <c r="D4" i="2"/>
  <c r="E4" i="2" s="1"/>
  <c r="D23" i="2"/>
  <c r="E23" i="2" s="1"/>
  <c r="D36" i="2"/>
  <c r="E36" i="2" s="1"/>
  <c r="D40" i="2"/>
  <c r="E40" i="2" s="1"/>
  <c r="D49" i="2"/>
  <c r="E49" i="2" s="1"/>
  <c r="D51" i="2"/>
  <c r="E51" i="2" s="1"/>
  <c r="D37" i="2"/>
  <c r="E37" i="2" s="1"/>
  <c r="B9" i="1"/>
  <c r="D25" i="2"/>
  <c r="E25" i="2" s="1"/>
  <c r="D9" i="2"/>
  <c r="E9" i="2" s="1"/>
  <c r="D48" i="2"/>
  <c r="E48" i="2" s="1"/>
  <c r="J6" i="6"/>
  <c r="J20" i="6"/>
  <c r="D9" i="4"/>
  <c r="D12" i="4"/>
  <c r="D14" i="4"/>
  <c r="D10" i="4"/>
  <c r="D11" i="4"/>
  <c r="D13" i="4"/>
  <c r="D15" i="4"/>
  <c r="E64" i="2"/>
  <c r="G46" i="7"/>
  <c r="E13" i="1"/>
  <c r="D6" i="4"/>
  <c r="D7" i="4"/>
  <c r="D8" i="4"/>
  <c r="E63" i="2"/>
  <c r="D5" i="4"/>
  <c r="E59" i="2"/>
  <c r="E55" i="2"/>
  <c r="E62" i="2"/>
  <c r="E58" i="2"/>
  <c r="E54" i="2"/>
  <c r="D4" i="4"/>
  <c r="E61" i="2"/>
  <c r="E57" i="2"/>
  <c r="E53" i="2"/>
  <c r="E60" i="2"/>
  <c r="E56" i="2"/>
  <c r="J11" i="6"/>
  <c r="G35" i="2" l="1"/>
  <c r="I35" i="2" s="1"/>
  <c r="G13" i="2"/>
  <c r="I13" i="2" s="1"/>
  <c r="E13" i="2"/>
  <c r="E12" i="2"/>
  <c r="G12" i="2"/>
  <c r="I12" i="2" s="1"/>
  <c r="E52" i="2"/>
  <c r="G19" i="2"/>
  <c r="I19" i="2" s="1"/>
  <c r="G39" i="2"/>
  <c r="I39" i="2" s="1"/>
  <c r="G17" i="2"/>
  <c r="I17" i="2" s="1"/>
  <c r="G46" i="2"/>
  <c r="I46" i="2" s="1"/>
  <c r="G29" i="2"/>
  <c r="I29" i="2" s="1"/>
  <c r="G3" i="2"/>
  <c r="I3" i="2" s="1"/>
  <c r="G26" i="2"/>
  <c r="I26" i="2" s="1"/>
  <c r="G42" i="2"/>
  <c r="I42" i="2" s="1"/>
  <c r="G38" i="2"/>
  <c r="I38" i="2" s="1"/>
  <c r="G5" i="2"/>
  <c r="I5" i="2" s="1"/>
  <c r="G22" i="2"/>
  <c r="I22" i="2" s="1"/>
  <c r="G8" i="2"/>
  <c r="I8" i="2" s="1"/>
  <c r="G18" i="2"/>
  <c r="I18" i="2" s="1"/>
  <c r="G50" i="2"/>
  <c r="I50" i="2" s="1"/>
  <c r="G47" i="2"/>
  <c r="I47" i="2" s="1"/>
  <c r="G14" i="2"/>
  <c r="I14" i="2" s="1"/>
  <c r="G15" i="2"/>
  <c r="I15" i="2" s="1"/>
  <c r="G34" i="2"/>
  <c r="I34" i="2" s="1"/>
  <c r="G51" i="2"/>
  <c r="I51" i="2" s="1"/>
  <c r="G31" i="2"/>
  <c r="I31" i="2" s="1"/>
  <c r="G27" i="2"/>
  <c r="I27" i="2" s="1"/>
  <c r="G4" i="2"/>
  <c r="I4" i="2" s="1"/>
  <c r="G30" i="2"/>
  <c r="I30" i="2" s="1"/>
  <c r="G9" i="2"/>
  <c r="I9" i="2" s="1"/>
  <c r="G23" i="2"/>
  <c r="I23" i="2" s="1"/>
  <c r="G7" i="2"/>
  <c r="I7" i="2" s="1"/>
  <c r="G43" i="2"/>
  <c r="I43" i="2" s="1"/>
  <c r="G21" i="2"/>
  <c r="I21" i="2" s="1"/>
  <c r="G11" i="2"/>
  <c r="I11" i="2" s="1"/>
  <c r="G25" i="2"/>
  <c r="I25" i="2" s="1"/>
  <c r="G49" i="2"/>
  <c r="I49" i="2" s="1"/>
  <c r="G48" i="2"/>
  <c r="I48" i="2" s="1"/>
  <c r="G28" i="2"/>
  <c r="I28" i="2" s="1"/>
  <c r="G24" i="2"/>
  <c r="I24" i="2" s="1"/>
  <c r="G45" i="2"/>
  <c r="I45" i="2" s="1"/>
  <c r="G20" i="2"/>
  <c r="I20" i="2" s="1"/>
  <c r="G32" i="2"/>
  <c r="I32" i="2" s="1"/>
  <c r="G33" i="2"/>
  <c r="I33" i="2" s="1"/>
  <c r="G36" i="2"/>
  <c r="I36" i="2" s="1"/>
  <c r="G16" i="2"/>
  <c r="I16" i="2" s="1"/>
  <c r="G6" i="2"/>
  <c r="I6" i="2" s="1"/>
  <c r="G44" i="2"/>
  <c r="I44" i="2" s="1"/>
  <c r="G41" i="2"/>
  <c r="I41" i="2" s="1"/>
  <c r="G10" i="2"/>
  <c r="I10" i="2" s="1"/>
  <c r="G40" i="2"/>
  <c r="I40" i="2" s="1"/>
  <c r="G37" i="2"/>
  <c r="I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aid +1
haste +1
lion’s roar +1</t>
        </r>
      </text>
    </comment>
    <comment ref="B11" authorId="0" shapeId="0" xr:uid="{00000000-0006-0000-0000-000002000000}">
      <text>
        <r>
          <rPr>
            <i/>
            <sz val="12"/>
            <color indexed="81"/>
            <rFont val="Times New Roman"/>
            <family val="1"/>
          </rPr>
          <t>holy transformation +4</t>
        </r>
      </text>
    </comment>
    <comment ref="E11" authorId="0" shapeId="0" xr:uid="{B469E202-4ED8-450C-9DB1-E60888864CF6}">
      <text>
        <r>
          <rPr>
            <sz val="12"/>
            <color indexed="81"/>
            <rFont val="Times New Roman"/>
            <family val="1"/>
          </rPr>
          <t>See PHB 162</t>
        </r>
      </text>
    </comment>
    <comment ref="B12" authorId="0" shapeId="0" xr:uid="{8648F915-BE4E-4427-A418-54EAF0CD8116}">
      <text>
        <r>
          <rPr>
            <i/>
            <sz val="12"/>
            <color indexed="81"/>
            <rFont val="Times New Roman"/>
            <family val="1"/>
          </rPr>
          <t>Gloves of Dexterity +2</t>
        </r>
      </text>
    </comment>
    <comment ref="B13" authorId="0" shapeId="0" xr:uid="{00000000-0006-0000-0000-000004000000}">
      <text>
        <r>
          <rPr>
            <i/>
            <sz val="12"/>
            <color indexed="81"/>
            <rFont val="Times New Roman"/>
            <family val="1"/>
          </rPr>
          <t>holy transformation +4</t>
        </r>
      </text>
    </comment>
    <comment ref="E13" authorId="0" shapeId="0" xr:uid="{00000000-0006-0000-0000-000005000000}">
      <text>
        <r>
          <rPr>
            <sz val="12"/>
            <color indexed="81"/>
            <rFont val="Times New Roman"/>
            <family val="1"/>
          </rPr>
          <t>[(20 * 6 Archivist) * 75%]
+ (20 * 1 Con)
+3 Toughness</t>
        </r>
      </text>
    </comment>
    <comment ref="B14" authorId="0" shapeId="0" xr:uid="{00000000-0006-0000-0000-000006000000}">
      <text>
        <r>
          <rPr>
            <i/>
            <sz val="12"/>
            <color indexed="81"/>
            <rFont val="Times New Roman"/>
            <family val="1"/>
          </rPr>
          <t>Headband of Intellect +2
Ioun Stone +2</t>
        </r>
      </text>
    </comment>
    <comment ref="E14" authorId="0" shapeId="0" xr:uid="{00000000-0006-0000-0000-000007000000}">
      <text>
        <r>
          <rPr>
            <i/>
            <sz val="12"/>
            <color indexed="81"/>
            <rFont val="Times New Roman"/>
            <family val="1"/>
          </rPr>
          <t>shield of faith +3</t>
        </r>
        <r>
          <rPr>
            <sz val="12"/>
            <color indexed="81"/>
            <rFont val="Times New Roman"/>
            <family val="1"/>
          </rPr>
          <t xml:space="preserve">
</t>
        </r>
        <r>
          <rPr>
            <i/>
            <sz val="12"/>
            <color indexed="81"/>
            <rFont val="Times New Roman"/>
            <family val="1"/>
          </rPr>
          <t>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cloak of resistance +3
nightshield +3
holy transformation +4</t>
        </r>
      </text>
    </comment>
    <comment ref="F4" authorId="0" shapeId="0" xr:uid="{00000000-0006-0000-0100-000002000000}">
      <text>
        <r>
          <rPr>
            <i/>
            <sz val="12"/>
            <color indexed="81"/>
            <rFont val="Times New Roman"/>
            <family val="1"/>
          </rPr>
          <t>cloak of resistance +3
nightshield +3
holy transformation +4</t>
        </r>
      </text>
    </comment>
    <comment ref="F5" authorId="0" shapeId="0" xr:uid="{00000000-0006-0000-0100-000003000000}">
      <text>
        <r>
          <rPr>
            <i/>
            <sz val="12"/>
            <color indexed="81"/>
            <rFont val="Times New Roman"/>
            <family val="1"/>
          </rPr>
          <t>cloak of resistance +3
nightshield +3
holy transformation +4</t>
        </r>
      </text>
    </comment>
    <comment ref="F10" authorId="0" shapeId="0" xr:uid="{00000000-0006-0000-0100-000004000000}">
      <text>
        <r>
          <rPr>
            <b/>
            <sz val="12"/>
            <color indexed="81"/>
            <rFont val="Times New Roman"/>
            <family val="1"/>
          </rPr>
          <t xml:space="preserve">Price (Item Level):  </t>
        </r>
        <r>
          <rPr>
            <sz val="12"/>
            <color indexed="81"/>
            <rFont val="Times New Roman"/>
            <family val="1"/>
          </rPr>
          <t xml:space="preserve">2,800 gp (7th)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(manipulation); see text
</t>
        </r>
        <r>
          <rPr>
            <b/>
            <sz val="12"/>
            <color indexed="81"/>
            <rFont val="Times New Roman"/>
            <family val="1"/>
          </rPr>
          <t xml:space="preserve">Weight:  </t>
        </r>
        <r>
          <rPr>
            <sz val="12"/>
            <color indexed="81"/>
            <rFont val="Times New Roman"/>
            <family val="1"/>
          </rPr>
          <t>3 lb.
This elaborate mahogany tube has a slit that runs along its length. A wooden dowel, capped on the ends with gold, fi ts against the slit, locking into place with jeweled clasps.
An infinite scrollcase holds up to fifty scrolls or other parchments, which can be placed within it or removed as with any normal scrollcase.  When you activate an infinite scrollcase, the desired scroll unfurls through the slit, ready to read or cast from.  When you cast a spell from a scroll unfurled from an infinite scrollcase, you gain a +4 competence bonus on Concentration checks made to cast that spell defensively.
If you have at least a +1 base attack bonus, you can retrieve a scroll from an infi nite scrollcase as part of a move action, similar to drawing a weapon.
Magic Item Compendium 162</t>
        </r>
      </text>
    </comment>
    <comment ref="F15" authorId="0" shapeId="0" xr:uid="{23F8BB8C-C810-411F-A57C-4988EC544F11}">
      <text>
        <r>
          <rPr>
            <sz val="12"/>
            <color indexed="81"/>
            <rFont val="Times New Roman"/>
            <family val="1"/>
          </rPr>
          <t>Know:  Nobility +2</t>
        </r>
      </text>
    </comment>
    <comment ref="F20" authorId="0" shapeId="0" xr:uid="{00000000-0006-0000-0100-000006000000}">
      <text>
        <r>
          <rPr>
            <sz val="12"/>
            <color indexed="81"/>
            <rFont val="Times New Roman"/>
            <family val="1"/>
          </rPr>
          <t>K:  Local synergy</t>
        </r>
      </text>
    </comment>
    <comment ref="F23" authorId="0" shapeId="0" xr:uid="{00000000-0006-0000-0100-000007000000}">
      <text>
        <r>
          <rPr>
            <sz val="12"/>
            <color indexed="81"/>
            <rFont val="Times New Roman"/>
            <family val="1"/>
          </rPr>
          <t>Breastplate -4
Gnome (Small) +4</t>
        </r>
      </text>
    </comment>
    <comment ref="F26" authorId="0" shapeId="0" xr:uid="{00000000-0006-0000-0100-000008000000}">
      <text>
        <r>
          <rPr>
            <sz val="12"/>
            <color indexed="81"/>
            <rFont val="Times New Roman"/>
            <family val="1"/>
          </rPr>
          <t>Lore Mastery</t>
        </r>
      </text>
    </comment>
    <comment ref="F28" authorId="0" shapeId="0" xr:uid="{00000000-0006-0000-0100-000009000000}">
      <text>
        <r>
          <rPr>
            <sz val="12"/>
            <color indexed="81"/>
            <rFont val="Times New Roman"/>
            <family val="1"/>
          </rPr>
          <t>Lore Mastery</t>
        </r>
      </text>
    </comment>
    <comment ref="F33" authorId="0" shapeId="0" xr:uid="{CA3377F0-C3EF-421D-8785-F85F7596C35E}">
      <text>
        <r>
          <rPr>
            <sz val="12"/>
            <color indexed="81"/>
            <rFont val="Times New Roman"/>
            <family val="1"/>
          </rPr>
          <t>Skill Focus +3
Lore Mastery +2</t>
        </r>
      </text>
    </comment>
    <comment ref="F34" authorId="0" shapeId="0" xr:uid="{65DE156C-F6B6-42DD-AA9C-36E598DA6671}">
      <text>
        <r>
          <rPr>
            <sz val="12"/>
            <color indexed="81"/>
            <rFont val="Times New Roman"/>
            <family val="1"/>
          </rPr>
          <t>Lore Mastery</t>
        </r>
      </text>
    </comment>
    <comment ref="F35" authorId="0" shapeId="0" xr:uid="{00000000-0006-0000-0100-00000B000000}">
      <text>
        <r>
          <rPr>
            <sz val="12"/>
            <color indexed="81"/>
            <rFont val="Times New Roman"/>
            <family val="1"/>
          </rPr>
          <t>Gnome +2</t>
        </r>
      </text>
    </comment>
    <comment ref="F41" authorId="0" shapeId="0" xr:uid="{00000000-0006-0000-0100-00000C000000}">
      <text>
        <r>
          <rPr>
            <sz val="12"/>
            <color indexed="81"/>
            <rFont val="Times New Roman"/>
            <family val="1"/>
          </rPr>
          <t>K:  Archit. synergy</t>
        </r>
      </text>
    </comment>
    <comment ref="F45" authorId="0" shapeId="0" xr:uid="{00000000-0006-0000-0100-00000D000000}">
      <text>
        <r>
          <rPr>
            <sz val="12"/>
            <color indexed="81"/>
            <rFont val="Times New Roman"/>
            <family val="1"/>
          </rPr>
          <t>K:  Arcana synergy</t>
        </r>
      </text>
    </comment>
    <comment ref="F47" authorId="0" shapeId="0" xr:uid="{00000000-0006-0000-0100-00000E000000}">
      <text>
        <r>
          <rPr>
            <sz val="12"/>
            <color indexed="81"/>
            <rFont val="Times New Roman"/>
            <family val="1"/>
          </rPr>
          <t>+2 underground (K:  Dungeon synergy)
+2 above ground (K: Nature synergy)
+2 outside Material Plane (K:  Planes synergy)</t>
        </r>
      </text>
    </comment>
    <comment ref="F50" authorId="0" shapeId="0" xr:uid="{00000000-0006-0000-0100-00000F000000}">
      <text>
        <r>
          <rPr>
            <sz val="12"/>
            <color indexed="81"/>
            <rFont val="Times New Roman"/>
            <family val="1"/>
          </rPr>
          <t>Spellcraft synergy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200-000001000000}">
      <text>
        <r>
          <rPr>
            <sz val="12"/>
            <color indexed="81"/>
            <rFont val="Times New Roman"/>
            <family val="1"/>
          </rPr>
          <t>Phosphorescent moss</t>
        </r>
      </text>
    </comment>
    <comment ref="D14" authorId="0" shapeId="0" xr:uid="{00000000-0006-0000-0200-000002000000}">
      <text>
        <r>
          <rPr>
            <sz val="12"/>
            <color indexed="81"/>
            <rFont val="Times New Roman"/>
            <family val="1"/>
          </rPr>
          <t>Prism, lens, or monocle</t>
        </r>
      </text>
    </comment>
    <comment ref="D15" authorId="0" shapeId="0" xr:uid="{00000000-0006-0000-0200-000003000000}">
      <text>
        <r>
          <rPr>
            <sz val="12"/>
            <color indexed="81"/>
            <rFont val="Times New Roman"/>
            <family val="1"/>
          </rPr>
          <t>Miniature cloak</t>
        </r>
      </text>
    </comment>
    <comment ref="D19" authorId="0" shapeId="0" xr:uid="{00000000-0006-0000-0200-000004000000}">
      <text>
        <r>
          <rPr>
            <sz val="12"/>
            <color indexed="81"/>
            <rFont val="Times New Roman"/>
            <family val="1"/>
          </rPr>
          <t>Pure Water</t>
        </r>
      </text>
    </comment>
    <comment ref="D20" authorId="0" shapeId="0" xr:uid="{00000000-0006-0000-0200-000005000000}">
      <text>
        <r>
          <rPr>
            <sz val="12"/>
            <color indexed="81"/>
            <rFont val="Times New Roman"/>
            <family val="1"/>
          </rPr>
          <t>holy water, holy symbol, 100 XP</t>
        </r>
      </text>
    </comment>
    <comment ref="D22" authorId="0" shapeId="0" xr:uid="{00000000-0006-0000-0200-000006000000}">
      <text>
        <r>
          <rPr>
            <sz val="12"/>
            <color indexed="81"/>
            <rFont val="Times New Roman"/>
            <family val="1"/>
          </rPr>
          <t>Soot &amp; Salt</t>
        </r>
      </text>
    </comment>
    <comment ref="D29" authorId="0" shapeId="0" xr:uid="{00000000-0006-0000-0200-000007000000}">
      <text>
        <r>
          <rPr>
            <sz val="12"/>
            <color indexed="81"/>
            <rFont val="Times New Roman"/>
            <family val="1"/>
          </rPr>
          <t>Earth from grave</t>
        </r>
      </text>
    </comment>
    <comment ref="D42" authorId="0" shapeId="0" xr:uid="{00000000-0006-0000-0200-000008000000}">
      <text>
        <r>
          <rPr>
            <sz val="12"/>
            <color indexed="81"/>
            <rFont val="Times New Roman"/>
            <family val="1"/>
          </rPr>
          <t>Imbued weapon</t>
        </r>
      </text>
    </comment>
    <comment ref="D47" authorId="0" shapeId="0" xr:uid="{00000000-0006-0000-0200-000009000000}">
      <text>
        <r>
          <rPr>
            <sz val="12"/>
            <color indexed="81"/>
            <rFont val="Times New Roman"/>
            <family val="1"/>
          </rPr>
          <t>Powdered silver</t>
        </r>
      </text>
    </comment>
    <comment ref="D48" authorId="0" shapeId="0" xr:uid="{00000000-0006-0000-0200-00000A000000}">
      <text>
        <r>
          <rPr>
            <sz val="12"/>
            <color indexed="81"/>
            <rFont val="Times New Roman"/>
            <family val="1"/>
          </rPr>
          <t>Powdered silver</t>
        </r>
      </text>
    </comment>
    <comment ref="D52" authorId="0" shapeId="0" xr:uid="{00000000-0006-0000-0200-00000B000000}">
      <text>
        <r>
          <rPr>
            <sz val="12"/>
            <color indexed="81"/>
            <rFont val="Times New Roman"/>
            <family val="1"/>
          </rPr>
          <t>Parchment w/ holy text</t>
        </r>
      </text>
    </comment>
    <comment ref="D54" authorId="0" shapeId="0" xr:uid="{00000000-0006-0000-0200-00000C000000}">
      <text>
        <r>
          <rPr>
            <sz val="12"/>
            <rFont val="Times New Roman"/>
            <family val="1"/>
          </rPr>
          <t>Bag and candle</t>
        </r>
      </text>
    </comment>
    <comment ref="D56" authorId="0" shapeId="0" xr:uid="{00000000-0006-0000-0200-00000D000000}">
      <text/>
    </comment>
    <comment ref="D60" authorId="0" shapeId="0" xr:uid="{00000000-0006-0000-0200-00000E000000}">
      <text>
        <r>
          <rPr>
            <sz val="12"/>
            <color indexed="81"/>
            <rFont val="Times New Roman"/>
            <family val="1"/>
          </rPr>
          <t>25 gp of sticks and bones</t>
        </r>
      </text>
    </comment>
    <comment ref="D63" authorId="0" shapeId="0" xr:uid="{00000000-0006-0000-0200-00000F000000}">
      <text>
        <r>
          <rPr>
            <sz val="12"/>
            <color indexed="81"/>
            <rFont val="Times New Roman"/>
            <family val="1"/>
          </rPr>
          <t>tallow, bringstone, powdered iron</t>
        </r>
      </text>
    </comment>
    <comment ref="D64" authorId="0" shapeId="0" xr:uid="{00000000-0006-0000-0200-000010000000}">
      <text>
        <r>
          <rPr>
            <sz val="12"/>
            <color indexed="81"/>
            <rFont val="Times New Roman"/>
            <family val="1"/>
          </rPr>
          <t>5 gems worth 1GP each</t>
        </r>
      </text>
    </comment>
    <comment ref="D70" authorId="0" shapeId="0" xr:uid="{00000000-0006-0000-0200-000011000000}">
      <text>
        <r>
          <rPr>
            <sz val="12"/>
            <rFont val="Times New Roman"/>
            <family val="1"/>
          </rPr>
          <t>Bag and candle</t>
        </r>
      </text>
    </comment>
    <comment ref="D74" authorId="0" shapeId="0" xr:uid="{00000000-0006-0000-0200-000012000000}">
      <text>
        <r>
          <rPr>
            <sz val="12"/>
            <color indexed="81"/>
            <rFont val="Times New Roman"/>
            <family val="1"/>
          </rPr>
          <t>phosphorous</t>
        </r>
      </text>
    </comment>
    <comment ref="D78" authorId="0" shapeId="0" xr:uid="{00000000-0006-0000-0200-000013000000}">
      <text/>
    </comment>
    <comment ref="D83" authorId="0" shapeId="0" xr:uid="{00000000-0006-0000-0200-000014000000}">
      <text>
        <r>
          <rPr>
            <sz val="12"/>
            <color indexed="81"/>
            <rFont val="Times New Roman"/>
            <family val="1"/>
          </rPr>
          <t>Herbal inhalant applied under nostrils, smoked, or imbibed</t>
        </r>
      </text>
    </comment>
    <comment ref="D84" authorId="0" shapeId="0" xr:uid="{00000000-0006-0000-0200-000015000000}">
      <text>
        <r>
          <rPr>
            <sz val="12"/>
            <color indexed="81"/>
            <rFont val="Times New Roman"/>
            <family val="1"/>
          </rPr>
          <t>100+ GP worth of diamond dust</t>
        </r>
      </text>
    </comment>
    <comment ref="D86" authorId="0" shapeId="0" xr:uid="{00000000-0006-0000-0200-000016000000}">
      <text/>
    </comment>
    <comment ref="D87" authorId="0" shapeId="0" xr:uid="{00000000-0006-0000-0200-000017000000}">
      <text>
        <r>
          <rPr>
            <sz val="12"/>
            <color indexed="81"/>
            <rFont val="Times New Roman"/>
            <family val="1"/>
          </rPr>
          <t>Parchment w/ unholy text</t>
        </r>
      </text>
    </comment>
    <comment ref="D90" authorId="0" shapeId="0" xr:uid="{00000000-0006-0000-0200-000018000000}">
      <text>
        <r>
          <rPr>
            <sz val="12"/>
            <color indexed="81"/>
            <rFont val="Times New Roman"/>
            <family val="1"/>
          </rPr>
          <t>Natural pool of water</t>
        </r>
      </text>
    </comment>
    <comment ref="D95" authorId="0" shapeId="0" xr:uid="{A8F9AD20-2D86-4ED3-A4F9-F5219A5BA26D}">
      <text>
        <r>
          <rPr>
            <sz val="12"/>
            <rFont val="Times New Roman"/>
            <family val="1"/>
          </rPr>
          <t>An ointment for the eyes that costs 250 gp and is made from mushroom powder, saffron, and fat.</t>
        </r>
      </text>
    </comment>
    <comment ref="D96" authorId="0" shapeId="0" xr:uid="{00000000-0006-0000-0200-000019000000}">
      <text>
        <r>
          <rPr>
            <sz val="12"/>
            <color indexed="81"/>
            <rFont val="Times New Roman"/>
            <family val="1"/>
          </rPr>
          <t>A statuette of a Celestial or fiend worth 50 gp.</t>
        </r>
      </text>
    </comment>
    <comment ref="D98" authorId="0" shapeId="0" xr:uid="{00000000-0006-0000-0200-00001A000000}">
      <text>
        <r>
          <rPr>
            <sz val="12"/>
            <color indexed="81"/>
            <rFont val="Times New Roman"/>
            <family val="1"/>
          </rPr>
          <t>You trace the glyph with incense, which must first be sprinkled with powdered diamond worth at least 200 gp.</t>
        </r>
      </text>
    </comment>
    <comment ref="D102" authorId="0" shapeId="0" xr:uid="{00000000-0006-0000-0200-00001B000000}">
      <text>
        <r>
          <rPr>
            <sz val="12"/>
            <color indexed="81"/>
            <rFont val="Times New Roman"/>
            <family val="1"/>
          </rPr>
          <t>Parchment w/ unholy text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A3" authorId="0" shapeId="0" xr:uid="{A799447A-CB05-47D8-A8E0-DE02785AF42E}">
      <text>
        <r>
          <rPr>
            <sz val="12"/>
            <rFont val="Times New Roman"/>
            <family val="1"/>
          </rPr>
          <t xml:space="preserve">Your path to faith is more scholarly than those of other clerics.
</t>
        </r>
        <r>
          <rPr>
            <b/>
            <sz val="12"/>
            <color indexed="81"/>
            <rFont val="Times New Roman"/>
            <family val="1"/>
          </rPr>
          <t xml:space="preserve">Prerequisites:  </t>
        </r>
        <r>
          <rPr>
            <sz val="12"/>
            <rFont val="Times New Roman"/>
            <family val="1"/>
          </rPr>
          <t xml:space="preserve">Intelligence 13+
</t>
        </r>
        <r>
          <rPr>
            <b/>
            <sz val="12"/>
            <color indexed="81"/>
            <rFont val="Times New Roman"/>
            <family val="1"/>
          </rPr>
          <t xml:space="preserve">Benefit:  </t>
        </r>
        <r>
          <rPr>
            <sz val="12"/>
            <rFont val="Times New Roman"/>
            <family val="1"/>
          </rPr>
          <t xml:space="preserve">For the purpose of determining bonus divine spells per day and maximum divine spell level, your primary spellcasting ability is Intelligence.  If you have more than one divine spellcasting class, the bonus applies to only one of those classes.  Your spell save DCs are not affected by this change.
</t>
        </r>
        <r>
          <rPr>
            <b/>
            <sz val="12"/>
            <color indexed="81"/>
            <rFont val="Times New Roman"/>
            <family val="1"/>
          </rPr>
          <t xml:space="preserve">Special:  </t>
        </r>
        <r>
          <rPr>
            <sz val="12"/>
            <rFont val="Times New Roman"/>
            <family val="1"/>
          </rPr>
          <t>You may only take this feat as a 1st-level character.  If you take this feat more than once, it applies to a different divine spellcasting class each time.  You may take this feat even if you have no divine spellcasting classes yet.
Legends of the Twins (Dragonlance)</t>
        </r>
      </text>
    </comment>
    <comment ref="A4" authorId="0" shapeId="0" xr:uid="{00000000-0006-0000-0400-000002000000}">
      <text>
        <r>
          <rPr>
            <sz val="12"/>
            <color indexed="81"/>
            <rFont val="Times New Roman"/>
            <family val="1"/>
          </rPr>
          <t xml:space="preserve">In addition to your studies of the darkness, you have spent time studying giants and fey.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on giants and fey. You use Knowledge (nature)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only use that class feature on aberrations, elementals, magical beasts, outsiders, and undead.
Heroes of Horror 119</t>
        </r>
      </text>
    </comment>
    <comment ref="A5" authorId="0" shapeId="0" xr:uid="{00000000-0006-0000-0400-000003000000}">
      <text>
        <r>
          <rPr>
            <sz val="12"/>
            <color indexed="81"/>
            <rFont val="Times New Roman"/>
            <family val="1"/>
          </rPr>
          <t xml:space="preserve">In addition to your studies of the darkness, you have spent time studying dragons and constructs.
</t>
        </r>
        <r>
          <rPr>
            <b/>
            <sz val="12"/>
            <color indexed="81"/>
            <rFont val="Times New Roman"/>
            <family val="1"/>
          </rPr>
          <t xml:space="preserve">Prerequisite:  </t>
        </r>
        <r>
          <rPr>
            <sz val="12"/>
            <color indexed="81"/>
            <rFont val="Times New Roman"/>
            <family val="1"/>
          </rPr>
          <t xml:space="preserve">Dark knowledge.
</t>
        </r>
        <r>
          <rPr>
            <b/>
            <sz val="12"/>
            <color indexed="81"/>
            <rFont val="Times New Roman"/>
            <family val="1"/>
          </rPr>
          <t xml:space="preserve">Benefit:  </t>
        </r>
        <r>
          <rPr>
            <sz val="12"/>
            <color indexed="81"/>
            <rFont val="Times New Roman"/>
            <family val="1"/>
          </rPr>
          <t xml:space="preserve">You can use your dark knowledge ability on dragons and constructs. You use Knowledge (arcana) for dark knowledge checks regarding these two creature types.
</t>
        </r>
        <r>
          <rPr>
            <b/>
            <sz val="12"/>
            <color indexed="81"/>
            <rFont val="Times New Roman"/>
            <family val="1"/>
          </rPr>
          <t xml:space="preserve">Normal:  </t>
        </r>
        <r>
          <rPr>
            <sz val="12"/>
            <color indexed="81"/>
            <rFont val="Times New Roman"/>
            <family val="1"/>
          </rPr>
          <t>Without this feat, a character with dark knowledge can use that class feature only on aberrations, elementals, magical beasts, outsiders, and undead.
Heroes of Horror 122</t>
        </r>
      </text>
    </comment>
    <comment ref="A6" authorId="0" shapeId="0" xr:uid="{00000000-0006-0000-0400-000004000000}">
      <text>
        <r>
          <rPr>
            <sz val="12"/>
            <color indexed="81"/>
            <rFont val="Times New Roman"/>
            <family val="1"/>
          </rPr>
          <t xml:space="preserve">You have the ability to dredge up obscure knowledge in appropriate situations.
</t>
        </r>
        <r>
          <rPr>
            <b/>
            <sz val="12"/>
            <color indexed="81"/>
            <rFont val="Times New Roman"/>
            <family val="1"/>
          </rPr>
          <t xml:space="preserve">Prerequisites:  </t>
        </r>
        <r>
          <rPr>
            <sz val="12"/>
            <color indexed="81"/>
            <rFont val="Times New Roman"/>
            <family val="1"/>
          </rPr>
          <t xml:space="preserve">Gnome, Int 13.
</t>
        </r>
        <r>
          <rPr>
            <b/>
            <sz val="12"/>
            <color indexed="81"/>
            <rFont val="Times New Roman"/>
            <family val="1"/>
          </rPr>
          <t xml:space="preserve">Benefit:  </t>
        </r>
        <r>
          <rPr>
            <sz val="12"/>
            <color indexed="81"/>
            <rFont val="Times New Roman"/>
            <family val="1"/>
          </rPr>
          <t>Whenever you make a Knowledge check or a bardic knowledge check, roll twice and use the better of the two results.
Feat Bible 458</t>
        </r>
      </text>
    </comment>
    <comment ref="A9" authorId="0" shapeId="0" xr:uid="{ED606423-C9DD-447C-A644-10C8023F1BAF}">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A13" authorId="0" shapeId="0" xr:uid="{00000000-0006-0000-0400-000006000000}">
      <text>
        <r>
          <rPr>
            <sz val="12"/>
            <color indexed="81"/>
            <rFont val="Times New Roman"/>
            <family val="1"/>
          </rPr>
          <t>Base Knowledge check is DC is 15.
Heroes of Horror 83</t>
        </r>
      </text>
    </comment>
    <comment ref="A14" authorId="0" shapeId="0" xr:uid="{00000000-0006-0000-0400-000008000000}">
      <text>
        <r>
          <rPr>
            <b/>
            <sz val="12"/>
            <color indexed="81"/>
            <rFont val="Times New Roman"/>
            <family val="1"/>
          </rPr>
          <t xml:space="preserve">Tactics:  </t>
        </r>
        <r>
          <rPr>
            <sz val="12"/>
            <color indexed="81"/>
            <rFont val="Times New Roman"/>
            <family val="1"/>
          </rPr>
          <t>The archivist knows the general combat behaviors of creatures of that race, granting his allies a +1 bonus to attack rolls made against them.  For example, an archivist confronted by corruption eaters who succeeded on his Knowledge (dungeoneering) check would grant his allies the attack bonus against all the corruption eaters they fought in that encounter.
If the archivist succeeds on his Knowledge check by 10 or more, then this bonus increases to +2.  If the archivist succeeds on his Knowledge check by 20 or more, then this bonus increases to +3.
Heroes of Horror 83</t>
        </r>
      </text>
    </comment>
    <comment ref="A15" authorId="0" shapeId="0" xr:uid="{00000000-0006-0000-0400-000007000000}">
      <text>
        <r>
          <rPr>
            <sz val="12"/>
            <color indexed="81"/>
            <rFont val="Times New Roman"/>
            <family val="1"/>
          </rPr>
          <t>Starting at 5th level, the archivist can use his dark knowledge to help his allies fight off the corrupting influence of other creatures.  Allies within 60 feet of the archivist gain a +1 bonus on saving throws against the affected creature’s abilities.  If the archivist succeeds on his Knowledge check by 10 or more, this bonus increases to +2.  If the archivist succeeds on his Knowledge check by 20 or more, this bonus increases to +3.
Heroes of Horror 83</t>
        </r>
      </text>
    </comment>
    <comment ref="A16" authorId="0" shapeId="0" xr:uid="{00000000-0006-0000-0400-000009000000}">
      <text>
        <r>
          <rPr>
            <sz val="12"/>
            <color indexed="81"/>
            <rFont val="Times New Roman"/>
            <family val="1"/>
          </rPr>
          <t>Starting at 8th level, an archivist can direct his allies to attack vital spots of his enemies.  On a successful Knowledge check, he grants them a bonus to weapon damage rolls made against the target creatures equal to 1d6 points of damage.  If the archivist succeeds on his Knowledge check by 10 or more, then this bonus increases to 2d6.  If the archivist succeeds on his Knowledge check by 20 or more, then this bonus increases to 3d6.
Heroes of Horror 83</t>
        </r>
      </text>
    </comment>
    <comment ref="A17" authorId="0" shapeId="0" xr:uid="{00000000-0006-0000-0400-000010000000}">
      <text>
        <r>
          <rPr>
            <sz val="12"/>
            <color indexed="81"/>
            <rFont val="Times New Roman"/>
            <family val="1"/>
          </rPr>
          <t>By speaking aloud a dread secret of the target creature, an archivist of 11th level or higher can dazzle a target creature for 1 round.  Unlike other dark knowledge, this ability can be used only against a single creature.  If the archivist succeeds on his Knowledge check by 10 or more, then the target is dazed for 1 round.  If the archivist succeeds on his Knowledge check by 20 or more, then the target is stunned for 1 round (if the target is immune to being stunned but not immune to being dazed, such as most undead, then the archivist can choose to daze the target instead of stunning it).
Heroes of Horror 83</t>
        </r>
      </text>
    </comment>
    <comment ref="A18" authorId="0" shapeId="0" xr:uid="{E1BF90CF-6AA7-45B6-8B97-39D44E35DD18}">
      <text>
        <r>
          <rPr>
            <sz val="12"/>
            <color indexed="81"/>
            <rFont val="Times New Roman"/>
            <family val="1"/>
          </rPr>
          <t>Starting at 14th level, an archivist can better prepare his allies for the attacks of the affected creature, making it harder for the creature to land blows and successfully deal damage.  Allies within 30 feet of the archivist gain a +1 insight bonus to Armor Class that applies to attacks by the affected creature only.  If the archivist succeeds on his Knowledge check by 10 or more, this bonus increases to +2.  If the archivist succeeds on his knowledge check by 20 or more, this bonus increases to +3.
Heroes of Horror 83</t>
        </r>
      </text>
    </comment>
    <comment ref="A19" authorId="0" shapeId="0" xr:uid="{00000000-0006-0000-0400-00000D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A20" authorId="0" shapeId="0" xr:uid="{00000000-0006-0000-0400-00000A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21" authorId="0" shapeId="0" xr:uid="{00000000-0006-0000-0400-00000E000000}">
      <text>
        <r>
          <rPr>
            <b/>
            <sz val="12"/>
            <color indexed="81"/>
            <rFont val="Times New Roman"/>
            <family val="1"/>
          </rPr>
          <t xml:space="preserve">Still Mind (Ex):  </t>
        </r>
        <r>
          <rPr>
            <sz val="12"/>
            <color indexed="81"/>
            <rFont val="Times New Roman"/>
            <family val="1"/>
          </rPr>
          <t>Starting at 4th level, an archivist gains a +2 bonus on saving throws against spells and effects from the school of enchantment, due to his rigorous focus and intense mental discipline.</t>
        </r>
      </text>
    </comment>
    <comment ref="A22" authorId="0" shapeId="0" xr:uid="{00000000-0006-0000-0400-00000B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23" authorId="0" shapeId="0" xr:uid="{F5C490C2-5722-4DF0-9656-DE4C79C6CCDA}">
      <text>
        <r>
          <rPr>
            <sz val="12"/>
            <color indexed="81"/>
            <rFont val="Times New Roman"/>
            <family val="1"/>
          </rPr>
          <t>+3 hps
PHB 101</t>
        </r>
      </text>
    </comment>
    <comment ref="A24" authorId="0" shapeId="0" xr:uid="{00000000-0006-0000-0400-00000C000000}">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 ref="A25" authorId="0" shapeId="0" xr:uid="{5F02BC2D-5194-484C-B5C6-3DDBD5719256}">
      <text>
        <r>
          <rPr>
            <b/>
            <sz val="12"/>
            <color indexed="81"/>
            <rFont val="Times New Roman"/>
            <family val="1"/>
          </rPr>
          <t xml:space="preserve">Lore Mastery:  </t>
        </r>
        <r>
          <rPr>
            <sz val="12"/>
            <color indexed="81"/>
            <rFont val="Times New Roman"/>
            <family val="1"/>
          </rPr>
          <t>Upon reaching 2nd level, an archivist gains a +2 bonus to all Decipher Script checks and to all checks of any one Knowledge skill of his choice. Once this choice is made, it cannot be changed. At 7th, 13th, and 17th level, the archivist can choose an additional Knowledge skill on which to gain the +2 bonus.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B9FC0D9B-81F1-4305-91FA-01DAFD49A98C}">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amethyst is carved in the shape of a humanoid skull.
Clerics craft truedeath crystals to aid themselves and others in sending undead to their final rest.
Least: A weapon with this crystal attached deals an extra 1d6 points of damage to undead.
Lesser: As the least crystal, and the weapon also functions as a ghost touch weapon (DMG 224).
Greater: As the lesser crystal, and the weapon can deliver sneak attacks and critical hits against undead as if they were living creatures.
MIC 66</t>
        </r>
      </text>
    </comment>
    <comment ref="C14" authorId="0" shapeId="0" xr:uid="{00000000-0006-0000-0500-000001000000}">
      <text>
        <r>
          <rPr>
            <b/>
            <sz val="12"/>
            <color indexed="81"/>
            <rFont val="Times New Roman"/>
            <family val="1"/>
          </rPr>
          <t xml:space="preserve">Price (Item Level):  </t>
        </r>
        <r>
          <rPr>
            <sz val="12"/>
            <color indexed="81"/>
            <rFont val="Times New Roman"/>
            <family val="1"/>
          </rPr>
          <t xml:space="preserve">See text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varies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1/4 lb.
This reddish crystal shard is inscribed with arcane symbols, banded with mithral, and hanging from a small silver chain.
An empowered spellshard is keyed to a specific spell of up to 3rd level.  When you cast the attuned spell, you can use your empowered spellshard as a focus in addition to the spell’s normal components (if any).  Doing this empowers the spell (as though using the Empower Spell feat, but with no adjustment to spell level or casting time).
The spellshard is activated as a part of the spellcasting process.  The markings on the shard reveal the spell to which it is attuned to a character who makes a successful DC 30 Spellcraft check.  The prices and levels of empowered spellshards are described on the table below.
Spell Level Price (Item Level)
1st 1,500 gp (5th)
2nd 3,000 gp (7th)
3rd 6,000 gp (10th)
An empowered spellshard functions three times per day.
The school of magic an empowered spellshard radiates is the same as that of the spell to which it is attuned.
</t>
        </r>
        <r>
          <rPr>
            <b/>
            <sz val="12"/>
            <color indexed="81"/>
            <rFont val="Times New Roman"/>
            <family val="1"/>
          </rPr>
          <t xml:space="preserve">Lore:  </t>
        </r>
        <r>
          <rPr>
            <sz val="12"/>
            <color indexed="81"/>
            <rFont val="Times New Roman"/>
            <family val="1"/>
          </rPr>
          <t>These shards were created during the last great war to assist battle mages on the front lines (Knowledge [history] DC 10).  As a result, many empowered spellshards are keyed to destructive evocation spells (Knowledge [history] DC 15).
Magic Item Compendium 96</t>
        </r>
      </text>
    </comment>
    <comment ref="D14" authorId="0" shapeId="0" xr:uid="{00000000-0006-0000-0500-000002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D22" authorId="0" shapeId="0" xr:uid="{00000000-0006-0000-0500-000003000000}">
      <text>
        <r>
          <rPr>
            <sz val="12"/>
            <color indexed="81"/>
            <rFont val="Times New Roman"/>
            <family val="1"/>
          </rPr>
          <t>Balance, Climb, Escape Artist, Hide, Jump, Move Silently, Sleight of Hand, Tumble.</t>
        </r>
      </text>
    </comment>
    <comment ref="A23" authorId="0" shapeId="0" xr:uid="{13B32913-DB20-464C-B499-A0E3E88FBEAA}">
      <text>
        <r>
          <rPr>
            <b/>
            <sz val="12"/>
            <color indexed="81"/>
            <rFont val="Times New Roman"/>
            <family val="1"/>
          </rPr>
          <t xml:space="preserve">Mindarmor
Price: </t>
        </r>
        <r>
          <rPr>
            <sz val="12"/>
            <color indexed="81"/>
            <rFont val="Times New Roman"/>
            <family val="1"/>
          </rPr>
          <t xml:space="preserve">+3,000 gp
</t>
        </r>
        <r>
          <rPr>
            <b/>
            <sz val="12"/>
            <color indexed="81"/>
            <rFont val="Times New Roman"/>
            <family val="1"/>
          </rPr>
          <t xml:space="preserve">Property: </t>
        </r>
        <r>
          <rPr>
            <sz val="12"/>
            <color indexed="81"/>
            <rFont val="Times New Roman"/>
            <family val="1"/>
          </rPr>
          <t xml:space="preserve">Armor or shield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Immediate (mental)
Constructed of seamless and tightly bound layers, this item steadies your thoughts when worn.
When activated, a suit of armor or a shield that has this property grants you a +5 bonus on Will saves to resist mind-affecting spells and abilities until the start of your next turn.
The mindarmor property functions three times per day.
MIC 13
</t>
        </r>
        <r>
          <rPr>
            <b/>
            <sz val="12"/>
            <color indexed="81"/>
            <rFont val="Times New Roman"/>
            <family val="1"/>
          </rPr>
          <t xml:space="preserve">Soulfire:  </t>
        </r>
        <r>
          <rPr>
            <sz val="12"/>
            <color indexed="81"/>
            <rFont val="Times New Roman"/>
            <family val="1"/>
          </rPr>
          <t>This armor’s wearer is immune to all death spells, magical death effects, and energy drain, and any negative energy effects (such as from chill touch or inflict spells).
BoED 112</t>
        </r>
      </text>
    </comment>
    <comment ref="A25" authorId="0" shapeId="0" xr:uid="{D2D50BE3-3A6F-4615-BE2D-5EDB7090E289}">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silver clasp is decorated with sparkling crystals shaped like stars.
A restful crystal is a great boon to any warrior who must stay always at the ready.
Sleeping in armor that has this augment crystal attached does not make you fatigued.
MIC 26</t>
        </r>
      </text>
    </comment>
    <comment ref="F60" authorId="0" shapeId="0" xr:uid="{F1B87260-0BEF-4682-A994-91121AA41919}">
      <text>
        <r>
          <rPr>
            <b/>
            <sz val="12"/>
            <color indexed="81"/>
            <rFont val="Times New Roman"/>
            <family val="1"/>
          </rPr>
          <t xml:space="preserve">Price (Item Level): </t>
        </r>
        <r>
          <rPr>
            <sz val="12"/>
            <rFont val="Times New Roman"/>
            <family val="1"/>
          </rPr>
          <t xml:space="preserve">See table
</t>
        </r>
        <r>
          <rPr>
            <b/>
            <sz val="12"/>
            <color indexed="81"/>
            <rFont val="Times New Roman"/>
            <family val="1"/>
          </rPr>
          <t xml:space="preserve">Body Slot: </t>
        </r>
        <r>
          <rPr>
            <sz val="12"/>
            <rFont val="Times New Roman"/>
            <family val="1"/>
          </rPr>
          <t xml:space="preserve">— (held)
</t>
        </r>
        <r>
          <rPr>
            <b/>
            <sz val="12"/>
            <color indexed="81"/>
            <rFont val="Times New Roman"/>
            <family val="1"/>
          </rPr>
          <t xml:space="preserve">Caster Level: </t>
        </r>
        <r>
          <rPr>
            <sz val="12"/>
            <rFont val="Times New Roman"/>
            <family val="1"/>
          </rPr>
          <t xml:space="preserve">See table
</t>
        </r>
        <r>
          <rPr>
            <b/>
            <sz val="12"/>
            <color indexed="81"/>
            <rFont val="Times New Roman"/>
            <family val="1"/>
          </rPr>
          <t xml:space="preserve">Aura: </t>
        </r>
        <r>
          <rPr>
            <sz val="12"/>
            <rFont val="Times New Roman"/>
            <family val="1"/>
          </rPr>
          <t xml:space="preserve">Faint; (see table) school of spell contained in eternal wand
</t>
        </r>
        <r>
          <rPr>
            <b/>
            <sz val="12"/>
            <color indexed="81"/>
            <rFont val="Times New Roman"/>
            <family val="1"/>
          </rPr>
          <t xml:space="preserve">Activation: </t>
        </r>
        <r>
          <rPr>
            <sz val="12"/>
            <rFont val="Times New Roman"/>
            <family val="1"/>
          </rPr>
          <t xml:space="preserve">Standard (command)
</t>
        </r>
        <r>
          <rPr>
            <b/>
            <sz val="12"/>
            <color indexed="81"/>
            <rFont val="Times New Roman"/>
            <family val="1"/>
          </rPr>
          <t xml:space="preserve">Weight: </t>
        </r>
        <r>
          <rPr>
            <sz val="12"/>
            <rFont val="Times New Roman"/>
            <family val="1"/>
          </rPr>
          <t>—
This long, tapered wand ends with a pink crystal containing red swirls.
An eternal wand holds a single arcane spell of 3rd level or lower, determined during creation.  Any character who can cast arcane spells can activate the wand to use the spell contained in it, regardless of whether the spell appears on his class spell list.
An eternal wand functions two times per day.
Lore: During the fi nal years of the last great war, the artifi cers and wizards of a powerful noble family perfected a new form of wand built around a crystal shard (Knowledge [history] DC 10).
The development of the eternal wand allowed lesser arcanists to take the place of war wizards during the final days of the last great war, supplementing their passive spells with more aggressive magic (Knowledge [history] DC 15).
While the artificers have been searching for ways to streamline the process of creation, the technique is still in its infancy.  Currently, the wands are rarely seen except in military units, but a few soldiers who served in the war brought their eternal wands of magic missile home from the front lines (Knowledge [history] DC 20).
MIC 160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Flying </t>
        </r>
        <r>
          <rPr>
            <sz val="12"/>
            <color indexed="81"/>
            <rFont val="Times New Roman"/>
            <family val="1"/>
          </rPr>
          <t xml:space="preserve">property as Winged Boots (DMG) but with twice the duration on each activation (i.e., 10 minutes).
</t>
        </r>
        <r>
          <rPr>
            <b/>
            <sz val="12"/>
            <color indexed="81"/>
            <rFont val="Times New Roman"/>
            <family val="1"/>
          </rPr>
          <t>Greater Agility</t>
        </r>
        <r>
          <rPr>
            <sz val="12"/>
            <color indexed="81"/>
            <rFont val="Times New Roman"/>
            <family val="1"/>
          </rPr>
          <t xml:space="preserve">
</t>
        </r>
        <r>
          <rPr>
            <b/>
            <sz val="12"/>
            <color indexed="81"/>
            <rFont val="Times New Roman"/>
            <family val="1"/>
          </rPr>
          <t xml:space="preserve">Price: </t>
        </r>
        <r>
          <rPr>
            <sz val="12"/>
            <color indexed="81"/>
            <rFont val="Times New Roman"/>
            <family val="1"/>
          </rPr>
          <t xml:space="preserve">+8,000 gp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transmutation
</t>
        </r>
        <r>
          <rPr>
            <b/>
            <sz val="12"/>
            <color indexed="81"/>
            <rFont val="Times New Roman"/>
            <family val="1"/>
          </rPr>
          <t xml:space="preserve">Synergy Prerequisite: </t>
        </r>
        <r>
          <rPr>
            <sz val="12"/>
            <color indexed="81"/>
            <rFont val="Times New Roman"/>
            <family val="1"/>
          </rPr>
          <t>Improved agility
As agility, except the armor grants a +5 resistance bonus on Refl ex saving throws.
MIC 6</t>
        </r>
      </text>
    </comment>
    <comment ref="A6" authorId="0" shapeId="0" xr:uid="{00000000-0006-0000-0600-000002000000}">
      <text>
        <r>
          <rPr>
            <b/>
            <sz val="12"/>
            <color indexed="81"/>
            <rFont val="Times New Roman"/>
            <family val="1"/>
          </rPr>
          <t xml:space="preserve">Price (Item Level):  </t>
        </r>
        <r>
          <rPr>
            <sz val="12"/>
            <color indexed="81"/>
            <rFont val="Times New Roman"/>
            <family val="1"/>
          </rPr>
          <t xml:space="preserve">1,000 gp (4th)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 end of this long silken cord is tied with five different knots.
A dispelling cord is worn wrapped loosely around your chest, its two ends slung over your shoulder.  When you activate a dispelling cord, you gain a +2 competence bonus on any dispel checks you make until the end of your turn.
A dispelling cord functions five times per day.  Each time it is activated, one of the five knots magically unties itself, indicating the uses remaining for the day.
</t>
        </r>
        <r>
          <rPr>
            <b/>
            <sz val="12"/>
            <color indexed="81"/>
            <rFont val="Times New Roman"/>
            <family val="1"/>
          </rPr>
          <t xml:space="preserve">Lore:  </t>
        </r>
        <r>
          <rPr>
            <sz val="12"/>
            <color indexed="81"/>
            <rFont val="Times New Roman"/>
            <family val="1"/>
          </rPr>
          <t>The first dispelling cords were created by an ancient king who wanted to prevent his enemies from having magical dominion over his army.  To ensure magical supremacy, the king ordered his mages into battle armed with dispelling cords (Knowledge [history] DC 15).
Magic Item Compendium 94</t>
        </r>
      </text>
    </comment>
    <comment ref="A7" authorId="0" shapeId="0" xr:uid="{686CBF1E-CB79-426A-91FF-09AA66FF506B}">
      <text>
        <r>
          <rPr>
            <sz val="12"/>
            <color indexed="81"/>
            <rFont val="Times New Roman"/>
            <family val="1"/>
          </rPr>
          <t>This rod acts as a magnet, drawing spells or spelllike abilities into itself.  The magic absorbed must be a single-target spell or a ray directed at either the character possessing the rod or her gear.  The rod then nullifies the spell’s effect and stores its potential until the wielder releases this energy in the form of spells of her own.  She can instantly detect a spell’s level as the rod absorbs that spell’s energy.  Absorption requires no action on the part of the user if the rod is in hand at the time.
A running total of absorbed (and used) spell levels should be kept.  For example, a rod that absorbs a 6th-level spell and a 3rdlevel spell has a total of nine absorbed spell levels.  The wielder of the rod can use captured spell energy to cast any spell she has prepared, without expending the preparation itself.  The only restrictions are that the levels of spell energy stored in the rod must be equal to or greater than the level of the spell the wielder wants to cast, that any material components required for the spell be present, and that the rod be in hand when casting.  Continuing the example above, the rod wielder could use the nine absorbed spell levels to cast one 9th-level spell, or one 5th-level and one 4th-level spell, or nine 1st-level spells, and so on.  For casters such as bards or sorcerers who do not prepare spells, the rod’s energy can be used to cast any spell of the appropriate level or levels that they know.
A rod of absorption absorbs a maximum of fifty spell levels and can thereafter only discharge any remaining potential it might have.  The rod cannot be recharged.  The wielder knows the rod’s remaining absorbing potential and current amount of stored energy.
A more specific example: Jozan the cleric uses a brand-new rod of absorption to nullify the effect of a suggestion spell cast at him by a sorcerer.  The rod has now absorbed three spell levels and can absorb forty-seven more.  Jozan can cast any 1st-, 2nd-, or 3rd-level spell he has prepared, without loss of that preparation, by using the stored potential of the rod.  Let’s assume he casts hold person back at the sorcerer who just attacked him.  This spell is 2nd level for him, so the rod still holds one spell level of potential, can absorb forty-seven more, and has disposed of two spell levels permanently.
To determine the absorption potential remaining in a newly found rod, roll d% and divide the result by 2.  Then roll d% again: On a result of 71–100, half the levels already absorbed by the rod are still stored within.  For example, if the first roll determines that the rod has thirty-four levels of absorption potential remaining, that means the rod has absorbed sixteen levels’ worth of spells.  Half of sixteen is eight, so there’s a 30% chance that it still holds eight absorbed spell levels ready for use.
DMG 234</t>
        </r>
      </text>
    </comment>
    <comment ref="A8" authorId="0" shapeId="0" xr:uid="{00000000-0006-0000-0600-000003000000}">
      <text>
        <r>
          <rPr>
            <b/>
            <sz val="12"/>
            <color indexed="81"/>
            <rFont val="Times New Roman"/>
            <family val="1"/>
          </rPr>
          <t xml:space="preserve">Price (Item Level):  </t>
        </r>
        <r>
          <rPr>
            <sz val="12"/>
            <color indexed="81"/>
            <rFont val="Times New Roman"/>
            <family val="1"/>
          </rPr>
          <t xml:space="preserve">See text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varies
</t>
        </r>
        <r>
          <rPr>
            <b/>
            <sz val="12"/>
            <color indexed="81"/>
            <rFont val="Times New Roman"/>
            <family val="1"/>
          </rPr>
          <t xml:space="preserve">Activation:  </t>
        </r>
        <r>
          <rPr>
            <sz val="12"/>
            <color indexed="81"/>
            <rFont val="Times New Roman"/>
            <family val="1"/>
          </rPr>
          <t xml:space="preserve">See text
</t>
        </r>
        <r>
          <rPr>
            <b/>
            <sz val="12"/>
            <color indexed="81"/>
            <rFont val="Times New Roman"/>
            <family val="1"/>
          </rPr>
          <t xml:space="preserve">Weight:  </t>
        </r>
        <r>
          <rPr>
            <sz val="12"/>
            <color indexed="81"/>
            <rFont val="Times New Roman"/>
            <family val="1"/>
          </rPr>
          <t xml:space="preserve">1/4 lb.
This reddish crystal shard is inscribed with arcane symbols, banded with mithral, and hanging from a small silver chain.
An empowered spellshard is keyed to a specific spell of up to 3rd level.  When you cast the attuned spell, you can use your empowered spellshard as a focus in addition to the spell’s normal components (if any).  Doing this empowers the spell (as though using the Empower Spell feat, but with no adjustment to spell level or casting time).
The spellshard is activated as a part of the spellcasting process.  The markings on the shard reveal the spell to which it is attuned to a character who makes a successful DC 30 Spellcraft check.  The prices and levels of empowered spellshards are described on the table below.
Spell Level Price (Item Level)
1st 1,500 gp (5th)
2nd 3,000 gp (7th)
3rd 6,000 gp (10th)
An empowered spellshard functions three times per day.
The school of magic an empowered spellshard radiates is the same as that of the spell to which it is attuned.
</t>
        </r>
        <r>
          <rPr>
            <b/>
            <sz val="12"/>
            <color indexed="81"/>
            <rFont val="Times New Roman"/>
            <family val="1"/>
          </rPr>
          <t xml:space="preserve">Lore:  </t>
        </r>
        <r>
          <rPr>
            <sz val="12"/>
            <color indexed="81"/>
            <rFont val="Times New Roman"/>
            <family val="1"/>
          </rPr>
          <t>These shards were created during the last great war to assist battle mages on the front lines (Knowledge [history] DC 10).  As a result, many empowered spellshards are keyed to destructive evocation spells (Knowledge [history] DC 15).
Magic Item Compendium 96</t>
        </r>
      </text>
    </comment>
    <comment ref="A10" authorId="0" shapeId="0" xr:uid="{00000000-0006-0000-0600-000004000000}">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 ref="A11" authorId="0" shapeId="0" xr:uid="{190983DA-8662-4A06-958E-6E093E47BE04}">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13" authorId="0" shapeId="0" xr:uid="{BA8E87B6-3967-460B-905F-A47156A4970A}">
      <text>
        <r>
          <rPr>
            <b/>
            <sz val="12"/>
            <color indexed="81"/>
            <rFont val="Times New Roman"/>
            <family val="1"/>
          </rPr>
          <t xml:space="preserve">Price (Item Level): </t>
        </r>
        <r>
          <rPr>
            <sz val="12"/>
            <color indexed="81"/>
            <rFont val="Times New Roman"/>
            <family val="1"/>
          </rPr>
          <t xml:space="preserve">4,000 gp (8th)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Broad lines radiate from the eyes of this blue leather mask, each ending in a spiral.
You gain a +3 resistance bonus on saving throws against mind-affecting spells and abilities.
MIC 116</t>
        </r>
      </text>
    </comment>
    <comment ref="A14" authorId="0" shapeId="0" xr:uid="{5B4140F4-D993-4EF4-932D-AFDE373146A5}">
      <text>
        <r>
          <rPr>
            <sz val="12"/>
            <color indexed="81"/>
            <rFont val="Times New Roman"/>
            <family val="1"/>
          </rPr>
          <t>This item appears to be a normal cloak, but when worn by a character its magical properties distort and warp light waves.  This displacement works similar to the displacement spell except that it only grants a 20% miss chance on attacks against the wearer.  It functions continually.
DMG 253</t>
        </r>
      </text>
    </comment>
    <comment ref="A16" authorId="0" shapeId="0" xr:uid="{91AB2E96-E8E7-4335-8781-B34F804FDEB5}">
      <text>
        <r>
          <rPr>
            <b/>
            <sz val="12"/>
            <color indexed="81"/>
            <rFont val="Times New Roman"/>
            <family val="1"/>
          </rPr>
          <t xml:space="preserve">Price (Item Level): </t>
        </r>
        <r>
          <rPr>
            <sz val="12"/>
            <color indexed="81"/>
            <rFont val="Times New Roman"/>
            <family val="1"/>
          </rPr>
          <t xml:space="preserve">60,000 gp (18th) (minor); 120,000 gp (21st) (major); 180,000 gp (24th) (greater)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15th
</t>
        </r>
        <r>
          <rPr>
            <b/>
            <sz val="12"/>
            <color indexed="81"/>
            <rFont val="Times New Roman"/>
            <family val="1"/>
          </rPr>
          <t xml:space="preserve">Aura: </t>
        </r>
        <r>
          <rPr>
            <sz val="12"/>
            <color indexed="81"/>
            <rFont val="Times New Roman"/>
            <family val="1"/>
          </rPr>
          <t xml:space="preserve">Strong; (DC 22) abjuration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gold ring is imprinted with symbols representing the five energy types.
A ring of universal energy resistance functions as a ring of energy resistance (DMG 232) for all types of energy: fire, cold, electricity, acid, and sonic. A minor ring provides resistance 10, a major ring resistance 20, and a greater ring resistance 30.
MIC 128</t>
        </r>
      </text>
    </comment>
    <comment ref="A21" authorId="0" shapeId="0" xr:uid="{00000000-0006-0000-0600-000006000000}">
      <text>
        <r>
          <rPr>
            <b/>
            <sz val="12"/>
            <color indexed="81"/>
            <rFont val="Times New Roman"/>
            <family val="1"/>
          </rPr>
          <t xml:space="preserve">Price (Item Level):  </t>
        </r>
        <r>
          <rPr>
            <sz val="12"/>
            <color indexed="81"/>
            <rFont val="Times New Roman"/>
            <family val="1"/>
          </rPr>
          <t xml:space="preserve">2,800 gp (7th)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(manipulation); see text
</t>
        </r>
        <r>
          <rPr>
            <b/>
            <sz val="12"/>
            <color indexed="81"/>
            <rFont val="Times New Roman"/>
            <family val="1"/>
          </rPr>
          <t xml:space="preserve">Weight:  </t>
        </r>
        <r>
          <rPr>
            <sz val="12"/>
            <color indexed="81"/>
            <rFont val="Times New Roman"/>
            <family val="1"/>
          </rPr>
          <t>3 lb.
This elaborate mahogany tube has a slit that runs along its length. A wooden dowel, capped on the ends with gold, fi ts against the slit, locking into place with jeweled clasps.
An infinite scrollcase holds up to fifty scrolls or other parchments, which can be placed within it or removed as with any normal scrollcase.  When you activate an infinite scrollcase, the desired scroll unfurls through the slit, ready to read or cast from.  When you cast a spell from a scroll unfurled from an infinite scrollcase, you gain a +4 competence bonus on Concentration checks made to cast that spell defensively.
If you have at least a +1 base attack bonus, you can retrieve a scroll from an infi nite scrollcase as part of a move action, similar to drawing a weapon.
Magic Item Compendium 162</t>
        </r>
      </text>
    </comment>
    <comment ref="A22" authorId="0" shapeId="0" xr:uid="{00000000-0006-0000-0600-000007000000}">
      <text>
        <r>
          <rPr>
            <b/>
            <sz val="12"/>
            <color indexed="81"/>
            <rFont val="Times New Roman"/>
            <family val="1"/>
          </rPr>
          <t xml:space="preserve">Price (Item Level):  </t>
        </r>
        <r>
          <rPr>
            <sz val="12"/>
            <color indexed="81"/>
            <rFont val="Times New Roman"/>
            <family val="1"/>
          </rPr>
          <t xml:space="preserve">9,000 gp (12th) (lesser); 32,500 (16th) (normal); 73,000 (19th) (greater)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Activation:</t>
        </r>
        <r>
          <rPr>
            <sz val="12"/>
            <color indexed="81"/>
            <rFont val="Times New Roman"/>
            <family val="1"/>
          </rPr>
          <t xml:space="preserve">  —
</t>
        </r>
        <r>
          <rPr>
            <b/>
            <sz val="12"/>
            <color indexed="81"/>
            <rFont val="Times New Roman"/>
            <family val="1"/>
          </rPr>
          <t xml:space="preserve">Weight:  </t>
        </r>
        <r>
          <rPr>
            <sz val="12"/>
            <color indexed="81"/>
            <rFont val="Times New Roman"/>
            <family val="1"/>
          </rPr>
          <t>1 lb.
This thick iron rod has a handle wrapped in worn leather, and a small golden icon of an
outstretched hand at its tip.
You can cast up to three spells per day as though their ranges were affected by the Reach Spell feat.
Magic Item Compendium 165</t>
        </r>
      </text>
    </comment>
    <comment ref="A29" authorId="0" shapeId="0" xr:uid="{00000000-0006-0000-0600-000008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Magic Item Compendium 190</t>
        </r>
      </text>
    </comment>
    <comment ref="A33" authorId="0" shapeId="0" xr:uid="{646BB4BA-30DE-4DB6-B882-DD0663384536}">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G37" authorId="0" shapeId="0" xr:uid="{79726386-F43D-444A-B90C-DB397AA4957C}">
      <text>
        <r>
          <rPr>
            <sz val="12"/>
            <color indexed="81"/>
            <rFont val="Times New Roman"/>
            <family val="1"/>
          </rPr>
          <t>½ share; co-owned with Atlas</t>
        </r>
      </text>
    </comment>
  </commentList>
</comments>
</file>

<file path=xl/sharedStrings.xml><?xml version="1.0" encoding="utf-8"?>
<sst xmlns="http://schemas.openxmlformats.org/spreadsheetml/2006/main" count="1623" uniqueCount="527">
  <si>
    <t>Male</t>
  </si>
  <si>
    <t>Archivist</t>
  </si>
  <si>
    <t>Damara</t>
  </si>
  <si>
    <t>30’</t>
  </si>
  <si>
    <t>+0</t>
  </si>
  <si>
    <t>Personality, History, and Notes</t>
  </si>
  <si>
    <t>Skills</t>
  </si>
  <si>
    <t>Skill/Save</t>
  </si>
  <si>
    <t>Rank</t>
  </si>
  <si>
    <t>Ability</t>
  </si>
  <si>
    <t>Mod.</t>
  </si>
  <si>
    <t>Ability &amp; Mod.</t>
  </si>
  <si>
    <t>Misc. Mods.</t>
  </si>
  <si>
    <t>Total</t>
  </si>
  <si>
    <t>Roll</t>
  </si>
  <si>
    <t>Check</t>
  </si>
  <si>
    <t>Notes</t>
  </si>
  <si>
    <t>Fortitude</t>
  </si>
  <si>
    <t>Reflex</t>
  </si>
  <si>
    <t>Dex</t>
  </si>
  <si>
    <t>Will</t>
  </si>
  <si>
    <t>+2 vs. Enchantment &amp; Illusions</t>
  </si>
  <si>
    <t>Appraise</t>
  </si>
  <si>
    <t>0</t>
  </si>
  <si>
    <t>Balance</t>
  </si>
  <si>
    <t>Bluff</t>
  </si>
  <si>
    <t>Climb</t>
  </si>
  <si>
    <t>Concentration</t>
  </si>
  <si>
    <t>Decipher Script</t>
  </si>
  <si>
    <t>2</t>
  </si>
  <si>
    <t>Diplomacy</t>
  </si>
  <si>
    <t>Disable Device</t>
  </si>
  <si>
    <t>Disguise</t>
  </si>
  <si>
    <t>Escape Artist</t>
  </si>
  <si>
    <t>Forgery</t>
  </si>
  <si>
    <t>Gather Information</t>
  </si>
  <si>
    <t>Handle Animal</t>
  </si>
  <si>
    <t>Heal</t>
  </si>
  <si>
    <t>Hide</t>
  </si>
  <si>
    <t>Intimidate</t>
  </si>
  <si>
    <t>Jump</t>
  </si>
  <si>
    <t>Knowledge:  Arcana</t>
  </si>
  <si>
    <t>Trivial Knowledge, best of 2 rolls</t>
  </si>
  <si>
    <t>Knowledge:  Archit./Engin.</t>
  </si>
  <si>
    <t>Knowledge:  Dungeoneering</t>
  </si>
  <si>
    <t>Knowledge:  History</t>
  </si>
  <si>
    <t>Knowledge:  Local</t>
  </si>
  <si>
    <t>Knowledge:  Nobility &amp; Royalty</t>
  </si>
  <si>
    <t>Knowledge:  Nature</t>
  </si>
  <si>
    <t>Knowledge:  The Planes</t>
  </si>
  <si>
    <t>Knowledge:  Religion</t>
  </si>
  <si>
    <t>Listen</t>
  </si>
  <si>
    <t>Move Silently</t>
  </si>
  <si>
    <t>Open Lock</t>
  </si>
  <si>
    <t>Perform:  (type)</t>
  </si>
  <si>
    <t>Ride</t>
  </si>
  <si>
    <t>Search</t>
  </si>
  <si>
    <t>Sense Motive</t>
  </si>
  <si>
    <t>Sleight of Hand</t>
  </si>
  <si>
    <t>Speak Language</t>
  </si>
  <si>
    <t>Spellcraft</t>
  </si>
  <si>
    <t>Spot</t>
  </si>
  <si>
    <t>Survival</t>
  </si>
  <si>
    <t>Swim</t>
  </si>
  <si>
    <t>Tumble</t>
  </si>
  <si>
    <t>Use Magic Device</t>
  </si>
  <si>
    <t>Use Rope</t>
  </si>
  <si>
    <t>Archivist 1</t>
  </si>
  <si>
    <t>Archivist 2</t>
  </si>
  <si>
    <t>Archivist 3</t>
  </si>
  <si>
    <t>Archivist 4</t>
  </si>
  <si>
    <t>Archivist 5</t>
  </si>
  <si>
    <t>Archivist 6</t>
  </si>
  <si>
    <t>Archivist 7</t>
  </si>
  <si>
    <t>Archivist 8</t>
  </si>
  <si>
    <t>Archivist 9</t>
  </si>
  <si>
    <t>Archivist 10</t>
  </si>
  <si>
    <t>Spells in Prayerbook</t>
  </si>
  <si>
    <t>Spell</t>
  </si>
  <si>
    <t>Level</t>
  </si>
  <si>
    <t>School</t>
  </si>
  <si>
    <t>Components</t>
  </si>
  <si>
    <t>Casting</t>
  </si>
  <si>
    <t>Range</t>
  </si>
  <si>
    <t>Duration</t>
  </si>
  <si>
    <t>Reference</t>
  </si>
  <si>
    <t>Page</t>
  </si>
  <si>
    <t>Amanuensis</t>
  </si>
  <si>
    <t>Transmutation</t>
  </si>
  <si>
    <t>V S</t>
  </si>
  <si>
    <t>1 SA</t>
  </si>
  <si>
    <t>25’ + 2½’/lvl</t>
  </si>
  <si>
    <t>10 min/lvl</t>
  </si>
  <si>
    <t>Spell Compendium</t>
  </si>
  <si>
    <t>Create Water</t>
  </si>
  <si>
    <t>Conjuration</t>
  </si>
  <si>
    <t>Instant</t>
  </si>
  <si>
    <t>PHB</t>
  </si>
  <si>
    <t>Cure Minor Wounds</t>
  </si>
  <si>
    <t>Universal</t>
  </si>
  <si>
    <t>Touch</t>
  </si>
  <si>
    <t>Detect Magic</t>
  </si>
  <si>
    <t>60’</t>
  </si>
  <si>
    <t>1 min/lvl</t>
  </si>
  <si>
    <t>Detect Poison</t>
  </si>
  <si>
    <t>Divination</t>
  </si>
  <si>
    <t>Guidance</t>
  </si>
  <si>
    <t>1 minute</t>
  </si>
  <si>
    <t>Light</t>
  </si>
  <si>
    <t>Evocation</t>
  </si>
  <si>
    <t>V M/DF</t>
  </si>
  <si>
    <t>Mending</t>
  </si>
  <si>
    <t>10’</t>
  </si>
  <si>
    <t>Message</t>
  </si>
  <si>
    <t>V S F</t>
  </si>
  <si>
    <t>100’ + 10’/lvl</t>
  </si>
  <si>
    <t>Preserve Organ</t>
  </si>
  <si>
    <t>Necromancy</t>
  </si>
  <si>
    <t>V S DF</t>
  </si>
  <si>
    <t>10 minutes</t>
  </si>
  <si>
    <t>24 hours</t>
  </si>
  <si>
    <t>Book of Vile Darkness</t>
  </si>
  <si>
    <t>Purify Food &amp; Drink</t>
  </si>
  <si>
    <t>Read Magic</t>
  </si>
  <si>
    <t>Personal</t>
  </si>
  <si>
    <t>Resistance</t>
  </si>
  <si>
    <t>Abjuration</t>
  </si>
  <si>
    <t>V S M/DF</t>
  </si>
  <si>
    <t>Summon Holy Symbol</t>
  </si>
  <si>
    <t>0’</t>
  </si>
  <si>
    <t>1 rnd/lvl</t>
  </si>
  <si>
    <t>Complete Champion</t>
  </si>
  <si>
    <t>Virtue</t>
  </si>
  <si>
    <t>Bless</t>
  </si>
  <si>
    <t>Enchantment</t>
  </si>
  <si>
    <t>50’</t>
  </si>
  <si>
    <t>Bless Water</t>
  </si>
  <si>
    <t>V S M</t>
  </si>
  <si>
    <t>Burial Blessing</t>
  </si>
  <si>
    <t>V S M XP</t>
  </si>
  <si>
    <t>Permanent</t>
  </si>
  <si>
    <t>Defenders of the Faith</t>
  </si>
  <si>
    <t>Command</t>
  </si>
  <si>
    <t>V</t>
  </si>
  <si>
    <t>1 round</t>
  </si>
  <si>
    <t>Comprehend Languages</t>
  </si>
  <si>
    <t>Conjure Ice Beast I</t>
  </si>
  <si>
    <t>1 FR</t>
  </si>
  <si>
    <t>Frostburn</t>
  </si>
  <si>
    <t>Cure Light Wounds</t>
  </si>
  <si>
    <t>Deathwatch</t>
  </si>
  <si>
    <t>Detect Animals/Plants</t>
  </si>
  <si>
    <t>400’ + 40’/lvl</t>
  </si>
  <si>
    <t>Detect Evil/Chaos/Law</t>
  </si>
  <si>
    <t>Detect Secret Doors</t>
  </si>
  <si>
    <t>Detect Undead</t>
  </si>
  <si>
    <t>40’</t>
  </si>
  <si>
    <t>Divine Favor</t>
  </si>
  <si>
    <t>Divine Inspiration</t>
  </si>
  <si>
    <t>Sacrifice</t>
  </si>
  <si>
    <t>1d4 rnds</t>
  </si>
  <si>
    <t>Book of Exalted Deeds</t>
  </si>
  <si>
    <t>Endure Elements</t>
  </si>
  <si>
    <t>Entangle</t>
  </si>
  <si>
    <t>Eyes of the Avoral</t>
  </si>
  <si>
    <t>V S F DF</t>
  </si>
  <si>
    <t>1 hr/lvl</t>
  </si>
  <si>
    <t>Grave Strike</t>
  </si>
  <si>
    <t>V DF</t>
  </si>
  <si>
    <t>Swift</t>
  </si>
  <si>
    <t>Complete Adventurer</t>
  </si>
  <si>
    <t>Guiding Light</t>
  </si>
  <si>
    <t>Healthful Rest</t>
  </si>
  <si>
    <t>Hide from Undead</t>
  </si>
  <si>
    <t>Impede</t>
  </si>
  <si>
    <t>Light of Lunia</t>
  </si>
  <si>
    <t>Planar Handbook</t>
  </si>
  <si>
    <t>Magic Stone</t>
  </si>
  <si>
    <t>30 minutes</t>
  </si>
  <si>
    <t>Magic Weapon</t>
  </si>
  <si>
    <t>V S F/DF</t>
  </si>
  <si>
    <t>Nightshield</t>
  </si>
  <si>
    <t>Nimbus of Light</t>
  </si>
  <si>
    <t>Complete Divine</t>
  </si>
  <si>
    <t>Obscuring Mist</t>
  </si>
  <si>
    <t>30’ radius</t>
  </si>
  <si>
    <t>Omen of Peril</t>
  </si>
  <si>
    <t>V F</t>
  </si>
  <si>
    <t>Protection from Chaos</t>
  </si>
  <si>
    <t>Protection from Evil</t>
  </si>
  <si>
    <t>Remove Fear</t>
  </si>
  <si>
    <t>Resist Planar Alignment</t>
  </si>
  <si>
    <t>Sanctuary</t>
  </si>
  <si>
    <t>Shield of Faith</t>
  </si>
  <si>
    <t>Spell Flower</t>
  </si>
  <si>
    <t>Summon Monster I</t>
  </si>
  <si>
    <t>Summon Nature’s Ally I</t>
  </si>
  <si>
    <t>Summon Undead I</t>
  </si>
  <si>
    <t>Libris Mortis</t>
  </si>
  <si>
    <t>Vigor, Lesser</t>
  </si>
  <si>
    <t>special</t>
  </si>
  <si>
    <t>Vision of Heaven</t>
  </si>
  <si>
    <t>Aid</t>
  </si>
  <si>
    <t>Augury</t>
  </si>
  <si>
    <t>Cure Moderate Wounds</t>
  </si>
  <si>
    <t>Find Traps</t>
  </si>
  <si>
    <t>Flaming Sphere</t>
  </si>
  <si>
    <t>Gembomb</t>
  </si>
  <si>
    <t>Special</t>
  </si>
  <si>
    <t>FRCS</t>
  </si>
  <si>
    <t>Identify</t>
  </si>
  <si>
    <t>Restoration, Lesser</t>
  </si>
  <si>
    <t>Silence</t>
  </si>
  <si>
    <t>Illusion</t>
  </si>
  <si>
    <t>Spiritual Weapon</t>
  </si>
  <si>
    <t>Summon Monster II</t>
  </si>
  <si>
    <t>Summon Nature’s Ally II</t>
  </si>
  <si>
    <t>Call Lightning</t>
  </si>
  <si>
    <t>Dispel Magic</t>
  </si>
  <si>
    <t>Flame of Faith</t>
  </si>
  <si>
    <t>Footsteps of the Divine</t>
  </si>
  <si>
    <t>Heart’s Ease</t>
  </si>
  <si>
    <t>Inspired Aim</t>
  </si>
  <si>
    <t>Stone Shape</t>
  </si>
  <si>
    <t>Summon Nature’s Ally III</t>
  </si>
  <si>
    <t>Castigate</t>
  </si>
  <si>
    <t>Celestial Brilliance</t>
  </si>
  <si>
    <t>1 day/lvl</t>
  </si>
  <si>
    <t>Death Ward</t>
  </si>
  <si>
    <t>Divine Storm</t>
  </si>
  <si>
    <t>Freedom of Movement</t>
  </si>
  <si>
    <t>Restoration</t>
  </si>
  <si>
    <t>Bear’s Heart</t>
  </si>
  <si>
    <t>20’</t>
  </si>
  <si>
    <t>Break Enchantment</t>
  </si>
  <si>
    <t>Chaav’s Laugh</t>
  </si>
  <si>
    <t>Dispel Evil</t>
  </si>
  <si>
    <t>Flame Strike</t>
  </si>
  <si>
    <t>Greater Command</t>
  </si>
  <si>
    <t>Chasing Perfection</t>
  </si>
  <si>
    <t>PHB II</t>
  </si>
  <si>
    <t>Dispel Magic, Greater</t>
  </si>
  <si>
    <t>Touch of Adamantine</t>
  </si>
  <si>
    <t>Daily Prayers</t>
  </si>
  <si>
    <t>DC</t>
  </si>
  <si>
    <t>Cast?</t>
  </si>
  <si>
    <t>Hold Person</t>
  </si>
  <si>
    <t>Prayers per Day</t>
  </si>
  <si>
    <t>Daily Spells by Level</t>
  </si>
  <si>
    <t>0th</t>
  </si>
  <si>
    <t>1st</t>
  </si>
  <si>
    <t>2nd</t>
  </si>
  <si>
    <t>3rd</t>
  </si>
  <si>
    <t>4th</t>
  </si>
  <si>
    <t>5th</t>
  </si>
  <si>
    <t>6th</t>
  </si>
  <si>
    <t>7th</t>
  </si>
  <si>
    <t>8th</t>
  </si>
  <si>
    <t>9th</t>
  </si>
  <si>
    <t>Archivist Spells</t>
  </si>
  <si>
    <t>Intelligence Bonus</t>
  </si>
  <si>
    <t>Total Daily Spells</t>
  </si>
  <si>
    <t>Feats</t>
  </si>
  <si>
    <t>Languages</t>
  </si>
  <si>
    <t>Archivist Features</t>
  </si>
  <si>
    <t>Weapon Proficiencies</t>
  </si>
  <si>
    <t>Simple Weapons</t>
  </si>
  <si>
    <t>Light and Medium Armor</t>
  </si>
  <si>
    <t>Weapons and Armor</t>
  </si>
  <si>
    <t>Melee Weapon</t>
  </si>
  <si>
    <t>Dmg</t>
  </si>
  <si>
    <t>D+</t>
  </si>
  <si>
    <t>TH+</t>
  </si>
  <si>
    <t>Critical</t>
  </si>
  <si>
    <t>Type</t>
  </si>
  <si>
    <t>Wt.</t>
  </si>
  <si>
    <t>Atk</t>
  </si>
  <si>
    <t>Value</t>
  </si>
  <si>
    <t>1d4</t>
  </si>
  <si>
    <t>x2</t>
  </si>
  <si>
    <t>Bludgeon</t>
  </si>
  <si>
    <t>1</t>
  </si>
  <si>
    <t>19-20, x2</t>
  </si>
  <si>
    <t>Prcg/Slash</t>
  </si>
  <si>
    <t>bypasses concealment</t>
  </si>
  <si>
    <t>Spiritual Longsword</t>
  </si>
  <si>
    <t>1d8</t>
  </si>
  <si>
    <t>Slashing</t>
  </si>
  <si>
    <t>-</t>
  </si>
  <si>
    <t>Touch Attack</t>
  </si>
  <si>
    <t>varies</t>
  </si>
  <si>
    <t>Ranged Weapon</t>
  </si>
  <si>
    <t>Dmg.</t>
  </si>
  <si>
    <t>Rng.</t>
  </si>
  <si>
    <t>Ranged Touch Spells</t>
  </si>
  <si>
    <t>Bypass Spell Resistance</t>
  </si>
  <si>
    <t>120’</t>
  </si>
  <si>
    <t>1d6</t>
  </si>
  <si>
    <t>Armor &amp; Shield</t>
  </si>
  <si>
    <t>AC Mod.</t>
  </si>
  <si>
    <t>Arcane</t>
  </si>
  <si>
    <t>Speed</t>
  </si>
  <si>
    <t>Barkskin</t>
  </si>
  <si>
    <t>two</t>
  </si>
  <si>
    <t>Missiles</t>
  </si>
  <si>
    <t>Qty.</t>
  </si>
  <si>
    <t>Electric Bolts</t>
  </si>
  <si>
    <t>Sonic Bolts</t>
  </si>
  <si>
    <t>Cold Bolts</t>
  </si>
  <si>
    <t>Bolts</t>
  </si>
  <si>
    <t>Scrolls and Potions</t>
  </si>
  <si>
    <t>CLev</t>
  </si>
  <si>
    <t>Equipment Worn</t>
  </si>
  <si>
    <t>Item</t>
  </si>
  <si>
    <t>Effects/</t>
  </si>
  <si>
    <t>Sacks</t>
  </si>
  <si>
    <t>Equipment Carried</t>
  </si>
  <si>
    <t>Sunrod</t>
  </si>
  <si>
    <t>Rope, 50’ Hemp</t>
  </si>
  <si>
    <t>Trail Rations</t>
  </si>
  <si>
    <t xml:space="preserve">Waterskin </t>
  </si>
  <si>
    <t>Total Equity:</t>
  </si>
  <si>
    <t>Archivist 11</t>
  </si>
  <si>
    <t>Archivist Level</t>
  </si>
  <si>
    <t>Tomorrow’s Prayers</t>
  </si>
  <si>
    <t>Archivist 12</t>
  </si>
  <si>
    <t>Headband of Intellect +2</t>
  </si>
  <si>
    <t>Ioun Stone</t>
  </si>
  <si>
    <t>+2 to Int</t>
  </si>
  <si>
    <t>Infinite Scroll Case</t>
  </si>
  <si>
    <t>Tome of Worldly Memory</t>
  </si>
  <si>
    <t>50-scroll limit</t>
  </si>
  <si>
    <t>3/day +5 to Knowledge check</t>
  </si>
  <si>
    <t>Metamagic Rod of Reach</t>
  </si>
  <si>
    <t>30’ range for touch spells</t>
  </si>
  <si>
    <t>Dispelling Cord</t>
  </si>
  <si>
    <t>5/day +2 to Dispel Checks</t>
  </si>
  <si>
    <t>Empowered Spellshard, 3rd</t>
  </si>
  <si>
    <r>
      <t xml:space="preserve">Boosts </t>
    </r>
    <r>
      <rPr>
        <b/>
        <i/>
        <sz val="12"/>
        <rFont val="Times New Roman"/>
        <family val="1"/>
      </rPr>
      <t xml:space="preserve">call lightning </t>
    </r>
    <r>
      <rPr>
        <sz val="12"/>
        <rFont val="Times New Roman"/>
        <family val="1"/>
      </rPr>
      <t>by 50%</t>
    </r>
  </si>
  <si>
    <t>7d6</t>
  </si>
  <si>
    <t>4</t>
  </si>
  <si>
    <t>+4 to Concentration (cast def)</t>
  </si>
  <si>
    <t>q</t>
  </si>
  <si>
    <t>all</t>
  </si>
  <si>
    <t>V S M/DF F</t>
  </si>
  <si>
    <t>1 hour</t>
  </si>
  <si>
    <t>1st: Academic Priest</t>
  </si>
  <si>
    <t>3rd: Archivist of Nature</t>
  </si>
  <si>
    <t>6th: Draconic Archivist</t>
  </si>
  <si>
    <t>9th: Trivial Knowledge</t>
  </si>
  <si>
    <t>12th: Weapon Focus: Ranged Spell</t>
  </si>
  <si>
    <t>2nd: Lore Mastery: Arcana</t>
  </si>
  <si>
    <t>13th: Lore Mastery: Dungeoneering</t>
  </si>
  <si>
    <t>11th: Dark Knowlede: Dread Secret</t>
  </si>
  <si>
    <t>2nd Attack</t>
  </si>
  <si>
    <t>Seeking Light Crossbow +2</t>
  </si>
  <si>
    <t>Blackthorn Shillelagh +2</t>
  </si>
  <si>
    <t>Diamond Spray</t>
  </si>
  <si>
    <t>Scrying</t>
  </si>
  <si>
    <t>Prayer</t>
  </si>
  <si>
    <r>
      <t xml:space="preserve">+1 </t>
    </r>
    <r>
      <rPr>
        <i/>
        <sz val="13"/>
        <rFont val="Times New Roman"/>
        <family val="1"/>
      </rPr>
      <t>haste</t>
    </r>
  </si>
  <si>
    <t>Cold Weather Outfit</t>
  </si>
  <si>
    <t>seven</t>
  </si>
  <si>
    <t>x1½</t>
  </si>
  <si>
    <t>Radiant Assault</t>
  </si>
  <si>
    <t>Race</t>
  </si>
  <si>
    <t>Class</t>
  </si>
  <si>
    <t>Region</t>
  </si>
  <si>
    <t>Deity</t>
  </si>
  <si>
    <t>Alignment</t>
  </si>
  <si>
    <t>Attack Bonus</t>
  </si>
  <si>
    <t>Initiative</t>
  </si>
  <si>
    <t>Strength</t>
  </si>
  <si>
    <t>Dexterity</t>
  </si>
  <si>
    <t>Constitution</t>
  </si>
  <si>
    <t>Intelligence</t>
  </si>
  <si>
    <t>Wisdom</t>
  </si>
  <si>
    <t>Charisma</t>
  </si>
  <si>
    <t>Sex</t>
  </si>
  <si>
    <t>Age</t>
  </si>
  <si>
    <t>Height</t>
  </si>
  <si>
    <t>Weight</t>
  </si>
  <si>
    <t>Base Speed</t>
  </si>
  <si>
    <t>Lb. Capacity</t>
  </si>
  <si>
    <t>Lb. Carried</t>
  </si>
  <si>
    <t>Hit Points</t>
  </si>
  <si>
    <t>Touch AC</t>
  </si>
  <si>
    <t>FF AC</t>
  </si>
  <si>
    <t>AC</t>
  </si>
  <si>
    <t>Glyph of Warding, Greater</t>
  </si>
  <si>
    <r>
      <rPr>
        <b/>
        <i/>
        <sz val="16"/>
        <color rgb="FF0000FF"/>
        <rFont val="Times New Roman"/>
        <family val="1"/>
      </rPr>
      <t xml:space="preserve">Minimum </t>
    </r>
    <r>
      <rPr>
        <i/>
        <sz val="16"/>
        <color rgb="FF0000FF"/>
        <rFont val="Times New Roman"/>
        <family val="1"/>
      </rPr>
      <t>Known Prayers</t>
    </r>
  </si>
  <si>
    <t>three</t>
  </si>
  <si>
    <t>Books on Superstition</t>
  </si>
  <si>
    <t>Books on Dark Knowledge</t>
  </si>
  <si>
    <t>*</t>
  </si>
  <si>
    <t>Atlases</t>
  </si>
  <si>
    <t>Personal Documents</t>
  </si>
  <si>
    <t>Dictionaries, Polyglot</t>
  </si>
  <si>
    <t>Spare Clothing</t>
  </si>
  <si>
    <t>Human</t>
  </si>
  <si>
    <t>Chaotic Neutral</t>
  </si>
  <si>
    <t>6’ 1”</t>
  </si>
  <si>
    <t>230 lbs.</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</si>
  <si>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</si>
  <si>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Celestial, Common, Draconic</t>
  </si>
  <si>
    <t>Dwarven, Elven, Sylvan</t>
  </si>
  <si>
    <t>Atlas</t>
  </si>
  <si>
    <t>Craft:  Leather</t>
  </si>
  <si>
    <t>Craft:  Carving</t>
  </si>
  <si>
    <t>Craft:  Sewing</t>
  </si>
  <si>
    <t>+2 on related Appraise checks</t>
  </si>
  <si>
    <t>Human:  Skill Focus (K: Planes)</t>
  </si>
  <si>
    <t>15th:  Quicken Spell</t>
  </si>
  <si>
    <t>+4 with Scrolls</t>
  </si>
  <si>
    <t>sentimental</t>
  </si>
  <si>
    <t>1st:  Scribe Scroll</t>
  </si>
  <si>
    <t>4th:  Still Mind</t>
  </si>
  <si>
    <t>True Seeing</t>
  </si>
  <si>
    <t>Plane Shift, Greater</t>
  </si>
  <si>
    <t>Restoration, Greater</t>
  </si>
  <si>
    <t>Withering Palm</t>
  </si>
  <si>
    <t>Brilliant Aura</t>
  </si>
  <si>
    <t>Discern Location</t>
  </si>
  <si>
    <t>Wall of Greater Dispel Magic</t>
  </si>
  <si>
    <t>End to Strife</t>
  </si>
  <si>
    <t>Gate</t>
  </si>
  <si>
    <t>V S XP</t>
  </si>
  <si>
    <t>1st: Dark Knowledge: Tactics</t>
  </si>
  <si>
    <t>5th: Dark Knowledge: Puissance</t>
  </si>
  <si>
    <t>8th: Dark Knowledge: Foe</t>
  </si>
  <si>
    <t>14th: Dark Knowledge: Foreknowledge</t>
  </si>
  <si>
    <t>Played by JR Roberts</t>
  </si>
  <si>
    <t>Actual Speed</t>
  </si>
  <si>
    <t>7th: Lore Mastery: The Planes</t>
  </si>
  <si>
    <t>17th: Lore Mastery: Religion</t>
  </si>
  <si>
    <t>Unlimited</t>
  </si>
  <si>
    <t>Restful Crystal</t>
  </si>
  <si>
    <t>Ring of Protection +5</t>
  </si>
  <si>
    <t>Silver Dagger +1</t>
  </si>
  <si>
    <t>10th [Bonus Feat]: Toughness</t>
  </si>
  <si>
    <t>80’</t>
  </si>
  <si>
    <t>Vest of Resistance +3</t>
  </si>
  <si>
    <t>Minor Cloak of Displacement</t>
  </si>
  <si>
    <t>Ring of Feather Falling</t>
  </si>
  <si>
    <t>Lion’s Roar</t>
  </si>
  <si>
    <t>See text</t>
  </si>
  <si>
    <t>Complete Warrior</t>
  </si>
  <si>
    <t>Current Limit:</t>
  </si>
  <si>
    <t>Equity on this page:</t>
  </si>
  <si>
    <t>% Full:</t>
  </si>
  <si>
    <t>Grooming Kit</t>
  </si>
  <si>
    <t>Ink &amp; Quill</t>
  </si>
  <si>
    <t>Flint &amp; Steel</t>
  </si>
  <si>
    <t>Belt Pouches</t>
  </si>
  <si>
    <t xml:space="preserve">Notebook </t>
  </si>
  <si>
    <t>Aasterinian</t>
  </si>
  <si>
    <t>Archivist 13</t>
  </si>
  <si>
    <t>Archivist 14</t>
  </si>
  <si>
    <t>Archivist 15</t>
  </si>
  <si>
    <t>Archivist 16</t>
  </si>
  <si>
    <t>Archivist 17</t>
  </si>
  <si>
    <t>Archivist 18</t>
  </si>
  <si>
    <t>CROSS-CLASS</t>
  </si>
  <si>
    <t>Dark Knowledge 9/day</t>
  </si>
  <si>
    <t>Gold Coins</t>
  </si>
  <si>
    <t>wild</t>
  </si>
  <si>
    <t>Spiritual Light Crossbow</t>
  </si>
  <si>
    <t>Focus</t>
  </si>
  <si>
    <t>Shillelagh, 2nd Attack</t>
  </si>
  <si>
    <t>Grapple</t>
  </si>
  <si>
    <t>10 bolts remaining</t>
  </si>
  <si>
    <r>
      <rPr>
        <i/>
        <sz val="12"/>
        <rFont val="Times New Roman"/>
        <family val="1"/>
      </rPr>
      <t xml:space="preserve">Call Lightning </t>
    </r>
    <r>
      <rPr>
        <sz val="12"/>
        <rFont val="Times New Roman"/>
        <family val="1"/>
      </rPr>
      <t>Spell</t>
    </r>
  </si>
  <si>
    <t>Book</t>
  </si>
  <si>
    <t>Ooze, Booze, and Cooze: Nobody Slides for Free</t>
  </si>
  <si>
    <t>Archivist 19</t>
  </si>
  <si>
    <t>C-Cls; +2 underground and above ground</t>
  </si>
  <si>
    <t>Profession:  Tanner</t>
  </si>
  <si>
    <t>Mindarmor Soulfire Mithral +5 Plate Armor</t>
  </si>
  <si>
    <t>Mask of Mental Armor</t>
  </si>
  <si>
    <t>Gloves of Dexterity +6</t>
  </si>
  <si>
    <t xml:space="preserve">Ring of Universal Energy Resistance </t>
  </si>
  <si>
    <t>Healing Belt</t>
  </si>
  <si>
    <t>Greater Truedeath Crystal</t>
  </si>
  <si>
    <t>Greater Crystal of Life Drinking</t>
  </si>
  <si>
    <t>?</t>
  </si>
  <si>
    <t>Flying Carpet (½ of equity)</t>
  </si>
  <si>
    <t>Bracers of Armor +5</t>
  </si>
  <si>
    <t>Treated as medium armor</t>
  </si>
  <si>
    <t>vs.</t>
  </si>
  <si>
    <t>undead</t>
  </si>
  <si>
    <t>Heals 5 hp/hit; 50/day limit</t>
  </si>
  <si>
    <t>NOT WORN</t>
  </si>
  <si>
    <r>
      <t xml:space="preserve">Eternal Wand of </t>
    </r>
    <r>
      <rPr>
        <i/>
        <sz val="12"/>
        <rFont val="Times New Roman"/>
        <family val="1"/>
      </rPr>
      <t>Haste</t>
    </r>
  </si>
  <si>
    <r>
      <t xml:space="preserve">Scroll of </t>
    </r>
    <r>
      <rPr>
        <i/>
        <sz val="12"/>
        <rFont val="Times New Roman"/>
        <family val="1"/>
      </rPr>
      <t>Detect Poison</t>
    </r>
  </si>
  <si>
    <r>
      <t xml:space="preserve">Scroll of </t>
    </r>
    <r>
      <rPr>
        <i/>
        <sz val="12"/>
        <rFont val="Times New Roman"/>
        <family val="1"/>
      </rPr>
      <t>Message</t>
    </r>
  </si>
  <si>
    <r>
      <t xml:space="preserve">Scroll of </t>
    </r>
    <r>
      <rPr>
        <i/>
        <sz val="12"/>
        <rFont val="Times New Roman"/>
        <family val="1"/>
      </rPr>
      <t>Teleport</t>
    </r>
  </si>
  <si>
    <r>
      <t xml:space="preserve">Scroll of </t>
    </r>
    <r>
      <rPr>
        <i/>
        <sz val="12"/>
        <rFont val="Times New Roman"/>
        <family val="1"/>
      </rPr>
      <t>Mending</t>
    </r>
  </si>
  <si>
    <r>
      <t xml:space="preserve">Scroll of </t>
    </r>
    <r>
      <rPr>
        <i/>
        <sz val="12"/>
        <rFont val="Times New Roman"/>
        <family val="1"/>
      </rPr>
      <t>Resistance</t>
    </r>
  </si>
  <si>
    <r>
      <t xml:space="preserve">Scroll of </t>
    </r>
    <r>
      <rPr>
        <i/>
        <sz val="12"/>
        <rFont val="Times New Roman"/>
        <family val="1"/>
      </rPr>
      <t>Comprehend Languages</t>
    </r>
  </si>
  <si>
    <r>
      <t xml:space="preserve">Scroll of </t>
    </r>
    <r>
      <rPr>
        <i/>
        <sz val="12"/>
        <rFont val="Times New Roman"/>
        <family val="1"/>
      </rPr>
      <t>Detect Undead</t>
    </r>
  </si>
  <si>
    <r>
      <t xml:space="preserve">Scroll of </t>
    </r>
    <r>
      <rPr>
        <i/>
        <sz val="12"/>
        <rFont val="Times New Roman"/>
        <family val="1"/>
      </rPr>
      <t>Divine Favor</t>
    </r>
  </si>
  <si>
    <r>
      <t xml:space="preserve">Scroll of </t>
    </r>
    <r>
      <rPr>
        <i/>
        <sz val="12"/>
        <rFont val="Times New Roman"/>
        <family val="1"/>
      </rPr>
      <t>Endure Elements</t>
    </r>
  </si>
  <si>
    <r>
      <t xml:space="preserve">Scroll of </t>
    </r>
    <r>
      <rPr>
        <i/>
        <sz val="12"/>
        <rFont val="Times New Roman"/>
        <family val="1"/>
      </rPr>
      <t>Entangle</t>
    </r>
  </si>
  <si>
    <r>
      <t xml:space="preserve">Scroll of </t>
    </r>
    <r>
      <rPr>
        <i/>
        <sz val="12"/>
        <rFont val="Times New Roman"/>
        <family val="1"/>
      </rPr>
      <t>Hide from Undead</t>
    </r>
  </si>
  <si>
    <r>
      <t xml:space="preserve">Scroll of </t>
    </r>
    <r>
      <rPr>
        <i/>
        <sz val="12"/>
        <rFont val="Times New Roman"/>
        <family val="1"/>
      </rPr>
      <t>Sanctuary</t>
    </r>
  </si>
  <si>
    <r>
      <t xml:space="preserve">Scroll of </t>
    </r>
    <r>
      <rPr>
        <i/>
        <sz val="12"/>
        <rFont val="Times New Roman"/>
        <family val="1"/>
      </rPr>
      <t>Shield of Faith</t>
    </r>
  </si>
  <si>
    <r>
      <t xml:space="preserve">Scroll of </t>
    </r>
    <r>
      <rPr>
        <i/>
        <sz val="12"/>
        <rFont val="Times New Roman"/>
        <family val="1"/>
      </rPr>
      <t>Shillelagh</t>
    </r>
  </si>
  <si>
    <r>
      <t xml:space="preserve">Scroll of </t>
    </r>
    <r>
      <rPr>
        <i/>
        <sz val="12"/>
        <rFont val="Times New Roman"/>
        <family val="1"/>
      </rPr>
      <t>Summon Monster I</t>
    </r>
  </si>
  <si>
    <r>
      <t xml:space="preserve">Scroll of </t>
    </r>
    <r>
      <rPr>
        <i/>
        <sz val="12"/>
        <rFont val="Times New Roman"/>
        <family val="1"/>
      </rPr>
      <t>Barkskin</t>
    </r>
  </si>
  <si>
    <r>
      <t xml:space="preserve">Scroll of </t>
    </r>
    <r>
      <rPr>
        <i/>
        <sz val="12"/>
        <rFont val="Times New Roman"/>
        <family val="1"/>
      </rPr>
      <t>Fire Trap</t>
    </r>
  </si>
  <si>
    <r>
      <t xml:space="preserve">Scroll of </t>
    </r>
    <r>
      <rPr>
        <i/>
        <sz val="12"/>
        <rFont val="Times New Roman"/>
        <family val="1"/>
      </rPr>
      <t>Flame Blade</t>
    </r>
  </si>
  <si>
    <r>
      <t xml:space="preserve">Scroll of </t>
    </r>
    <r>
      <rPr>
        <i/>
        <sz val="12"/>
        <rFont val="Times New Roman"/>
        <family val="1"/>
      </rPr>
      <t>Flaming Sphere</t>
    </r>
  </si>
  <si>
    <r>
      <t xml:space="preserve">Scroll of </t>
    </r>
    <r>
      <rPr>
        <i/>
        <sz val="12"/>
        <rFont val="Times New Roman"/>
        <family val="1"/>
      </rPr>
      <t>Summon Monster II</t>
    </r>
  </si>
  <si>
    <r>
      <t xml:space="preserve">Scroll of </t>
    </r>
    <r>
      <rPr>
        <i/>
        <sz val="12"/>
        <rFont val="Times New Roman"/>
        <family val="1"/>
      </rPr>
      <t>Stone Shape</t>
    </r>
  </si>
  <si>
    <r>
      <t xml:space="preserve">Wand of </t>
    </r>
    <r>
      <rPr>
        <i/>
        <sz val="12"/>
        <rFont val="Times New Roman"/>
        <family val="1"/>
      </rPr>
      <t>Cure Moderate Wounds</t>
    </r>
  </si>
  <si>
    <t>Winged Boots of Greater Agility</t>
  </si>
  <si>
    <t>Rod of Absorption</t>
  </si>
  <si>
    <r>
      <t xml:space="preserve">Eternal Wand of </t>
    </r>
    <r>
      <rPr>
        <i/>
        <sz val="12"/>
        <rFont val="Times New Roman"/>
        <family val="1"/>
      </rPr>
      <t>Remove Disease</t>
    </r>
  </si>
  <si>
    <t>DC 16 (harmless)</t>
  </si>
  <si>
    <t>ECL</t>
  </si>
  <si>
    <t>18th:  [shared slot for Turn Undead]</t>
  </si>
  <si>
    <r>
      <t>20th</t>
    </r>
    <r>
      <rPr>
        <vertAlign val="subscript"/>
        <sz val="13"/>
        <color theme="0"/>
        <rFont val="Times New Roman"/>
        <family val="1"/>
      </rPr>
      <t>B</t>
    </r>
    <r>
      <rPr>
        <sz val="13"/>
        <color theme="0"/>
        <rFont val="Times New Roman"/>
        <family val="1"/>
      </rPr>
      <t>:  Turn Undead (as Cleric 1)</t>
    </r>
  </si>
  <si>
    <t>Archivist 20</t>
  </si>
  <si>
    <t>Heward’s Handy Haversack</t>
  </si>
  <si>
    <t>38 charges</t>
  </si>
  <si>
    <t>þ</t>
  </si>
  <si>
    <t>24K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</si>
</sst>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67" x14ac:knownFonts="1">
    <font>
      <sz val="12"/>
      <color theme="1"/>
      <name val="Times New Roman"/>
      <family val="2"/>
    </font>
    <font>
      <sz val="12"/>
      <color theme="1"/>
      <name val="Times New Roman"/>
      <family val="2"/>
    </font>
    <font>
      <i/>
      <sz val="22"/>
      <color rgb="FFFFC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b/>
      <sz val="13"/>
      <name val="Times New Roman"/>
      <family val="1"/>
    </font>
    <font>
      <sz val="13"/>
      <name val="Times New Roman"/>
      <family val="1"/>
    </font>
    <font>
      <b/>
      <sz val="13"/>
      <color indexed="10"/>
      <name val="Times New Roman"/>
      <family val="1"/>
    </font>
    <font>
      <sz val="13"/>
      <color indexed="23"/>
      <name val="Times New Roman"/>
      <family val="1"/>
    </font>
    <font>
      <sz val="13"/>
      <color indexed="17"/>
      <name val="Times New Roman"/>
      <family val="1"/>
    </font>
    <font>
      <sz val="13"/>
      <color indexed="51"/>
      <name val="Times New Roman"/>
      <family val="1"/>
    </font>
    <font>
      <sz val="13"/>
      <color indexed="10"/>
      <name val="Times New Roman"/>
      <family val="1"/>
    </font>
    <font>
      <sz val="12"/>
      <color indexed="81"/>
      <name val="Times New Roman"/>
      <family val="1"/>
    </font>
    <font>
      <b/>
      <sz val="13"/>
      <color indexed="46"/>
      <name val="Times New Roman"/>
      <family val="1"/>
    </font>
    <font>
      <b/>
      <sz val="13"/>
      <color indexed="12"/>
      <name val="Times New Roman"/>
      <family val="1"/>
    </font>
    <font>
      <b/>
      <sz val="13"/>
      <color rgb="FF00CC00"/>
      <name val="Times New Roman"/>
      <family val="1"/>
    </font>
    <font>
      <b/>
      <sz val="13"/>
      <color indexed="17"/>
      <name val="Times New Roman"/>
      <family val="1"/>
    </font>
    <font>
      <b/>
      <sz val="13"/>
      <color indexed="51"/>
      <name val="Times New Roman"/>
      <family val="1"/>
    </font>
    <font>
      <b/>
      <sz val="13"/>
      <color indexed="52"/>
      <name val="Times New Roman"/>
      <family val="1"/>
    </font>
    <font>
      <b/>
      <sz val="18"/>
      <name val="Times New Roman"/>
      <family val="1"/>
    </font>
    <font>
      <i/>
      <sz val="18"/>
      <name val="Times New Roman"/>
      <family val="1"/>
    </font>
    <font>
      <sz val="18"/>
      <name val="Times New Roman"/>
      <family val="1"/>
    </font>
    <font>
      <i/>
      <sz val="18"/>
      <color indexed="17"/>
      <name val="Times New Roman"/>
      <family val="1"/>
    </font>
    <font>
      <b/>
      <sz val="13"/>
      <color indexed="9"/>
      <name val="Times New Roman"/>
      <family val="1"/>
    </font>
    <font>
      <b/>
      <sz val="13"/>
      <color rgb="FFFFC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sz val="13"/>
      <color indexed="46"/>
      <name val="Times New Roman"/>
      <family val="1"/>
    </font>
    <font>
      <sz val="13"/>
      <color indexed="52"/>
      <name val="Times New Roman"/>
      <family val="1"/>
    </font>
    <font>
      <sz val="13"/>
      <color indexed="12"/>
      <name val="Times New Roman"/>
      <family val="1"/>
    </font>
    <font>
      <i/>
      <sz val="12"/>
      <color indexed="81"/>
      <name val="Times New Roman"/>
      <family val="1"/>
    </font>
    <font>
      <i/>
      <sz val="18"/>
      <color indexed="12"/>
      <name val="Times New Roman"/>
      <family val="1"/>
    </font>
    <font>
      <sz val="10"/>
      <name val="Arial"/>
      <family val="2"/>
    </font>
    <font>
      <sz val="12"/>
      <color theme="1"/>
      <name val="Wingdings"/>
      <charset val="2"/>
    </font>
    <font>
      <i/>
      <sz val="16"/>
      <color indexed="12"/>
      <name val="Times New Roman"/>
      <family val="1"/>
    </font>
    <font>
      <i/>
      <sz val="16"/>
      <color rgb="FF0000FF"/>
      <name val="Times New Roman"/>
      <family val="1"/>
    </font>
    <font>
      <i/>
      <sz val="18"/>
      <color rgb="FF7030A0"/>
      <name val="Times New Roman"/>
      <family val="1"/>
    </font>
    <font>
      <b/>
      <sz val="12"/>
      <color theme="0"/>
      <name val="Times New Roman"/>
      <family val="1"/>
    </font>
    <font>
      <i/>
      <sz val="18"/>
      <color rgb="FF0000FF"/>
      <name val="Times New Roman"/>
      <family val="1"/>
    </font>
    <font>
      <b/>
      <sz val="12"/>
      <color theme="1"/>
      <name val="Times New Roman"/>
      <family val="1"/>
    </font>
    <font>
      <b/>
      <sz val="12"/>
      <color rgb="FF0000FF"/>
      <name val="Times New Roman"/>
      <family val="1"/>
    </font>
    <font>
      <i/>
      <sz val="16"/>
      <color indexed="53"/>
      <name val="Times New Roman"/>
      <family val="1"/>
    </font>
    <font>
      <i/>
      <sz val="16"/>
      <color indexed="57"/>
      <name val="Times New Roman"/>
      <family val="1"/>
    </font>
    <font>
      <i/>
      <sz val="16"/>
      <color indexed="10"/>
      <name val="Times New Roman"/>
      <family val="1"/>
    </font>
    <font>
      <b/>
      <sz val="12"/>
      <color indexed="81"/>
      <name val="Times New Roman"/>
      <family val="1"/>
    </font>
    <font>
      <b/>
      <sz val="12"/>
      <color indexed="9"/>
      <name val="Times New Roman"/>
      <family val="1"/>
    </font>
    <font>
      <b/>
      <sz val="12"/>
      <color rgb="FFFFC000"/>
      <name val="Times New Roman"/>
      <family val="1"/>
    </font>
    <font>
      <sz val="12"/>
      <color rgb="FFFFC000"/>
      <name val="Times New Roman"/>
      <family val="1"/>
    </font>
    <font>
      <i/>
      <sz val="12"/>
      <name val="Times New Roman"/>
      <family val="1"/>
    </font>
    <font>
      <sz val="12"/>
      <color theme="0"/>
      <name val="Times New Roman"/>
      <family val="1"/>
    </font>
    <font>
      <b/>
      <sz val="12"/>
      <color rgb="FF7030A0"/>
      <name val="Times New Roman"/>
      <family val="1"/>
    </font>
    <font>
      <b/>
      <sz val="12"/>
      <color theme="9" tint="-0.249977111117893"/>
      <name val="Times New Roman"/>
      <family val="1"/>
    </font>
    <font>
      <b/>
      <sz val="12"/>
      <color rgb="FF00B0F0"/>
      <name val="Times New Roman"/>
      <family val="1"/>
    </font>
    <font>
      <b/>
      <i/>
      <sz val="16"/>
      <color rgb="FF0000FF"/>
      <name val="Times New Roman"/>
      <family val="1"/>
    </font>
    <font>
      <sz val="12"/>
      <name val="Times New Roman"/>
      <family val="1"/>
      <charset val="1"/>
    </font>
    <font>
      <b/>
      <i/>
      <sz val="12"/>
      <name val="Times New Roman"/>
      <family val="1"/>
    </font>
    <font>
      <i/>
      <sz val="13"/>
      <name val="Times New Roman"/>
      <family val="1"/>
    </font>
    <font>
      <i/>
      <sz val="17"/>
      <name val="Times New Roman"/>
      <family val="1"/>
    </font>
    <font>
      <sz val="13"/>
      <color theme="0"/>
      <name val="Times New Roman"/>
      <family val="1"/>
    </font>
    <font>
      <i/>
      <sz val="12"/>
      <color theme="4" tint="0.59999389629810485"/>
      <name val="Times New Roman"/>
      <family val="1"/>
    </font>
    <font>
      <i/>
      <sz val="22"/>
      <color rgb="FF00B0F0"/>
      <name val="Times New Roman"/>
      <family val="1"/>
    </font>
    <font>
      <b/>
      <sz val="13"/>
      <color rgb="FF00B0F0"/>
      <name val="Times New Roman"/>
      <family val="1"/>
    </font>
    <font>
      <vertAlign val="subscript"/>
      <sz val="13"/>
      <color theme="0"/>
      <name val="Times New Roman"/>
      <family val="1"/>
    </font>
  </fonts>
  <fills count="23">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1"/>
        <bgColor indexed="64"/>
      </patternFill>
    </fill>
    <fill>
      <patternFill patternType="solid">
        <fgColor indexed="17"/>
        <bgColor indexed="64"/>
      </patternFill>
    </fill>
    <fill>
      <patternFill patternType="solid">
        <fgColor rgb="FFCCFFCC"/>
        <bgColor indexed="64"/>
      </patternFill>
    </fill>
    <fill>
      <patternFill patternType="solid">
        <fgColor theme="0" tint="-0.249977111117893"/>
        <bgColor indexed="64"/>
      </patternFill>
    </fill>
    <fill>
      <patternFill patternType="solid">
        <fgColor indexed="12"/>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9966FF"/>
        <bgColor indexed="64"/>
      </patternFill>
    </fill>
    <fill>
      <patternFill patternType="lightGrid">
        <fgColor rgb="FFFFFF00"/>
        <bgColor rgb="FF9966FF"/>
      </patternFill>
    </fill>
    <fill>
      <patternFill patternType="solid">
        <fgColor rgb="FFFFC000"/>
        <bgColor indexed="64"/>
      </patternFill>
    </fill>
    <fill>
      <patternFill patternType="solid">
        <fgColor theme="0" tint="-0.499984740745262"/>
        <bgColor indexed="64"/>
      </patternFill>
    </fill>
    <fill>
      <patternFill patternType="solid">
        <fgColor rgb="FF9900FF"/>
        <bgColor indexed="64"/>
      </patternFill>
    </fill>
    <fill>
      <patternFill patternType="solid">
        <fgColor rgb="FF9933FF"/>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151">
    <border>
      <left/>
      <right/>
      <top/>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double">
        <color indexed="64"/>
      </right>
      <top style="double">
        <color indexed="64"/>
      </top>
      <bottom style="thick">
        <color rgb="FF009900"/>
      </bottom>
      <diagonal/>
    </border>
    <border>
      <left style="double">
        <color indexed="64"/>
      </left>
      <right/>
      <top/>
      <bottom/>
      <diagonal/>
    </border>
    <border>
      <left/>
      <right style="double">
        <color indexed="64"/>
      </right>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double">
        <color indexed="64"/>
      </left>
      <right style="thin">
        <color indexed="64"/>
      </right>
      <top style="thin">
        <color indexed="9"/>
      </top>
      <bottom style="thin">
        <color indexed="9"/>
      </bottom>
      <diagonal/>
    </border>
    <border>
      <left style="medium">
        <color indexed="64"/>
      </left>
      <right style="thin">
        <color indexed="64"/>
      </right>
      <top style="thin">
        <color indexed="9"/>
      </top>
      <bottom style="thin">
        <color indexed="9"/>
      </bottom>
      <diagonal/>
    </border>
    <border>
      <left style="double">
        <color indexed="64"/>
      </left>
      <right style="thin">
        <color indexed="64"/>
      </right>
      <top/>
      <bottom style="double">
        <color indexed="64"/>
      </bottom>
      <diagonal/>
    </border>
    <border>
      <left style="medium">
        <color indexed="64"/>
      </left>
      <right style="thin">
        <color indexed="64"/>
      </right>
      <top style="thin">
        <color indexed="9"/>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auto="1"/>
      </right>
      <top style="thin">
        <color auto="1"/>
      </top>
      <bottom style="thin">
        <color auto="1"/>
      </bottom>
      <diagonal/>
    </border>
    <border>
      <left/>
      <right style="thin">
        <color auto="1"/>
      </right>
      <top/>
      <bottom style="thin">
        <color auto="1"/>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style="thin">
        <color auto="1"/>
      </right>
      <top style="double">
        <color auto="1"/>
      </top>
      <bottom style="thin">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thin">
        <color indexed="64"/>
      </top>
      <bottom/>
      <diagonal/>
    </border>
    <border>
      <left style="thin">
        <color indexed="64"/>
      </left>
      <right style="double">
        <color indexed="64"/>
      </right>
      <top/>
      <bottom style="hair">
        <color indexed="64"/>
      </bottom>
      <diagonal/>
    </border>
  </borders>
  <cellStyleXfs count="12">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36" fillId="0" borderId="0" applyFill="0" applyBorder="0"/>
    <xf numFmtId="0" fontId="5" fillId="0" borderId="0"/>
    <xf numFmtId="0" fontId="58" fillId="0" borderId="0"/>
    <xf numFmtId="0" fontId="36" fillId="0" borderId="0"/>
    <xf numFmtId="0" fontId="5" fillId="0" borderId="0"/>
    <xf numFmtId="0" fontId="1" fillId="0" borderId="0"/>
    <xf numFmtId="9" fontId="5" fillId="0" borderId="0" applyFont="0" applyFill="0" applyBorder="0" applyAlignment="0" applyProtection="0"/>
    <xf numFmtId="43" fontId="5" fillId="0" borderId="0" applyFont="0" applyFill="0" applyBorder="0" applyAlignment="0" applyProtection="0"/>
  </cellStyleXfs>
  <cellXfs count="565">
    <xf numFmtId="0" fontId="0" fillId="0" borderId="0" xfId="0"/>
    <xf numFmtId="0" fontId="2" fillId="2" borderId="2"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7" fillId="0" borderId="4" xfId="0" applyFont="1" applyBorder="1" applyAlignment="1">
      <alignment horizontal="right" vertical="center"/>
    </xf>
    <xf numFmtId="0" fontId="8" fillId="0" borderId="0" xfId="0" applyFont="1" applyAlignment="1">
      <alignment horizontal="centerContinuous" vertical="center"/>
    </xf>
    <xf numFmtId="0" fontId="7"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center"/>
    </xf>
    <xf numFmtId="0" fontId="8" fillId="0" borderId="5" xfId="0" applyFont="1" applyBorder="1" applyAlignment="1">
      <alignment horizontal="left" vertical="center"/>
    </xf>
    <xf numFmtId="0" fontId="9" fillId="2" borderId="8" xfId="0" applyFont="1" applyFill="1" applyBorder="1" applyAlignment="1">
      <alignment horizontal="right" vertical="center"/>
    </xf>
    <xf numFmtId="0" fontId="9" fillId="3" borderId="14" xfId="0" applyFont="1" applyFill="1" applyBorder="1" applyAlignment="1">
      <alignment horizontal="right" vertical="center"/>
    </xf>
    <xf numFmtId="49" fontId="11" fillId="0" borderId="10" xfId="0" applyNumberFormat="1" applyFont="1" applyBorder="1" applyAlignment="1">
      <alignment horizontal="center" shrinkToFit="1"/>
    </xf>
    <xf numFmtId="0" fontId="15" fillId="2" borderId="15" xfId="0" applyFont="1" applyFill="1" applyBorder="1" applyAlignment="1">
      <alignment horizontal="right" vertical="center"/>
    </xf>
    <xf numFmtId="49" fontId="10" fillId="0" borderId="13" xfId="0" applyNumberFormat="1" applyFont="1" applyBorder="1" applyAlignment="1">
      <alignment horizontal="center" vertical="center"/>
    </xf>
    <xf numFmtId="0" fontId="9" fillId="3" borderId="16" xfId="0" applyFont="1" applyFill="1" applyBorder="1" applyAlignment="1">
      <alignment horizontal="right" vertical="center"/>
    </xf>
    <xf numFmtId="0" fontId="17" fillId="2" borderId="15" xfId="0" applyFont="1" applyFill="1" applyBorder="1" applyAlignment="1">
      <alignment horizontal="right" vertical="center"/>
    </xf>
    <xf numFmtId="0" fontId="18" fillId="3" borderId="16" xfId="0" applyFont="1" applyFill="1" applyBorder="1" applyAlignment="1">
      <alignment horizontal="right" vertical="center"/>
    </xf>
    <xf numFmtId="0" fontId="19" fillId="2" borderId="15" xfId="0" applyFont="1" applyFill="1" applyBorder="1" applyAlignment="1">
      <alignment horizontal="right" vertical="center"/>
    </xf>
    <xf numFmtId="0" fontId="20" fillId="2" borderId="17" xfId="0" applyFont="1" applyFill="1" applyBorder="1" applyAlignment="1">
      <alignment horizontal="right" vertical="center"/>
    </xf>
    <xf numFmtId="0" fontId="18" fillId="3" borderId="18" xfId="0" applyFont="1" applyFill="1" applyBorder="1" applyAlignment="1">
      <alignment horizontal="right" vertical="center"/>
    </xf>
    <xf numFmtId="0" fontId="8" fillId="0" borderId="0" xfId="0" applyFont="1" applyAlignment="1">
      <alignment horizontal="left" vertical="center"/>
    </xf>
    <xf numFmtId="0" fontId="21" fillId="0" borderId="0" xfId="0" applyFont="1" applyAlignment="1">
      <alignment vertical="center"/>
    </xf>
    <xf numFmtId="0" fontId="21" fillId="0" borderId="5" xfId="0" applyFont="1" applyBorder="1" applyAlignment="1">
      <alignment vertical="center"/>
    </xf>
    <xf numFmtId="49" fontId="8" fillId="0" borderId="19" xfId="0" applyNumberFormat="1" applyFont="1" applyBorder="1" applyAlignment="1">
      <alignment horizontal="center" vertical="center"/>
    </xf>
    <xf numFmtId="164" fontId="7" fillId="4" borderId="20" xfId="0" applyNumberFormat="1" applyFont="1" applyFill="1" applyBorder="1" applyAlignment="1">
      <alignment horizontal="center" vertical="center"/>
    </xf>
    <xf numFmtId="0" fontId="7" fillId="0" borderId="19" xfId="0" applyFont="1" applyBorder="1" applyAlignment="1">
      <alignment horizontal="center" vertical="center"/>
    </xf>
    <xf numFmtId="0" fontId="22" fillId="0" borderId="4" xfId="0" applyFont="1" applyBorder="1" applyAlignment="1">
      <alignment vertical="center"/>
    </xf>
    <xf numFmtId="0" fontId="23" fillId="0" borderId="0" xfId="0" applyFont="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5"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24" fillId="0" borderId="27" xfId="0" applyFont="1" applyBorder="1" applyAlignment="1">
      <alignment horizontal="centerContinuous" vertical="center"/>
    </xf>
    <xf numFmtId="0" fontId="21" fillId="0" borderId="0" xfId="0" applyFont="1" applyAlignment="1">
      <alignment horizontal="centerContinuous" vertical="center"/>
    </xf>
    <xf numFmtId="0" fontId="25" fillId="5" borderId="28" xfId="0" applyFont="1" applyFill="1" applyBorder="1" applyAlignment="1">
      <alignment horizontal="centerContinuous" vertical="center"/>
    </xf>
    <xf numFmtId="0" fontId="25" fillId="5" borderId="29" xfId="0" applyFont="1" applyFill="1" applyBorder="1" applyAlignment="1">
      <alignment horizontal="center" vertical="center"/>
    </xf>
    <xf numFmtId="0" fontId="25" fillId="5" borderId="29" xfId="0" applyFont="1" applyFill="1" applyBorder="1" applyAlignment="1">
      <alignment horizontal="center" vertical="center" wrapText="1"/>
    </xf>
    <xf numFmtId="0" fontId="25" fillId="5" borderId="31" xfId="0" applyFont="1" applyFill="1" applyBorder="1" applyAlignment="1">
      <alignment horizontal="center" vertical="center"/>
    </xf>
    <xf numFmtId="0" fontId="27" fillId="0" borderId="4" xfId="0" applyFont="1" applyBorder="1" applyAlignment="1">
      <alignment vertical="center"/>
    </xf>
    <xf numFmtId="0" fontId="7" fillId="0" borderId="32" xfId="0" applyFont="1" applyBorder="1" applyAlignment="1">
      <alignment horizontal="center" vertical="center"/>
    </xf>
    <xf numFmtId="0" fontId="8" fillId="0" borderId="32" xfId="0" applyFont="1" applyBorder="1" applyAlignment="1">
      <alignment horizontal="center" vertical="center"/>
    </xf>
    <xf numFmtId="0" fontId="28" fillId="0" borderId="32" xfId="0" applyFont="1" applyBorder="1" applyAlignment="1">
      <alignment horizontal="center" vertical="center" wrapText="1"/>
    </xf>
    <xf numFmtId="1" fontId="8" fillId="0" borderId="32"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0" fontId="8" fillId="0" borderId="5" xfId="0" quotePrefix="1" applyFont="1" applyBorder="1" applyAlignment="1">
      <alignment horizontal="center" vertical="center"/>
    </xf>
    <xf numFmtId="0" fontId="30" fillId="0" borderId="4" xfId="0" applyFont="1" applyBorder="1" applyAlignment="1">
      <alignment vertical="center"/>
    </xf>
    <xf numFmtId="0" fontId="15" fillId="0" borderId="33" xfId="0" applyFont="1" applyBorder="1" applyAlignment="1">
      <alignment horizontal="center" vertical="center"/>
    </xf>
    <xf numFmtId="0" fontId="28" fillId="0" borderId="34" xfId="0" applyFont="1" applyBorder="1" applyAlignment="1">
      <alignment vertical="center"/>
    </xf>
    <xf numFmtId="0" fontId="7" fillId="0" borderId="35" xfId="0" applyFont="1" applyBorder="1" applyAlignment="1">
      <alignment horizontal="center" vertical="center"/>
    </xf>
    <xf numFmtId="0" fontId="8" fillId="0" borderId="35" xfId="0" applyFont="1" applyBorder="1" applyAlignment="1">
      <alignment horizontal="center" vertical="center"/>
    </xf>
    <xf numFmtId="0" fontId="26" fillId="0" borderId="35" xfId="0" applyFont="1" applyBorder="1" applyAlignment="1">
      <alignment horizontal="center" vertical="center" wrapText="1"/>
    </xf>
    <xf numFmtId="1" fontId="8" fillId="0" borderId="35" xfId="0" applyNumberFormat="1" applyFont="1" applyBorder="1" applyAlignment="1">
      <alignment horizontal="center" vertical="center" wrapText="1"/>
    </xf>
    <xf numFmtId="49" fontId="8" fillId="0" borderId="35" xfId="0" applyNumberFormat="1" applyFont="1" applyBorder="1" applyAlignment="1">
      <alignment horizontal="center" vertical="center" wrapText="1"/>
    </xf>
    <xf numFmtId="0" fontId="8" fillId="0" borderId="36" xfId="0" quotePrefix="1" applyFont="1" applyBorder="1" applyAlignment="1">
      <alignment horizontal="center" vertical="center"/>
    </xf>
    <xf numFmtId="0" fontId="18" fillId="0" borderId="4" xfId="0" applyFont="1" applyBorder="1" applyAlignment="1">
      <alignment vertical="center"/>
    </xf>
    <xf numFmtId="49" fontId="11" fillId="0" borderId="32" xfId="0" applyNumberFormat="1" applyFont="1" applyBorder="1" applyAlignment="1">
      <alignment horizontal="center" vertical="center"/>
    </xf>
    <xf numFmtId="0" fontId="11" fillId="0" borderId="33" xfId="0" applyFont="1" applyBorder="1" applyAlignment="1">
      <alignment horizontal="center" vertical="center"/>
    </xf>
    <xf numFmtId="0" fontId="18" fillId="0" borderId="33" xfId="0" applyFont="1" applyBorder="1" applyAlignment="1">
      <alignment horizontal="center" vertical="center"/>
    </xf>
    <xf numFmtId="49" fontId="8" fillId="0" borderId="33" xfId="0" applyNumberFormat="1" applyFont="1" applyBorder="1" applyAlignment="1">
      <alignment horizontal="center" vertical="center"/>
    </xf>
    <xf numFmtId="0" fontId="8" fillId="0" borderId="37" xfId="0" applyFont="1" applyBorder="1" applyAlignment="1">
      <alignment horizontal="center" vertical="center"/>
    </xf>
    <xf numFmtId="0" fontId="15" fillId="0" borderId="4" xfId="0" applyFont="1" applyBorder="1" applyAlignment="1">
      <alignment vertical="center"/>
    </xf>
    <xf numFmtId="49" fontId="31" fillId="0" borderId="32" xfId="0" applyNumberFormat="1" applyFont="1" applyBorder="1" applyAlignment="1">
      <alignment horizontal="center" vertical="center"/>
    </xf>
    <xf numFmtId="0" fontId="31" fillId="0" borderId="33" xfId="0" applyFont="1" applyBorder="1" applyAlignment="1">
      <alignment horizontal="center" vertical="center"/>
    </xf>
    <xf numFmtId="0" fontId="20" fillId="0" borderId="4" xfId="0" applyFont="1" applyBorder="1" applyAlignment="1">
      <alignment vertical="center"/>
    </xf>
    <xf numFmtId="49" fontId="32" fillId="0" borderId="32" xfId="0" applyNumberFormat="1" applyFont="1" applyBorder="1" applyAlignment="1">
      <alignment horizontal="center" vertical="center"/>
    </xf>
    <xf numFmtId="0" fontId="32" fillId="0" borderId="33" xfId="0" applyFont="1" applyBorder="1" applyAlignment="1">
      <alignment horizontal="center" vertical="center"/>
    </xf>
    <xf numFmtId="0" fontId="20" fillId="0" borderId="33" xfId="0" applyFont="1" applyBorder="1" applyAlignment="1">
      <alignment horizontal="center" vertical="center"/>
    </xf>
    <xf numFmtId="0" fontId="9" fillId="0" borderId="4" xfId="0" applyFont="1" applyBorder="1" applyAlignment="1">
      <alignment vertical="center"/>
    </xf>
    <xf numFmtId="49" fontId="13" fillId="0" borderId="32" xfId="0" applyNumberFormat="1" applyFont="1" applyBorder="1" applyAlignment="1">
      <alignment horizontal="center" vertical="center"/>
    </xf>
    <xf numFmtId="0" fontId="13" fillId="0" borderId="33" xfId="0" applyFont="1" applyBorder="1" applyAlignment="1">
      <alignment horizontal="center" vertical="center"/>
    </xf>
    <xf numFmtId="0" fontId="9" fillId="0" borderId="33" xfId="0" applyFont="1" applyBorder="1" applyAlignment="1">
      <alignment horizontal="center" vertical="center"/>
    </xf>
    <xf numFmtId="0" fontId="16" fillId="6" borderId="4" xfId="0" applyFont="1" applyFill="1" applyBorder="1" applyAlignment="1">
      <alignment vertical="center"/>
    </xf>
    <xf numFmtId="49" fontId="33" fillId="6" borderId="32" xfId="0" applyNumberFormat="1" applyFont="1" applyFill="1" applyBorder="1" applyAlignment="1">
      <alignment horizontal="center" vertical="center"/>
    </xf>
    <xf numFmtId="0" fontId="33" fillId="6" borderId="33" xfId="0" applyFont="1" applyFill="1" applyBorder="1" applyAlignment="1">
      <alignment horizontal="center" vertical="center"/>
    </xf>
    <xf numFmtId="0" fontId="16" fillId="6" borderId="33" xfId="0" applyFont="1" applyFill="1" applyBorder="1" applyAlignment="1">
      <alignment horizontal="center" vertical="center"/>
    </xf>
    <xf numFmtId="49" fontId="8" fillId="6" borderId="33" xfId="0" applyNumberFormat="1" applyFont="1" applyFill="1" applyBorder="1" applyAlignment="1">
      <alignment horizontal="center" vertical="center"/>
    </xf>
    <xf numFmtId="0" fontId="8" fillId="6" borderId="37" xfId="0" applyFont="1" applyFill="1" applyBorder="1" applyAlignment="1">
      <alignment horizontal="center" vertical="center"/>
    </xf>
    <xf numFmtId="49" fontId="8" fillId="0" borderId="32" xfId="0" applyNumberFormat="1" applyFont="1" applyBorder="1" applyAlignment="1">
      <alignment horizontal="center" vertical="center"/>
    </xf>
    <xf numFmtId="0" fontId="18" fillId="6" borderId="4" xfId="0" applyFont="1" applyFill="1" applyBorder="1" applyAlignment="1">
      <alignment vertical="center"/>
    </xf>
    <xf numFmtId="49" fontId="11" fillId="6" borderId="32" xfId="0" applyNumberFormat="1" applyFont="1" applyFill="1" applyBorder="1" applyAlignment="1">
      <alignment horizontal="center" vertical="center"/>
    </xf>
    <xf numFmtId="0" fontId="11" fillId="6" borderId="33" xfId="0" applyFont="1" applyFill="1" applyBorder="1" applyAlignment="1">
      <alignment horizontal="center" vertical="center"/>
    </xf>
    <xf numFmtId="0" fontId="18" fillId="6" borderId="33" xfId="0" applyFont="1" applyFill="1" applyBorder="1" applyAlignment="1">
      <alignment horizontal="center" vertical="center"/>
    </xf>
    <xf numFmtId="0" fontId="18" fillId="7" borderId="4" xfId="0" applyFont="1" applyFill="1" applyBorder="1" applyAlignment="1">
      <alignment vertical="center"/>
    </xf>
    <xf numFmtId="49" fontId="11" fillId="7" borderId="32" xfId="0" applyNumberFormat="1" applyFont="1" applyFill="1" applyBorder="1" applyAlignment="1">
      <alignment horizontal="center" vertical="center"/>
    </xf>
    <xf numFmtId="0" fontId="11" fillId="7" borderId="33" xfId="0" applyFont="1" applyFill="1" applyBorder="1" applyAlignment="1">
      <alignment horizontal="center" vertical="center"/>
    </xf>
    <xf numFmtId="0" fontId="18" fillId="7" borderId="33" xfId="0" applyFont="1" applyFill="1" applyBorder="1" applyAlignment="1">
      <alignment horizontal="center" vertical="center"/>
    </xf>
    <xf numFmtId="49" fontId="8" fillId="7" borderId="33" xfId="0" applyNumberFormat="1" applyFont="1" applyFill="1" applyBorder="1" applyAlignment="1">
      <alignment horizontal="center" vertical="center"/>
    </xf>
    <xf numFmtId="0" fontId="8" fillId="7" borderId="37" xfId="0" applyFont="1" applyFill="1" applyBorder="1" applyAlignment="1">
      <alignment horizontal="center" vertical="center"/>
    </xf>
    <xf numFmtId="0" fontId="20" fillId="7" borderId="4" xfId="0" applyFont="1" applyFill="1" applyBorder="1" applyAlignment="1">
      <alignment vertical="center"/>
    </xf>
    <xf numFmtId="49" fontId="32" fillId="7" borderId="32" xfId="0" applyNumberFormat="1" applyFont="1" applyFill="1" applyBorder="1" applyAlignment="1">
      <alignment horizontal="center" vertical="center"/>
    </xf>
    <xf numFmtId="0" fontId="32" fillId="7" borderId="33" xfId="0" applyFont="1" applyFill="1" applyBorder="1" applyAlignment="1">
      <alignment horizontal="center" vertical="center"/>
    </xf>
    <xf numFmtId="0" fontId="20" fillId="7" borderId="33" xfId="0" applyFont="1" applyFill="1" applyBorder="1" applyAlignment="1">
      <alignment horizontal="center" vertical="center"/>
    </xf>
    <xf numFmtId="0" fontId="15" fillId="7" borderId="4" xfId="0" applyFont="1" applyFill="1" applyBorder="1" applyAlignment="1">
      <alignment vertical="center"/>
    </xf>
    <xf numFmtId="49" fontId="31" fillId="7" borderId="32" xfId="0" applyNumberFormat="1" applyFont="1" applyFill="1" applyBorder="1" applyAlignment="1">
      <alignment horizontal="center" vertical="center"/>
    </xf>
    <xf numFmtId="0" fontId="31" fillId="7" borderId="33" xfId="0" applyFont="1" applyFill="1" applyBorder="1" applyAlignment="1">
      <alignment horizontal="center" vertical="center"/>
    </xf>
    <xf numFmtId="0" fontId="15" fillId="7" borderId="33" xfId="0" applyFont="1" applyFill="1" applyBorder="1" applyAlignment="1">
      <alignment horizontal="center" vertical="center"/>
    </xf>
    <xf numFmtId="0" fontId="8" fillId="7" borderId="37" xfId="0" quotePrefix="1" applyFont="1" applyFill="1" applyBorder="1" applyAlignment="1">
      <alignment horizontal="center" vertical="center"/>
    </xf>
    <xf numFmtId="0" fontId="8" fillId="0" borderId="37" xfId="0" quotePrefix="1" applyFont="1" applyBorder="1" applyAlignment="1">
      <alignment horizontal="center" vertical="center"/>
    </xf>
    <xf numFmtId="0" fontId="15" fillId="0" borderId="24" xfId="0" applyFont="1" applyBorder="1" applyAlignment="1">
      <alignment vertical="center"/>
    </xf>
    <xf numFmtId="49" fontId="31" fillId="0" borderId="38" xfId="0" applyNumberFormat="1" applyFont="1" applyBorder="1" applyAlignment="1">
      <alignment horizontal="center" vertical="center"/>
    </xf>
    <xf numFmtId="0" fontId="31" fillId="0" borderId="39" xfId="0" applyFont="1" applyBorder="1" applyAlignment="1">
      <alignment horizontal="center" vertical="center"/>
    </xf>
    <xf numFmtId="0" fontId="15" fillId="0" borderId="39" xfId="0" applyFont="1" applyBorder="1" applyAlignment="1">
      <alignment horizontal="center" vertical="center"/>
    </xf>
    <xf numFmtId="49" fontId="8" fillId="0" borderId="39" xfId="0" applyNumberFormat="1" applyFont="1" applyBorder="1" applyAlignment="1">
      <alignment horizontal="center" vertical="center"/>
    </xf>
    <xf numFmtId="0" fontId="8" fillId="0" borderId="40" xfId="0" applyFont="1" applyBorder="1" applyAlignment="1">
      <alignment horizontal="center" vertical="center"/>
    </xf>
    <xf numFmtId="0" fontId="4" fillId="0" borderId="0" xfId="0"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center" vertical="center"/>
    </xf>
    <xf numFmtId="0" fontId="4" fillId="0" borderId="0" xfId="0" applyFont="1" applyAlignment="1">
      <alignment horizontal="left" vertical="center"/>
    </xf>
    <xf numFmtId="1" fontId="4" fillId="0" borderId="0" xfId="0" applyNumberFormat="1" applyFont="1" applyAlignment="1">
      <alignment horizontal="right" vertical="center"/>
    </xf>
    <xf numFmtId="0" fontId="35" fillId="0" borderId="27" xfId="0" applyFont="1" applyBorder="1" applyAlignment="1">
      <alignment horizontal="centerContinuous" vertical="center" wrapText="1"/>
    </xf>
    <xf numFmtId="0" fontId="21" fillId="0" borderId="0" xfId="0" applyFont="1" applyAlignment="1">
      <alignment horizontal="centerContinuous" vertical="center" wrapText="1"/>
    </xf>
    <xf numFmtId="0" fontId="5" fillId="0" borderId="0" xfId="0" applyFont="1" applyAlignment="1">
      <alignment vertical="center" wrapText="1"/>
    </xf>
    <xf numFmtId="0" fontId="25" fillId="8" borderId="41" xfId="0" applyFont="1" applyFill="1" applyBorder="1" applyAlignment="1">
      <alignment horizontal="centerContinuous" vertical="center" wrapText="1"/>
    </xf>
    <xf numFmtId="0" fontId="25" fillId="8" borderId="42" xfId="0" applyFont="1" applyFill="1" applyBorder="1" applyAlignment="1">
      <alignment horizontal="center" vertical="center" wrapText="1"/>
    </xf>
    <xf numFmtId="0" fontId="25" fillId="9" borderId="42" xfId="0" applyFont="1" applyFill="1" applyBorder="1" applyAlignment="1">
      <alignment horizontal="center" vertical="center" wrapText="1"/>
    </xf>
    <xf numFmtId="0" fontId="25" fillId="9" borderId="43" xfId="0" applyFont="1" applyFill="1" applyBorder="1" applyAlignment="1">
      <alignment horizontal="centerContinuous" vertical="center" wrapText="1"/>
    </xf>
    <xf numFmtId="0" fontId="33" fillId="0" borderId="4" xfId="0" applyFont="1" applyBorder="1" applyAlignment="1">
      <alignment horizontal="center" vertical="center" shrinkToFit="1"/>
    </xf>
    <xf numFmtId="0" fontId="8" fillId="0" borderId="32" xfId="0" applyFont="1" applyBorder="1" applyAlignment="1">
      <alignment horizontal="center" vertical="center" wrapText="1"/>
    </xf>
    <xf numFmtId="9" fontId="8" fillId="0" borderId="32" xfId="1" applyFont="1" applyFill="1" applyBorder="1" applyAlignment="1">
      <alignment horizontal="center" vertical="center" shrinkToFit="1"/>
    </xf>
    <xf numFmtId="9" fontId="8" fillId="0" borderId="33" xfId="1" applyFont="1" applyFill="1" applyBorder="1" applyAlignment="1">
      <alignment horizontal="center" vertical="center" shrinkToFit="1"/>
    </xf>
    <xf numFmtId="0" fontId="8" fillId="0" borderId="33" xfId="0" applyFont="1" applyBorder="1" applyAlignment="1">
      <alignment horizontal="center" vertical="center" shrinkToFit="1"/>
    </xf>
    <xf numFmtId="0" fontId="8" fillId="0" borderId="33" xfId="1" applyNumberFormat="1" applyFont="1" applyFill="1" applyBorder="1" applyAlignment="1">
      <alignment horizontal="center" vertical="center" shrinkToFit="1"/>
    </xf>
    <xf numFmtId="0" fontId="8" fillId="0" borderId="37" xfId="0" applyFont="1" applyBorder="1" applyAlignment="1">
      <alignment horizontal="center" vertical="center" wrapText="1"/>
    </xf>
    <xf numFmtId="0" fontId="8" fillId="0" borderId="32" xfId="0" applyFont="1" applyBorder="1" applyAlignment="1">
      <alignment horizontal="center" vertical="center" shrinkToFit="1"/>
    </xf>
    <xf numFmtId="0" fontId="8" fillId="0" borderId="37" xfId="0" quotePrefix="1" applyFont="1" applyBorder="1" applyAlignment="1">
      <alignment horizontal="center" vertical="center" wrapText="1"/>
    </xf>
    <xf numFmtId="0" fontId="33" fillId="0" borderId="34" xfId="0" applyFont="1" applyBorder="1" applyAlignment="1">
      <alignment horizontal="center" vertical="center" shrinkToFit="1"/>
    </xf>
    <xf numFmtId="0" fontId="8" fillId="0" borderId="35" xfId="0" applyFont="1" applyBorder="1" applyAlignment="1">
      <alignment horizontal="center" vertical="center" wrapText="1"/>
    </xf>
    <xf numFmtId="9" fontId="8" fillId="0" borderId="35" xfId="1" applyFont="1" applyBorder="1" applyAlignment="1">
      <alignment horizontal="center" vertical="center" shrinkToFit="1"/>
    </xf>
    <xf numFmtId="9" fontId="8" fillId="0" borderId="13" xfId="1" applyFont="1" applyBorder="1" applyAlignment="1">
      <alignment horizontal="center" vertical="center" shrinkToFit="1"/>
    </xf>
    <xf numFmtId="0" fontId="8" fillId="0" borderId="13" xfId="1" applyNumberFormat="1" applyFont="1" applyBorder="1" applyAlignment="1">
      <alignment horizontal="center" vertical="center" shrinkToFit="1"/>
    </xf>
    <xf numFmtId="49" fontId="8" fillId="0" borderId="10" xfId="0" applyNumberFormat="1" applyFont="1" applyBorder="1" applyAlignment="1">
      <alignment horizontal="center" vertical="center" wrapText="1"/>
    </xf>
    <xf numFmtId="9" fontId="8" fillId="0" borderId="32" xfId="3" applyFont="1" applyFill="1" applyBorder="1" applyAlignment="1">
      <alignment horizontal="center" vertical="center" shrinkToFit="1"/>
    </xf>
    <xf numFmtId="9" fontId="8" fillId="0" borderId="33" xfId="3" applyFont="1" applyFill="1" applyBorder="1" applyAlignment="1">
      <alignment horizontal="center" vertical="center" shrinkToFit="1"/>
    </xf>
    <xf numFmtId="0" fontId="5" fillId="0" borderId="33" xfId="0" applyFont="1" applyBorder="1" applyAlignment="1">
      <alignment horizontal="center" vertical="center" shrinkToFit="1"/>
    </xf>
    <xf numFmtId="0" fontId="8" fillId="0" borderId="33" xfId="3" applyNumberFormat="1" applyFont="1" applyFill="1" applyBorder="1" applyAlignment="1">
      <alignment horizontal="center" vertical="center" shrinkToFit="1"/>
    </xf>
    <xf numFmtId="9" fontId="8" fillId="0" borderId="32" xfId="1" applyFont="1" applyBorder="1" applyAlignment="1">
      <alignment horizontal="center" vertical="center" shrinkToFit="1"/>
    </xf>
    <xf numFmtId="9" fontId="8" fillId="0" borderId="33" xfId="1" applyFont="1" applyBorder="1" applyAlignment="1">
      <alignment horizontal="center" vertical="center" shrinkToFit="1"/>
    </xf>
    <xf numFmtId="0" fontId="8" fillId="0" borderId="33" xfId="1" applyNumberFormat="1"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7" xfId="4" applyFont="1" applyFill="1" applyBorder="1" applyAlignment="1">
      <alignment horizontal="center" vertical="center" wrapText="1"/>
    </xf>
    <xf numFmtId="49" fontId="8" fillId="0" borderId="37" xfId="0" applyNumberFormat="1" applyFont="1" applyBorder="1" applyAlignment="1">
      <alignment horizontal="center" vertical="center" shrinkToFit="1"/>
    </xf>
    <xf numFmtId="9" fontId="8" fillId="0" borderId="35" xfId="1" applyFont="1" applyFill="1" applyBorder="1" applyAlignment="1">
      <alignment horizontal="center" vertical="center" shrinkToFit="1"/>
    </xf>
    <xf numFmtId="9" fontId="8" fillId="0" borderId="13" xfId="1" applyFont="1" applyFill="1" applyBorder="1" applyAlignment="1">
      <alignment horizontal="center" vertical="center" shrinkToFit="1"/>
    </xf>
    <xf numFmtId="0" fontId="8" fillId="0" borderId="13" xfId="1" applyNumberFormat="1" applyFont="1" applyFill="1" applyBorder="1" applyAlignment="1">
      <alignment horizontal="center" vertical="center" shrinkToFit="1"/>
    </xf>
    <xf numFmtId="0" fontId="8" fillId="0" borderId="10" xfId="0" applyFont="1" applyBorder="1" applyAlignment="1">
      <alignment horizontal="center" vertical="center" wrapText="1"/>
    </xf>
    <xf numFmtId="49" fontId="8" fillId="0" borderId="10"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5" fillId="0" borderId="13" xfId="0" applyFont="1" applyBorder="1" applyAlignment="1">
      <alignment horizontal="center" vertical="center" shrinkToFit="1"/>
    </xf>
    <xf numFmtId="0" fontId="33" fillId="0" borderId="24" xfId="0" applyFont="1" applyBorder="1" applyAlignment="1">
      <alignment horizontal="center" vertical="center" shrinkToFit="1"/>
    </xf>
    <xf numFmtId="0" fontId="8" fillId="0" borderId="38" xfId="0" applyFont="1" applyBorder="1" applyAlignment="1">
      <alignment horizontal="center" vertical="center" wrapText="1"/>
    </xf>
    <xf numFmtId="9" fontId="8" fillId="0" borderId="38" xfId="1" applyFont="1" applyFill="1" applyBorder="1" applyAlignment="1">
      <alignment horizontal="center" vertical="center" shrinkToFit="1"/>
    </xf>
    <xf numFmtId="9" fontId="8" fillId="0" borderId="39" xfId="1" applyFont="1" applyFill="1" applyBorder="1" applyAlignment="1">
      <alignment horizontal="center" vertical="center" shrinkToFit="1"/>
    </xf>
    <xf numFmtId="0" fontId="8" fillId="0" borderId="39" xfId="1" applyNumberFormat="1" applyFont="1" applyFill="1" applyBorder="1" applyAlignment="1">
      <alignment horizontal="center" vertical="center" shrinkToFit="1"/>
    </xf>
    <xf numFmtId="0" fontId="8" fillId="0" borderId="39" xfId="1" applyNumberFormat="1" applyFont="1" applyBorder="1" applyAlignment="1">
      <alignment horizontal="center" vertical="center" shrinkToFit="1"/>
    </xf>
    <xf numFmtId="0" fontId="8" fillId="0" borderId="40" xfId="0" applyFont="1" applyBorder="1" applyAlignment="1">
      <alignment horizontal="center" vertical="center" wrapText="1"/>
    </xf>
    <xf numFmtId="0" fontId="25" fillId="8" borderId="42" xfId="0" applyFont="1" applyFill="1" applyBorder="1" applyAlignment="1">
      <alignment horizontal="center" vertical="center"/>
    </xf>
    <xf numFmtId="0" fontId="25" fillId="8" borderId="34" xfId="0" applyFont="1" applyFill="1" applyBorder="1" applyAlignment="1">
      <alignment horizontal="centerContinuous" vertical="center" wrapText="1"/>
    </xf>
    <xf numFmtId="0" fontId="25" fillId="8" borderId="44" xfId="0" applyFont="1" applyFill="1" applyBorder="1" applyAlignment="1">
      <alignment horizontal="center" vertical="center" wrapText="1"/>
    </xf>
    <xf numFmtId="0" fontId="25" fillId="8" borderId="36" xfId="0" applyFont="1" applyFill="1" applyBorder="1" applyAlignment="1">
      <alignment horizontal="center" vertical="center" wrapText="1"/>
    </xf>
    <xf numFmtId="0" fontId="8" fillId="0" borderId="4" xfId="0" applyFont="1" applyBorder="1" applyAlignment="1">
      <alignment horizontal="center" vertical="center" shrinkToFit="1"/>
    </xf>
    <xf numFmtId="0" fontId="8" fillId="0" borderId="34" xfId="0" applyFont="1" applyBorder="1" applyAlignment="1">
      <alignment horizontal="center" vertical="center" shrinkToFit="1"/>
    </xf>
    <xf numFmtId="49" fontId="8" fillId="0" borderId="35" xfId="0" applyNumberFormat="1" applyFont="1" applyBorder="1" applyAlignment="1">
      <alignment horizontal="center" vertical="center"/>
    </xf>
    <xf numFmtId="0" fontId="8" fillId="0" borderId="24" xfId="0" applyFont="1" applyBorder="1" applyAlignment="1">
      <alignment horizontal="center" vertical="center" shrinkToFit="1"/>
    </xf>
    <xf numFmtId="0" fontId="8" fillId="0" borderId="38" xfId="0" applyFont="1" applyBorder="1" applyAlignment="1">
      <alignment horizontal="center" vertical="center"/>
    </xf>
    <xf numFmtId="49" fontId="8" fillId="0" borderId="38" xfId="0" applyNumberFormat="1" applyFont="1" applyBorder="1" applyAlignment="1">
      <alignment horizontal="center" vertical="center"/>
    </xf>
    <xf numFmtId="0" fontId="37" fillId="11" borderId="5" xfId="0" applyFont="1" applyFill="1" applyBorder="1" applyAlignment="1">
      <alignment horizontal="center"/>
    </xf>
    <xf numFmtId="0" fontId="37" fillId="11" borderId="10" xfId="0" applyFont="1" applyFill="1" applyBorder="1" applyAlignment="1">
      <alignment horizontal="center"/>
    </xf>
    <xf numFmtId="0" fontId="37" fillId="11" borderId="26" xfId="0" applyFont="1" applyFill="1" applyBorder="1" applyAlignment="1">
      <alignment horizontal="center"/>
    </xf>
    <xf numFmtId="0" fontId="39" fillId="0" borderId="0" xfId="0" applyFont="1" applyAlignment="1">
      <alignment horizontal="centerContinuous" vertical="center" wrapText="1"/>
    </xf>
    <xf numFmtId="0" fontId="40" fillId="0" borderId="0" xfId="0" applyFont="1" applyAlignment="1">
      <alignment horizontal="centerContinuous" vertical="center" wrapText="1"/>
    </xf>
    <xf numFmtId="0" fontId="35" fillId="0" borderId="0" xfId="0" applyFont="1" applyAlignment="1">
      <alignment horizontal="centerContinuous" vertical="center" wrapText="1"/>
    </xf>
    <xf numFmtId="0" fontId="4" fillId="0" borderId="21" xfId="0" applyFont="1" applyBorder="1" applyAlignment="1">
      <alignment horizontal="centerContinuous" vertical="center"/>
    </xf>
    <xf numFmtId="0" fontId="4" fillId="0" borderId="22" xfId="0" applyFont="1" applyBorder="1" applyAlignment="1">
      <alignment horizontal="centerContinuous" vertical="center"/>
    </xf>
    <xf numFmtId="0" fontId="5" fillId="0" borderId="22" xfId="0" applyFont="1" applyBorder="1" applyAlignment="1">
      <alignment horizontal="centerContinuous" vertical="center" wrapText="1"/>
    </xf>
    <xf numFmtId="0" fontId="5" fillId="0" borderId="23" xfId="0" applyFont="1" applyBorder="1" applyAlignment="1">
      <alignment horizontal="centerContinuous"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5" xfId="0" applyFont="1" applyBorder="1" applyAlignment="1">
      <alignment horizontal="right" vertic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49" xfId="0" applyFont="1" applyBorder="1" applyAlignment="1">
      <alignment horizontal="right"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4" fillId="0" borderId="53" xfId="0" applyFont="1" applyBorder="1" applyAlignment="1">
      <alignment horizontal="right" vertical="center"/>
    </xf>
    <xf numFmtId="0" fontId="41" fillId="9" borderId="54" xfId="0" applyFont="1" applyFill="1" applyBorder="1" applyAlignment="1">
      <alignment horizontal="center" vertical="center" wrapText="1"/>
    </xf>
    <xf numFmtId="0" fontId="41" fillId="9" borderId="55" xfId="0" applyFont="1" applyFill="1" applyBorder="1" applyAlignment="1">
      <alignment horizontal="center" vertical="center" wrapText="1"/>
    </xf>
    <xf numFmtId="0" fontId="8" fillId="0" borderId="0" xfId="0" applyFont="1" applyAlignment="1">
      <alignment vertical="center" wrapText="1"/>
    </xf>
    <xf numFmtId="0" fontId="42" fillId="0" borderId="0" xfId="0" applyFont="1" applyAlignment="1">
      <alignment horizontal="centerContinuous" vertical="center" wrapText="1"/>
    </xf>
    <xf numFmtId="0" fontId="43" fillId="0" borderId="57" xfId="0" applyFont="1" applyBorder="1" applyAlignment="1">
      <alignment horizontal="center"/>
    </xf>
    <xf numFmtId="0" fontId="43" fillId="0" borderId="58" xfId="0" applyFont="1" applyBorder="1" applyAlignment="1">
      <alignment horizontal="center"/>
    </xf>
    <xf numFmtId="0" fontId="43" fillId="0" borderId="59" xfId="0" applyFont="1" applyBorder="1" applyAlignment="1">
      <alignment horizontal="center"/>
    </xf>
    <xf numFmtId="0" fontId="43" fillId="0" borderId="60" xfId="0" applyFont="1" applyBorder="1" applyAlignment="1">
      <alignment horizontal="center"/>
    </xf>
    <xf numFmtId="0" fontId="0" fillId="0" borderId="61" xfId="0" applyBorder="1" applyAlignment="1">
      <alignment horizontal="center"/>
    </xf>
    <xf numFmtId="49" fontId="0" fillId="0" borderId="62" xfId="0" applyNumberFormat="1" applyBorder="1" applyAlignment="1">
      <alignment horizontal="center"/>
    </xf>
    <xf numFmtId="0" fontId="0" fillId="7" borderId="63" xfId="0" applyFill="1" applyBorder="1" applyAlignment="1">
      <alignment horizontal="center"/>
    </xf>
    <xf numFmtId="0" fontId="0" fillId="7" borderId="64" xfId="0" applyFill="1" applyBorder="1" applyAlignment="1">
      <alignment horizontal="center"/>
    </xf>
    <xf numFmtId="0" fontId="0" fillId="0" borderId="65" xfId="0" applyBorder="1" applyAlignment="1">
      <alignment horizontal="center"/>
    </xf>
    <xf numFmtId="0" fontId="0" fillId="0" borderId="50" xfId="0" applyBorder="1" applyAlignment="1">
      <alignment horizontal="center"/>
    </xf>
    <xf numFmtId="0" fontId="0" fillId="7" borderId="51" xfId="0" applyFill="1" applyBorder="1" applyAlignment="1">
      <alignment horizontal="center"/>
    </xf>
    <xf numFmtId="0" fontId="0" fillId="7" borderId="52" xfId="0" applyFill="1" applyBorder="1" applyAlignment="1">
      <alignment horizontal="center"/>
    </xf>
    <xf numFmtId="0" fontId="0" fillId="0" borderId="51" xfId="0" applyBorder="1" applyAlignment="1">
      <alignment horizontal="center"/>
    </xf>
    <xf numFmtId="0" fontId="44" fillId="0" borderId="65" xfId="0" applyFont="1" applyBorder="1" applyAlignment="1">
      <alignment horizontal="center"/>
    </xf>
    <xf numFmtId="0" fontId="44" fillId="0" borderId="50" xfId="0" applyFont="1" applyBorder="1" applyAlignment="1">
      <alignment horizontal="center"/>
    </xf>
    <xf numFmtId="0" fontId="44" fillId="0" borderId="51" xfId="0" applyFont="1" applyBorder="1" applyAlignment="1">
      <alignment horizontal="center"/>
    </xf>
    <xf numFmtId="0" fontId="0" fillId="0" borderId="52" xfId="0" applyBorder="1" applyAlignment="1">
      <alignment horizontal="center"/>
    </xf>
    <xf numFmtId="0" fontId="0" fillId="0" borderId="66"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45" fillId="0" borderId="67" xfId="0" applyFont="1" applyBorder="1" applyAlignment="1">
      <alignment horizontal="centerContinuous" vertical="center"/>
    </xf>
    <xf numFmtId="0" fontId="46" fillId="0" borderId="67" xfId="0" applyFont="1" applyBorder="1" applyAlignment="1">
      <alignment horizontal="centerContinuous" vertical="center"/>
    </xf>
    <xf numFmtId="0" fontId="8" fillId="0" borderId="68" xfId="0" applyFont="1" applyBorder="1" applyAlignment="1">
      <alignment horizontal="centerContinuous" vertical="center"/>
    </xf>
    <xf numFmtId="0" fontId="8" fillId="0" borderId="49" xfId="0" applyFont="1" applyBorder="1" applyAlignment="1">
      <alignment horizontal="centerContinuous" vertical="center"/>
    </xf>
    <xf numFmtId="0" fontId="8" fillId="0" borderId="69" xfId="0" applyFont="1" applyBorder="1" applyAlignment="1">
      <alignment horizontal="centerContinuous" vertical="center"/>
    </xf>
    <xf numFmtId="0" fontId="47" fillId="0" borderId="67" xfId="0" applyFont="1" applyBorder="1" applyAlignment="1">
      <alignment horizontal="centerContinuous" vertical="center"/>
    </xf>
    <xf numFmtId="0" fontId="8" fillId="0" borderId="53" xfId="0" applyFont="1" applyBorder="1" applyAlignment="1">
      <alignment horizontal="centerContinuous" vertical="center"/>
    </xf>
    <xf numFmtId="0" fontId="22" fillId="0" borderId="0" xfId="0" applyFont="1" applyAlignment="1">
      <alignment horizontal="centerContinuous" vertical="center"/>
    </xf>
    <xf numFmtId="0" fontId="5" fillId="0" borderId="0" xfId="0" applyFont="1" applyAlignment="1">
      <alignment vertical="center"/>
    </xf>
    <xf numFmtId="0" fontId="49" fillId="10" borderId="57" xfId="0" applyFont="1" applyFill="1" applyBorder="1" applyAlignment="1">
      <alignment horizontal="center" vertical="center"/>
    </xf>
    <xf numFmtId="0" fontId="49" fillId="10" borderId="72" xfId="0" applyFont="1" applyFill="1" applyBorder="1" applyAlignment="1">
      <alignment horizontal="center" vertical="center"/>
    </xf>
    <xf numFmtId="49" fontId="49" fillId="10" borderId="72" xfId="0" applyNumberFormat="1" applyFont="1" applyFill="1" applyBorder="1" applyAlignment="1">
      <alignment horizontal="center" vertical="center"/>
    </xf>
    <xf numFmtId="0" fontId="49" fillId="10" borderId="73" xfId="0" applyFont="1" applyFill="1" applyBorder="1" applyAlignment="1">
      <alignment horizontal="center" vertical="center"/>
    </xf>
    <xf numFmtId="0" fontId="49" fillId="10" borderId="74" xfId="0" applyFont="1" applyFill="1" applyBorder="1" applyAlignment="1">
      <alignment horizontal="center" vertical="center"/>
    </xf>
    <xf numFmtId="0" fontId="49" fillId="10" borderId="67" xfId="0" applyFont="1" applyFill="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6" xfId="0" quotePrefix="1" applyFont="1" applyBorder="1" applyAlignment="1">
      <alignment horizontal="center" vertical="center" wrapText="1"/>
    </xf>
    <xf numFmtId="49" fontId="5" fillId="0" borderId="76" xfId="3" applyNumberFormat="1" applyFont="1" applyFill="1" applyBorder="1" applyAlignment="1">
      <alignment horizontal="center" vertical="center"/>
    </xf>
    <xf numFmtId="0" fontId="5" fillId="0" borderId="76" xfId="0" applyFont="1" applyBorder="1" applyAlignment="1">
      <alignment horizontal="center" vertical="center" shrinkToFit="1"/>
    </xf>
    <xf numFmtId="164" fontId="5" fillId="0" borderId="76" xfId="0" applyNumberFormat="1" applyFont="1" applyBorder="1" applyAlignment="1">
      <alignment horizontal="center" vertical="center"/>
    </xf>
    <xf numFmtId="164" fontId="5" fillId="0" borderId="77" xfId="0" applyNumberFormat="1" applyFont="1" applyBorder="1" applyAlignment="1">
      <alignment horizontal="center" vertical="center"/>
    </xf>
    <xf numFmtId="0" fontId="5" fillId="0" borderId="78" xfId="0" applyFont="1" applyBorder="1" applyAlignment="1">
      <alignment horizontal="center" vertical="center"/>
    </xf>
    <xf numFmtId="1" fontId="5" fillId="0" borderId="49" xfId="0" applyNumberFormat="1" applyFont="1" applyBorder="1" applyAlignment="1">
      <alignment horizontal="center" vertical="center"/>
    </xf>
    <xf numFmtId="0" fontId="5" fillId="0" borderId="80" xfId="0" applyFont="1" applyBorder="1" applyAlignment="1">
      <alignment horizontal="center" vertical="center"/>
    </xf>
    <xf numFmtId="164" fontId="5" fillId="0" borderId="80" xfId="0" applyNumberFormat="1" applyFont="1" applyBorder="1" applyAlignment="1">
      <alignment horizontal="center" vertical="center"/>
    </xf>
    <xf numFmtId="1" fontId="5" fillId="0" borderId="83" xfId="0" applyNumberFormat="1"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49"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 fontId="5" fillId="0" borderId="53"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49" fillId="10" borderId="73" xfId="0" applyFont="1" applyFill="1" applyBorder="1" applyAlignment="1">
      <alignment horizontal="centerContinuous" vertical="center"/>
    </xf>
    <xf numFmtId="0" fontId="49" fillId="10" borderId="87" xfId="0" applyFont="1" applyFill="1" applyBorder="1" applyAlignment="1">
      <alignment horizontal="centerContinuous" vertical="center"/>
    </xf>
    <xf numFmtId="0" fontId="49" fillId="10" borderId="88" xfId="0" applyFont="1" applyFill="1" applyBorder="1" applyAlignment="1">
      <alignment horizontal="centerContinuous" vertical="center"/>
    </xf>
    <xf numFmtId="0" fontId="5" fillId="0" borderId="84" xfId="0" applyFont="1" applyBorder="1" applyAlignment="1">
      <alignment horizontal="center" vertical="center" shrinkToFit="1"/>
    </xf>
    <xf numFmtId="0" fontId="5" fillId="0" borderId="85" xfId="0" applyFont="1" applyBorder="1" applyAlignment="1">
      <alignment horizontal="center" vertical="center"/>
    </xf>
    <xf numFmtId="0" fontId="5" fillId="0" borderId="85" xfId="0" quotePrefix="1" applyFont="1" applyBorder="1" applyAlignment="1">
      <alignment horizontal="center" vertical="center"/>
    </xf>
    <xf numFmtId="9" fontId="5" fillId="0" borderId="85" xfId="0" applyNumberFormat="1" applyFont="1" applyBorder="1" applyAlignment="1">
      <alignment horizontal="center" vertical="center"/>
    </xf>
    <xf numFmtId="49" fontId="5" fillId="0" borderId="85" xfId="0" quotePrefix="1" applyNumberFormat="1" applyFont="1" applyBorder="1" applyAlignment="1">
      <alignment horizontal="center" vertical="center"/>
    </xf>
    <xf numFmtId="164" fontId="5" fillId="0" borderId="85" xfId="0" applyNumberFormat="1" applyFont="1" applyBorder="1" applyAlignment="1">
      <alignment horizontal="center" vertical="center"/>
    </xf>
    <xf numFmtId="164" fontId="5" fillId="0" borderId="86" xfId="0" applyNumberFormat="1" applyFont="1" applyBorder="1" applyAlignment="1">
      <alignment horizontal="centerContinuous" vertical="center"/>
    </xf>
    <xf numFmtId="164" fontId="5" fillId="0" borderId="89" xfId="0" applyNumberFormat="1" applyFont="1" applyBorder="1" applyAlignment="1">
      <alignment horizontal="centerContinuous" vertical="center"/>
    </xf>
    <xf numFmtId="0" fontId="5" fillId="0" borderId="90" xfId="0" quotePrefix="1" applyFont="1" applyBorder="1" applyAlignment="1">
      <alignment horizontal="centerContinuous" vertical="center"/>
    </xf>
    <xf numFmtId="1" fontId="5" fillId="0" borderId="91" xfId="0" applyNumberFormat="1" applyFont="1" applyBorder="1" applyAlignment="1">
      <alignment horizontal="center" vertical="center"/>
    </xf>
    <xf numFmtId="0" fontId="5" fillId="0" borderId="79" xfId="0" applyFont="1" applyBorder="1" applyAlignment="1">
      <alignment horizontal="center" vertical="center" shrinkToFit="1"/>
    </xf>
    <xf numFmtId="0" fontId="5" fillId="0" borderId="80" xfId="0" quotePrefix="1" applyFont="1" applyBorder="1" applyAlignment="1">
      <alignment horizontal="center" vertical="center"/>
    </xf>
    <xf numFmtId="9" fontId="5" fillId="0" borderId="80" xfId="0" applyNumberFormat="1" applyFont="1" applyBorder="1" applyAlignment="1">
      <alignment horizontal="center" vertical="center"/>
    </xf>
    <xf numFmtId="49" fontId="5" fillId="0" borderId="80" xfId="0" quotePrefix="1" applyNumberFormat="1" applyFont="1" applyBorder="1" applyAlignment="1">
      <alignment horizontal="center" vertical="center"/>
    </xf>
    <xf numFmtId="164" fontId="5" fillId="0" borderId="81" xfId="0" applyNumberFormat="1" applyFont="1" applyBorder="1" applyAlignment="1">
      <alignment horizontal="centerContinuous" vertical="center"/>
    </xf>
    <xf numFmtId="164" fontId="5" fillId="0" borderId="92" xfId="0" applyNumberFormat="1" applyFont="1" applyBorder="1" applyAlignment="1">
      <alignment horizontal="centerContinuous" vertical="center"/>
    </xf>
    <xf numFmtId="0" fontId="5" fillId="0" borderId="93" xfId="0" quotePrefix="1" applyFont="1" applyBorder="1" applyAlignment="1">
      <alignment horizontal="centerContinuous" vertical="center"/>
    </xf>
    <xf numFmtId="0" fontId="53" fillId="12" borderId="94" xfId="0" applyFont="1" applyFill="1" applyBorder="1" applyAlignment="1">
      <alignment horizontal="center" vertical="center"/>
    </xf>
    <xf numFmtId="0" fontId="53" fillId="12" borderId="95" xfId="0" applyFont="1" applyFill="1" applyBorder="1" applyAlignment="1">
      <alignment horizontal="center" vertical="center"/>
    </xf>
    <xf numFmtId="0" fontId="53" fillId="12" borderId="95" xfId="0" quotePrefix="1" applyFont="1" applyFill="1" applyBorder="1" applyAlignment="1">
      <alignment horizontal="center" vertical="center"/>
    </xf>
    <xf numFmtId="9" fontId="53" fillId="12" borderId="95" xfId="0" applyNumberFormat="1" applyFont="1" applyFill="1" applyBorder="1" applyAlignment="1">
      <alignment horizontal="center" vertical="center"/>
    </xf>
    <xf numFmtId="164" fontId="53" fillId="12" borderId="95" xfId="0" applyNumberFormat="1" applyFont="1" applyFill="1" applyBorder="1" applyAlignment="1">
      <alignment horizontal="center" vertical="center"/>
    </xf>
    <xf numFmtId="164" fontId="53" fillId="12" borderId="96" xfId="0" applyNumberFormat="1" applyFont="1" applyFill="1" applyBorder="1" applyAlignment="1">
      <alignment horizontal="centerContinuous" vertical="center"/>
    </xf>
    <xf numFmtId="164" fontId="53" fillId="12" borderId="97" xfId="0" applyNumberFormat="1" applyFont="1" applyFill="1" applyBorder="1" applyAlignment="1">
      <alignment horizontal="centerContinuous" vertical="center"/>
    </xf>
    <xf numFmtId="0" fontId="53" fillId="12" borderId="98" xfId="0" applyFont="1" applyFill="1" applyBorder="1" applyAlignment="1">
      <alignment horizontal="centerContinuous" vertical="center"/>
    </xf>
    <xf numFmtId="1" fontId="53" fillId="12" borderId="53" xfId="0" applyNumberFormat="1" applyFont="1" applyFill="1" applyBorder="1" applyAlignment="1">
      <alignment horizontal="center" vertical="center"/>
    </xf>
    <xf numFmtId="0" fontId="49" fillId="10" borderId="99" xfId="0" applyFont="1" applyFill="1" applyBorder="1" applyAlignment="1">
      <alignment horizontal="centerContinuous" vertical="center"/>
    </xf>
    <xf numFmtId="0" fontId="49" fillId="10" borderId="100" xfId="0" applyFont="1" applyFill="1" applyBorder="1" applyAlignment="1">
      <alignment horizontal="centerContinuous" vertical="center"/>
    </xf>
    <xf numFmtId="0" fontId="54" fillId="0" borderId="101" xfId="0" applyFont="1" applyBorder="1" applyAlignment="1">
      <alignment horizontal="centerContinuous" vertical="center"/>
    </xf>
    <xf numFmtId="0" fontId="5" fillId="0" borderId="102" xfId="0" applyFont="1" applyBorder="1" applyAlignment="1">
      <alignment horizontal="centerContinuous" vertical="center"/>
    </xf>
    <xf numFmtId="0" fontId="5" fillId="0" borderId="86" xfId="0" applyFont="1" applyBorder="1" applyAlignment="1">
      <alignment horizontal="centerContinuous" vertical="center"/>
    </xf>
    <xf numFmtId="49" fontId="5" fillId="0" borderId="86" xfId="0" applyNumberFormat="1" applyFont="1" applyBorder="1" applyAlignment="1">
      <alignment horizontal="centerContinuous" vertical="center"/>
    </xf>
    <xf numFmtId="49" fontId="5" fillId="0" borderId="89" xfId="0" applyNumberFormat="1" applyFont="1" applyBorder="1" applyAlignment="1">
      <alignment horizontal="centerContinuous" vertical="center"/>
    </xf>
    <xf numFmtId="0" fontId="5" fillId="0" borderId="90" xfId="0" applyFont="1" applyBorder="1" applyAlignment="1">
      <alignment horizontal="centerContinuous" vertical="center"/>
    </xf>
    <xf numFmtId="0" fontId="55" fillId="0" borderId="103" xfId="0" applyFont="1" applyBorder="1" applyAlignment="1">
      <alignment horizontal="centerContinuous" vertical="center"/>
    </xf>
    <xf numFmtId="0" fontId="5" fillId="0" borderId="104" xfId="0" applyFont="1" applyBorder="1" applyAlignment="1">
      <alignment horizontal="centerContinuous" vertical="center"/>
    </xf>
    <xf numFmtId="0" fontId="5" fillId="0" borderId="81" xfId="0" applyFont="1" applyBorder="1" applyAlignment="1">
      <alignment horizontal="centerContinuous" vertical="center"/>
    </xf>
    <xf numFmtId="49" fontId="5" fillId="0" borderId="81" xfId="0" applyNumberFormat="1" applyFont="1" applyBorder="1" applyAlignment="1">
      <alignment horizontal="center" vertical="center"/>
    </xf>
    <xf numFmtId="49" fontId="5" fillId="0" borderId="81" xfId="0" applyNumberFormat="1" applyFont="1" applyBorder="1" applyAlignment="1">
      <alignment horizontal="centerContinuous" vertical="center"/>
    </xf>
    <xf numFmtId="49" fontId="5" fillId="0" borderId="92" xfId="0" applyNumberFormat="1" applyFont="1" applyBorder="1" applyAlignment="1">
      <alignment horizontal="centerContinuous" vertical="center"/>
    </xf>
    <xf numFmtId="0" fontId="5" fillId="0" borderId="93" xfId="0" applyFont="1" applyBorder="1" applyAlignment="1">
      <alignment horizontal="centerContinuous" vertical="center"/>
    </xf>
    <xf numFmtId="0" fontId="56" fillId="0" borderId="103" xfId="0" applyFont="1" applyBorder="1" applyAlignment="1">
      <alignment horizontal="centerContinuous" vertical="center"/>
    </xf>
    <xf numFmtId="0" fontId="5" fillId="0" borderId="103" xfId="0" applyFont="1" applyBorder="1" applyAlignment="1">
      <alignment horizontal="centerContinuous" vertical="center"/>
    </xf>
    <xf numFmtId="0" fontId="5" fillId="0" borderId="105" xfId="0" applyFont="1" applyBorder="1" applyAlignment="1">
      <alignment horizontal="centerContinuous" vertical="center"/>
    </xf>
    <xf numFmtId="0" fontId="5" fillId="0" borderId="106" xfId="0" applyFont="1" applyBorder="1" applyAlignment="1">
      <alignment horizontal="centerContinuous" vertical="center"/>
    </xf>
    <xf numFmtId="0" fontId="5" fillId="0" borderId="96" xfId="0" applyFont="1" applyBorder="1" applyAlignment="1">
      <alignment horizontal="centerContinuous" vertical="center"/>
    </xf>
    <xf numFmtId="164" fontId="5" fillId="0" borderId="95"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96" xfId="0" applyNumberFormat="1" applyFont="1" applyBorder="1" applyAlignment="1">
      <alignment horizontal="centerContinuous" vertical="center"/>
    </xf>
    <xf numFmtId="49" fontId="5" fillId="0" borderId="97" xfId="0" applyNumberFormat="1" applyFont="1" applyBorder="1" applyAlignment="1">
      <alignment horizontal="centerContinuous" vertical="center"/>
    </xf>
    <xf numFmtId="0" fontId="5" fillId="0" borderId="98" xfId="0" applyFont="1" applyBorder="1" applyAlignment="1">
      <alignment horizontal="centerContinuous" vertical="center"/>
    </xf>
    <xf numFmtId="0" fontId="49" fillId="10" borderId="107" xfId="0" applyFont="1" applyFill="1" applyBorder="1" applyAlignment="1">
      <alignment horizontal="center" vertical="center"/>
    </xf>
    <xf numFmtId="0" fontId="49" fillId="10" borderId="108" xfId="0" applyFont="1" applyFill="1" applyBorder="1" applyAlignment="1">
      <alignment horizontal="centerContinuous" vertical="center"/>
    </xf>
    <xf numFmtId="0" fontId="5" fillId="0" borderId="103" xfId="0" applyFont="1" applyBorder="1" applyAlignment="1">
      <alignment horizontal="centerContinuous" vertical="center" shrinkToFit="1"/>
    </xf>
    <xf numFmtId="0" fontId="49" fillId="0" borderId="92" xfId="0" applyFont="1" applyBorder="1" applyAlignment="1">
      <alignment horizontal="centerContinuous" vertical="center"/>
    </xf>
    <xf numFmtId="0" fontId="5" fillId="0" borderId="105" xfId="0" applyFont="1" applyBorder="1" applyAlignment="1">
      <alignment horizontal="centerContinuous" vertical="center" shrinkToFit="1"/>
    </xf>
    <xf numFmtId="0" fontId="49" fillId="0" borderId="97" xfId="0" applyFont="1" applyBorder="1" applyAlignment="1">
      <alignment horizontal="centerContinuous" vertical="center"/>
    </xf>
    <xf numFmtId="0" fontId="5" fillId="0" borderId="95" xfId="0" applyFont="1" applyBorder="1" applyAlignment="1">
      <alignment horizontal="center" vertical="center"/>
    </xf>
    <xf numFmtId="165" fontId="5" fillId="0" borderId="0" xfId="0" applyNumberFormat="1" applyFont="1" applyAlignment="1">
      <alignment horizontal="center" vertical="center"/>
    </xf>
    <xf numFmtId="164" fontId="22" fillId="0" borderId="0" xfId="0" applyNumberFormat="1" applyFont="1" applyAlignment="1">
      <alignment horizontal="centerContinuous" vertical="center"/>
    </xf>
    <xf numFmtId="0" fontId="49" fillId="5" borderId="30" xfId="0" applyFont="1" applyFill="1" applyBorder="1" applyAlignment="1">
      <alignment horizontal="center" vertical="center"/>
    </xf>
    <xf numFmtId="164" fontId="49" fillId="5" borderId="29" xfId="0" applyNumberFormat="1" applyFont="1" applyFill="1" applyBorder="1" applyAlignment="1">
      <alignment horizontal="center" vertical="center"/>
    </xf>
    <xf numFmtId="0" fontId="49" fillId="5" borderId="30" xfId="0" applyFont="1" applyFill="1" applyBorder="1" applyAlignment="1">
      <alignment horizontal="right" vertical="center"/>
    </xf>
    <xf numFmtId="0" fontId="49" fillId="5" borderId="109" xfId="0" applyFont="1" applyFill="1" applyBorder="1" applyAlignment="1">
      <alignment vertical="center"/>
    </xf>
    <xf numFmtId="164" fontId="49" fillId="5" borderId="67" xfId="0" applyNumberFormat="1" applyFont="1" applyFill="1" applyBorder="1" applyAlignment="1">
      <alignment horizontal="center" vertical="center"/>
    </xf>
    <xf numFmtId="0" fontId="5" fillId="0" borderId="113" xfId="0" applyFont="1" applyBorder="1" applyAlignment="1">
      <alignment horizontal="center" vertical="center" shrinkToFit="1"/>
    </xf>
    <xf numFmtId="0" fontId="5" fillId="0" borderId="50" xfId="0" applyFont="1" applyBorder="1" applyAlignment="1">
      <alignment horizontal="center" vertical="center" shrinkToFit="1"/>
    </xf>
    <xf numFmtId="164" fontId="5" fillId="0" borderId="51"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 fontId="5" fillId="0" borderId="70" xfId="0" applyNumberFormat="1" applyFont="1" applyBorder="1" applyAlignment="1">
      <alignment horizontal="center" vertical="center" shrinkToFit="1"/>
    </xf>
    <xf numFmtId="1" fontId="5" fillId="13" borderId="49" xfId="0" applyNumberFormat="1" applyFont="1" applyFill="1" applyBorder="1" applyAlignment="1">
      <alignment horizontal="center" vertical="center" shrinkToFit="1"/>
    </xf>
    <xf numFmtId="0" fontId="5" fillId="0" borderId="114" xfId="0" applyFont="1" applyBorder="1" applyAlignment="1">
      <alignment horizontal="center" vertical="center" shrinkToFit="1"/>
    </xf>
    <xf numFmtId="0" fontId="5" fillId="0" borderId="54" xfId="0" applyFont="1" applyBorder="1" applyAlignment="1">
      <alignment horizontal="center" vertical="center" shrinkToFit="1"/>
    </xf>
    <xf numFmtId="164" fontId="5" fillId="0" borderId="55" xfId="0" applyNumberFormat="1" applyFont="1" applyBorder="1" applyAlignment="1">
      <alignment horizontal="center" vertical="center" shrinkToFit="1"/>
    </xf>
    <xf numFmtId="0" fontId="5" fillId="0" borderId="55" xfId="0" applyFont="1" applyBorder="1" applyAlignment="1">
      <alignment horizontal="left" vertical="center"/>
    </xf>
    <xf numFmtId="0" fontId="5" fillId="0" borderId="56" xfId="0" applyFont="1" applyBorder="1" applyAlignment="1">
      <alignment horizontal="left" vertical="center" shrinkToFit="1"/>
    </xf>
    <xf numFmtId="164" fontId="22" fillId="0" borderId="0" xfId="0" applyNumberFormat="1" applyFont="1" applyAlignment="1">
      <alignment horizontal="centerContinuous" vertical="center" shrinkToFit="1"/>
    </xf>
    <xf numFmtId="0" fontId="22" fillId="0" borderId="0" xfId="0" applyFont="1" applyAlignment="1">
      <alignment horizontal="centerContinuous" vertical="center" shrinkToFit="1"/>
    </xf>
    <xf numFmtId="0" fontId="5" fillId="0" borderId="51" xfId="0" applyFont="1" applyBorder="1" applyAlignment="1">
      <alignment horizontal="center" vertical="center" shrinkToFit="1"/>
    </xf>
    <xf numFmtId="164" fontId="5" fillId="0" borderId="115" xfId="0" applyNumberFormat="1" applyFont="1" applyBorder="1" applyAlignment="1">
      <alignment horizontal="center" vertical="center" shrinkToFit="1"/>
    </xf>
    <xf numFmtId="0" fontId="5" fillId="0" borderId="51" xfId="0" quotePrefix="1" applyFont="1" applyBorder="1" applyAlignment="1">
      <alignment horizontal="left" vertical="center"/>
    </xf>
    <xf numFmtId="0" fontId="5" fillId="0" borderId="55" xfId="0" applyFont="1" applyBorder="1" applyAlignment="1">
      <alignment horizontal="center" vertical="center" shrinkToFit="1"/>
    </xf>
    <xf numFmtId="0" fontId="38" fillId="0" borderId="25" xfId="0" applyFont="1" applyBorder="1" applyAlignment="1">
      <alignment horizontal="centerContinuous" vertical="center" wrapText="1"/>
    </xf>
    <xf numFmtId="0" fontId="21" fillId="0" borderId="25" xfId="0" applyFont="1" applyBorder="1" applyAlignment="1">
      <alignment horizontal="centerContinuous" vertical="center" wrapText="1"/>
    </xf>
    <xf numFmtId="0" fontId="20" fillId="6" borderId="4" xfId="0" applyFont="1" applyFill="1" applyBorder="1" applyAlignment="1">
      <alignment vertical="center"/>
    </xf>
    <xf numFmtId="49" fontId="32" fillId="6" borderId="32" xfId="0" applyNumberFormat="1" applyFont="1" applyFill="1" applyBorder="1" applyAlignment="1">
      <alignment horizontal="center" vertical="center"/>
    </xf>
    <xf numFmtId="0" fontId="32" fillId="6" borderId="33" xfId="0" applyFont="1" applyFill="1" applyBorder="1" applyAlignment="1">
      <alignment horizontal="center" vertical="center"/>
    </xf>
    <xf numFmtId="0" fontId="20" fillId="6" borderId="33" xfId="0" applyFont="1" applyFill="1" applyBorder="1" applyAlignment="1">
      <alignment horizontal="center" vertical="center"/>
    </xf>
    <xf numFmtId="0" fontId="37" fillId="11" borderId="36" xfId="0" applyFont="1" applyFill="1" applyBorder="1" applyAlignment="1">
      <alignment horizontal="center"/>
    </xf>
    <xf numFmtId="9" fontId="8" fillId="0" borderId="32" xfId="10" applyFont="1" applyFill="1" applyBorder="1" applyAlignment="1">
      <alignment horizontal="center" vertical="center" shrinkToFit="1"/>
    </xf>
    <xf numFmtId="9" fontId="8" fillId="0" borderId="33" xfId="10" applyFont="1" applyFill="1" applyBorder="1" applyAlignment="1">
      <alignment horizontal="center" vertical="center" shrinkToFit="1"/>
    </xf>
    <xf numFmtId="0" fontId="8" fillId="0" borderId="33" xfId="10" applyNumberFormat="1" applyFont="1" applyFill="1" applyBorder="1" applyAlignment="1">
      <alignment horizontal="center" vertical="center" shrinkToFit="1"/>
    </xf>
    <xf numFmtId="0" fontId="5" fillId="0" borderId="121" xfId="0" applyFont="1" applyBorder="1" applyAlignment="1">
      <alignment horizontal="left" vertical="center"/>
    </xf>
    <xf numFmtId="0" fontId="5" fillId="0" borderId="122" xfId="0" applyFont="1" applyBorder="1" applyAlignment="1">
      <alignment horizontal="left" vertical="center" shrinkToFit="1"/>
    </xf>
    <xf numFmtId="0" fontId="5" fillId="0" borderId="103" xfId="0" applyFont="1" applyBorder="1" applyAlignment="1">
      <alignment horizontal="center" vertical="center" shrinkToFit="1"/>
    </xf>
    <xf numFmtId="1" fontId="5" fillId="0" borderId="51" xfId="0" applyNumberFormat="1" applyFont="1" applyBorder="1" applyAlignment="1">
      <alignment horizontal="center" vertical="center" shrinkToFit="1"/>
    </xf>
    <xf numFmtId="0" fontId="5" fillId="0" borderId="123" xfId="0" applyFont="1" applyBorder="1" applyAlignment="1">
      <alignment horizontal="left" vertical="center"/>
    </xf>
    <xf numFmtId="0" fontId="5" fillId="14" borderId="79" xfId="0" applyFont="1" applyFill="1" applyBorder="1" applyAlignment="1">
      <alignment horizontal="center" vertical="center"/>
    </xf>
    <xf numFmtId="0" fontId="5" fillId="14" borderId="80" xfId="0" applyFont="1" applyFill="1" applyBorder="1" applyAlignment="1">
      <alignment horizontal="center" vertical="center"/>
    </xf>
    <xf numFmtId="0" fontId="5" fillId="14" borderId="80" xfId="0" quotePrefix="1" applyFont="1" applyFill="1" applyBorder="1" applyAlignment="1">
      <alignment horizontal="center" vertical="center" wrapText="1"/>
    </xf>
    <xf numFmtId="49" fontId="5" fillId="14" borderId="80" xfId="3" applyNumberFormat="1" applyFont="1" applyFill="1" applyBorder="1" applyAlignment="1">
      <alignment horizontal="center" vertical="center"/>
    </xf>
    <xf numFmtId="0" fontId="5" fillId="14" borderId="80" xfId="0" applyFont="1" applyFill="1" applyBorder="1" applyAlignment="1">
      <alignment horizontal="center" vertical="center" shrinkToFit="1"/>
    </xf>
    <xf numFmtId="164" fontId="5" fillId="14" borderId="80" xfId="0" applyNumberFormat="1" applyFont="1" applyFill="1" applyBorder="1" applyAlignment="1">
      <alignment horizontal="center" vertical="center"/>
    </xf>
    <xf numFmtId="164" fontId="5" fillId="14" borderId="81" xfId="0" applyNumberFormat="1" applyFont="1" applyFill="1" applyBorder="1" applyAlignment="1">
      <alignment horizontal="center" vertical="center"/>
    </xf>
    <xf numFmtId="0" fontId="5" fillId="14" borderId="82" xfId="0" applyFont="1" applyFill="1" applyBorder="1" applyAlignment="1">
      <alignment horizontal="center" vertical="center"/>
    </xf>
    <xf numFmtId="1" fontId="5" fillId="14" borderId="49" xfId="0" applyNumberFormat="1" applyFont="1" applyFill="1" applyBorder="1" applyAlignment="1">
      <alignment horizontal="center" vertical="center"/>
    </xf>
    <xf numFmtId="1" fontId="5" fillId="14" borderId="68" xfId="0" applyNumberFormat="1" applyFont="1" applyFill="1" applyBorder="1" applyAlignment="1">
      <alignment horizontal="center" vertical="center"/>
    </xf>
    <xf numFmtId="0" fontId="5" fillId="14" borderId="116" xfId="0" applyFont="1" applyFill="1" applyBorder="1" applyAlignment="1">
      <alignment horizontal="center" vertical="center" shrinkToFit="1"/>
    </xf>
    <xf numFmtId="0" fontId="5" fillId="14" borderId="117" xfId="0" applyFont="1" applyFill="1" applyBorder="1" applyAlignment="1">
      <alignment horizontal="center" vertical="center"/>
    </xf>
    <xf numFmtId="0" fontId="5" fillId="14" borderId="117" xfId="0" quotePrefix="1" applyFont="1" applyFill="1" applyBorder="1" applyAlignment="1">
      <alignment horizontal="center" vertical="center"/>
    </xf>
    <xf numFmtId="9" fontId="5" fillId="14" borderId="117" xfId="0" applyNumberFormat="1" applyFont="1" applyFill="1" applyBorder="1" applyAlignment="1">
      <alignment horizontal="center" vertical="center"/>
    </xf>
    <xf numFmtId="49" fontId="5" fillId="14" borderId="117" xfId="0" quotePrefix="1" applyNumberFormat="1" applyFont="1" applyFill="1" applyBorder="1" applyAlignment="1">
      <alignment horizontal="center" vertical="center"/>
    </xf>
    <xf numFmtId="164" fontId="5" fillId="14" borderId="117" xfId="0" applyNumberFormat="1" applyFont="1" applyFill="1" applyBorder="1" applyAlignment="1">
      <alignment horizontal="center" vertical="center"/>
    </xf>
    <xf numFmtId="164" fontId="5" fillId="14" borderId="118" xfId="0" applyNumberFormat="1" applyFont="1" applyFill="1" applyBorder="1" applyAlignment="1">
      <alignment horizontal="centerContinuous" vertical="center"/>
    </xf>
    <xf numFmtId="164" fontId="5" fillId="14" borderId="119" xfId="0" applyNumberFormat="1" applyFont="1" applyFill="1" applyBorder="1" applyAlignment="1">
      <alignment horizontal="centerContinuous" vertical="center"/>
    </xf>
    <xf numFmtId="0" fontId="5" fillId="14" borderId="120" xfId="0" quotePrefix="1" applyFont="1" applyFill="1" applyBorder="1" applyAlignment="1">
      <alignment horizontal="centerContinuous" vertical="center"/>
    </xf>
    <xf numFmtId="1" fontId="5" fillId="14" borderId="71" xfId="0" applyNumberFormat="1" applyFont="1" applyFill="1" applyBorder="1" applyAlignment="1">
      <alignment horizontal="center" vertical="center"/>
    </xf>
    <xf numFmtId="0" fontId="8" fillId="0" borderId="33" xfId="0" applyFont="1" applyBorder="1" applyAlignment="1">
      <alignment horizontal="center" vertical="center"/>
    </xf>
    <xf numFmtId="0" fontId="5" fillId="14" borderId="110" xfId="0" applyFont="1" applyFill="1" applyBorder="1" applyAlignment="1">
      <alignment horizontal="center" vertical="center"/>
    </xf>
    <xf numFmtId="0" fontId="5" fillId="14" borderId="111" xfId="0" applyFont="1" applyFill="1" applyBorder="1" applyAlignment="1">
      <alignment horizontal="center" vertical="center"/>
    </xf>
    <xf numFmtId="0" fontId="5" fillId="14" borderId="111" xfId="0" quotePrefix="1" applyFont="1" applyFill="1" applyBorder="1" applyAlignment="1">
      <alignment horizontal="center" vertical="center" wrapText="1"/>
    </xf>
    <xf numFmtId="49" fontId="5" fillId="14" borderId="111" xfId="3" applyNumberFormat="1" applyFont="1" applyFill="1" applyBorder="1" applyAlignment="1">
      <alignment horizontal="center" vertical="center"/>
    </xf>
    <xf numFmtId="0" fontId="5" fillId="14" borderId="111" xfId="0" applyFont="1" applyFill="1" applyBorder="1" applyAlignment="1">
      <alignment horizontal="center" vertical="center" shrinkToFit="1"/>
    </xf>
    <xf numFmtId="164" fontId="5" fillId="14" borderId="111" xfId="0" applyNumberFormat="1" applyFont="1" applyFill="1" applyBorder="1" applyAlignment="1">
      <alignment horizontal="center" vertical="center"/>
    </xf>
    <xf numFmtId="0" fontId="5" fillId="14" borderId="112" xfId="0" quotePrefix="1" applyFont="1" applyFill="1" applyBorder="1" applyAlignment="1">
      <alignment horizontal="center" vertical="center"/>
    </xf>
    <xf numFmtId="0" fontId="5" fillId="14" borderId="113" xfId="0" applyFont="1" applyFill="1" applyBorder="1" applyAlignment="1">
      <alignment horizontal="center" vertical="center"/>
    </xf>
    <xf numFmtId="0" fontId="5" fillId="14" borderId="51" xfId="0" applyFont="1" applyFill="1" applyBorder="1" applyAlignment="1">
      <alignment horizontal="center" vertical="center"/>
    </xf>
    <xf numFmtId="0" fontId="5" fillId="14" borderId="51" xfId="0" quotePrefix="1" applyFont="1" applyFill="1" applyBorder="1" applyAlignment="1">
      <alignment horizontal="center" vertical="center" wrapText="1"/>
    </xf>
    <xf numFmtId="49" fontId="5" fillId="14" borderId="51" xfId="3" applyNumberFormat="1" applyFont="1" applyFill="1" applyBorder="1" applyAlignment="1">
      <alignment horizontal="center" vertical="center"/>
    </xf>
    <xf numFmtId="0" fontId="5" fillId="14" borderId="51" xfId="0" applyFont="1" applyFill="1" applyBorder="1" applyAlignment="1">
      <alignment horizontal="center" vertical="center" shrinkToFit="1"/>
    </xf>
    <xf numFmtId="164" fontId="5" fillId="14" borderId="51" xfId="0" applyNumberFormat="1" applyFont="1" applyFill="1" applyBorder="1" applyAlignment="1">
      <alignment horizontal="center" vertical="center"/>
    </xf>
    <xf numFmtId="0" fontId="5" fillId="14" borderId="52" xfId="0" quotePrefix="1" applyFont="1" applyFill="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32" xfId="0" quotePrefix="1" applyFont="1" applyBorder="1" applyAlignment="1">
      <alignment horizontal="center" vertical="center" wrapText="1"/>
    </xf>
    <xf numFmtId="49" fontId="5" fillId="0" borderId="32" xfId="3" applyNumberFormat="1" applyFont="1" applyFill="1" applyBorder="1" applyAlignment="1">
      <alignment horizontal="center" vertical="center"/>
    </xf>
    <xf numFmtId="0" fontId="5" fillId="0" borderId="32" xfId="0" applyFont="1" applyBorder="1" applyAlignment="1">
      <alignment horizontal="center" vertical="center" shrinkToFit="1"/>
    </xf>
    <xf numFmtId="164" fontId="5" fillId="0" borderId="33" xfId="0" applyNumberFormat="1" applyFont="1" applyBorder="1" applyAlignment="1">
      <alignment horizontal="center" vertical="center"/>
    </xf>
    <xf numFmtId="0" fontId="5" fillId="0" borderId="37" xfId="0" applyFont="1" applyBorder="1" applyAlignment="1">
      <alignment horizontal="center" vertical="center"/>
    </xf>
    <xf numFmtId="164" fontId="5" fillId="7" borderId="32" xfId="0" applyNumberFormat="1" applyFont="1" applyFill="1" applyBorder="1" applyAlignment="1">
      <alignment horizontal="center" vertical="center"/>
    </xf>
    <xf numFmtId="164" fontId="5" fillId="7" borderId="38" xfId="0" applyNumberFormat="1" applyFont="1" applyFill="1" applyBorder="1" applyAlignment="1">
      <alignment horizontal="center" vertical="center"/>
    </xf>
    <xf numFmtId="1" fontId="5" fillId="7" borderId="53" xfId="0" applyNumberFormat="1" applyFont="1" applyFill="1" applyBorder="1" applyAlignment="1">
      <alignment horizontal="center" vertical="center"/>
    </xf>
    <xf numFmtId="1" fontId="5" fillId="7" borderId="83" xfId="0" applyNumberFormat="1" applyFont="1" applyFill="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7" xfId="0" quotePrefix="1" applyFont="1" applyBorder="1" applyAlignment="1">
      <alignment horizontal="center" vertical="center" wrapText="1"/>
    </xf>
    <xf numFmtId="49" fontId="5" fillId="0" borderId="117" xfId="3" applyNumberFormat="1" applyFont="1" applyFill="1" applyBorder="1" applyAlignment="1">
      <alignment horizontal="center" vertical="center"/>
    </xf>
    <xf numFmtId="0" fontId="5" fillId="0" borderId="117" xfId="0" applyFont="1" applyBorder="1" applyAlignment="1">
      <alignment horizontal="center" vertical="center" shrinkToFit="1"/>
    </xf>
    <xf numFmtId="164" fontId="5" fillId="0" borderId="117" xfId="0" applyNumberFormat="1" applyFont="1" applyBorder="1" applyAlignment="1">
      <alignment horizontal="center" vertical="center"/>
    </xf>
    <xf numFmtId="164" fontId="5" fillId="0" borderId="118" xfId="0" applyNumberFormat="1" applyFont="1" applyBorder="1" applyAlignment="1">
      <alignment horizontal="center" vertical="center"/>
    </xf>
    <xf numFmtId="0" fontId="5" fillId="0" borderId="124" xfId="0" quotePrefix="1" applyFont="1" applyBorder="1" applyAlignment="1">
      <alignment horizontal="center" vertical="center"/>
    </xf>
    <xf numFmtId="0" fontId="5" fillId="0" borderId="126" xfId="0" applyFont="1" applyBorder="1" applyAlignment="1">
      <alignment horizontal="center" vertical="center"/>
    </xf>
    <xf numFmtId="0" fontId="5" fillId="0" borderId="40" xfId="0" quotePrefix="1" applyFont="1" applyBorder="1" applyAlignment="1">
      <alignment horizontal="center" vertical="center"/>
    </xf>
    <xf numFmtId="0" fontId="5" fillId="0" borderId="64" xfId="0" applyFont="1" applyBorder="1" applyAlignment="1">
      <alignment horizontal="left" vertical="center" shrinkToFit="1"/>
    </xf>
    <xf numFmtId="0" fontId="5" fillId="0" borderId="52" xfId="0" quotePrefix="1" applyFont="1" applyBorder="1" applyAlignment="1">
      <alignment horizontal="left" vertical="center" shrinkToFit="1"/>
    </xf>
    <xf numFmtId="1" fontId="5" fillId="0" borderId="49" xfId="0" applyNumberFormat="1" applyFont="1" applyBorder="1" applyAlignment="1">
      <alignment horizontal="center" vertical="center" shrinkToFit="1"/>
    </xf>
    <xf numFmtId="0" fontId="8" fillId="0" borderId="12" xfId="0" applyFont="1" applyBorder="1" applyAlignment="1">
      <alignment horizontal="center" vertical="center"/>
    </xf>
    <xf numFmtId="0" fontId="8" fillId="15" borderId="32" xfId="0" applyFont="1" applyFill="1" applyBorder="1" applyAlignment="1">
      <alignment horizontal="center" vertical="center" wrapText="1"/>
    </xf>
    <xf numFmtId="0" fontId="8" fillId="15" borderId="35" xfId="0" applyFont="1" applyFill="1" applyBorder="1" applyAlignment="1">
      <alignment horizontal="center" vertical="center"/>
    </xf>
    <xf numFmtId="0" fontId="5" fillId="0" borderId="128" xfId="0" applyFont="1" applyBorder="1" applyAlignment="1">
      <alignment horizontal="center" vertical="center" shrinkToFit="1"/>
    </xf>
    <xf numFmtId="1" fontId="5" fillId="0" borderId="63" xfId="0" applyNumberFormat="1" applyFont="1" applyBorder="1" applyAlignment="1">
      <alignment horizontal="center" vertical="center" shrinkToFit="1"/>
    </xf>
    <xf numFmtId="164" fontId="5" fillId="0" borderId="63" xfId="0" applyNumberFormat="1" applyFont="1" applyBorder="1" applyAlignment="1">
      <alignment horizontal="center" vertical="center" shrinkToFit="1"/>
    </xf>
    <xf numFmtId="0" fontId="5" fillId="0" borderId="129" xfId="0" applyFont="1" applyBorder="1" applyAlignment="1">
      <alignment horizontal="left" vertical="center"/>
    </xf>
    <xf numFmtId="0" fontId="5" fillId="0" borderId="130" xfId="0" applyFont="1" applyBorder="1" applyAlignment="1">
      <alignment horizontal="center" vertical="center" shrinkToFit="1"/>
    </xf>
    <xf numFmtId="0" fontId="5" fillId="0" borderId="105" xfId="0" applyFont="1" applyBorder="1" applyAlignment="1">
      <alignment horizontal="center" vertical="center" shrinkToFit="1"/>
    </xf>
    <xf numFmtId="1" fontId="5" fillId="0" borderId="55" xfId="0" applyNumberFormat="1" applyFont="1" applyBorder="1" applyAlignment="1">
      <alignment horizontal="center" vertical="center" shrinkToFit="1"/>
    </xf>
    <xf numFmtId="0" fontId="5" fillId="0" borderId="131" xfId="0" applyFont="1" applyBorder="1" applyAlignment="1">
      <alignment horizontal="left" vertical="center"/>
    </xf>
    <xf numFmtId="1" fontId="5" fillId="0" borderId="53" xfId="0" applyNumberFormat="1" applyFont="1" applyBorder="1" applyAlignment="1">
      <alignment horizontal="center" vertical="center" shrinkToFit="1"/>
    </xf>
    <xf numFmtId="0" fontId="8" fillId="14" borderId="9" xfId="0" quotePrefix="1" applyFont="1" applyFill="1" applyBorder="1" applyAlignment="1">
      <alignment horizontal="center" vertical="center"/>
    </xf>
    <xf numFmtId="49" fontId="8" fillId="6" borderId="32" xfId="0" applyNumberFormat="1" applyFont="1" applyFill="1" applyBorder="1" applyAlignment="1">
      <alignment horizontal="center" vertical="center"/>
    </xf>
    <xf numFmtId="0" fontId="8" fillId="6" borderId="37" xfId="0" quotePrefix="1" applyFont="1" applyFill="1" applyBorder="1" applyAlignment="1">
      <alignment horizontal="center" vertical="center"/>
    </xf>
    <xf numFmtId="49" fontId="12" fillId="6" borderId="32" xfId="0" applyNumberFormat="1" applyFont="1" applyFill="1" applyBorder="1" applyAlignment="1">
      <alignment horizontal="center" vertical="center"/>
    </xf>
    <xf numFmtId="0" fontId="12" fillId="6" borderId="33" xfId="0" applyFont="1" applyFill="1" applyBorder="1" applyAlignment="1">
      <alignment horizontal="center" vertical="center"/>
    </xf>
    <xf numFmtId="0" fontId="19" fillId="6" borderId="33" xfId="0" applyFont="1" applyFill="1" applyBorder="1" applyAlignment="1">
      <alignment horizontal="center" vertical="center"/>
    </xf>
    <xf numFmtId="0" fontId="19" fillId="6" borderId="4" xfId="0" applyFont="1" applyFill="1" applyBorder="1" applyAlignment="1">
      <alignment vertical="center"/>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41" fillId="9" borderId="56" xfId="0" applyFont="1" applyFill="1" applyBorder="1" applyAlignment="1">
      <alignment horizontal="center" vertical="center" wrapText="1"/>
    </xf>
    <xf numFmtId="0" fontId="44" fillId="0" borderId="52" xfId="0" applyFont="1" applyBorder="1" applyAlignment="1">
      <alignment horizontal="center"/>
    </xf>
    <xf numFmtId="0" fontId="62" fillId="17" borderId="49" xfId="0" applyFont="1" applyFill="1" applyBorder="1" applyAlignment="1">
      <alignment horizontal="centerContinuous" vertical="center"/>
    </xf>
    <xf numFmtId="0" fontId="62" fillId="17" borderId="71" xfId="0" applyFont="1" applyFill="1" applyBorder="1" applyAlignment="1">
      <alignment horizontal="centerContinuous" vertical="center"/>
    </xf>
    <xf numFmtId="0" fontId="7" fillId="3" borderId="8" xfId="0" applyFont="1" applyFill="1" applyBorder="1" applyAlignment="1">
      <alignment horizontal="right" vertical="center"/>
    </xf>
    <xf numFmtId="0" fontId="7" fillId="3" borderId="6" xfId="0" applyFont="1" applyFill="1" applyBorder="1" applyAlignment="1">
      <alignment horizontal="right"/>
    </xf>
    <xf numFmtId="0" fontId="7" fillId="3" borderId="135" xfId="0" applyFont="1" applyFill="1" applyBorder="1" applyAlignment="1">
      <alignment horizontal="right" vertical="center"/>
    </xf>
    <xf numFmtId="49" fontId="8" fillId="0" borderId="10" xfId="0" applyNumberFormat="1" applyFont="1" applyBorder="1" applyAlignment="1">
      <alignment horizontal="center" vertical="center"/>
    </xf>
    <xf numFmtId="0" fontId="4" fillId="3" borderId="136" xfId="0" applyFont="1" applyFill="1" applyBorder="1" applyAlignment="1">
      <alignment horizontal="right" vertical="center"/>
    </xf>
    <xf numFmtId="37" fontId="8" fillId="0" borderId="11" xfId="11" applyNumberFormat="1" applyFont="1" applyFill="1" applyBorder="1" applyAlignment="1">
      <alignment horizontal="centerContinuous" vertical="center"/>
    </xf>
    <xf numFmtId="0" fontId="30" fillId="3" borderId="138" xfId="0" applyFont="1" applyFill="1" applyBorder="1" applyAlignment="1">
      <alignment horizontal="right" vertical="center"/>
    </xf>
    <xf numFmtId="0" fontId="7" fillId="7" borderId="4" xfId="0" applyFont="1" applyFill="1" applyBorder="1" applyAlignment="1">
      <alignment horizontal="right" vertical="center"/>
    </xf>
    <xf numFmtId="0" fontId="8" fillId="7" borderId="0" xfId="0" applyFont="1" applyFill="1" applyAlignment="1">
      <alignment horizontal="centerContinuous" vertical="center"/>
    </xf>
    <xf numFmtId="0" fontId="7" fillId="7" borderId="0" xfId="0" applyFont="1" applyFill="1" applyAlignment="1">
      <alignment horizontal="right" vertical="center"/>
    </xf>
    <xf numFmtId="0" fontId="8" fillId="7" borderId="0" xfId="0" applyFont="1" applyFill="1" applyAlignment="1">
      <alignment horizontal="center" vertical="center"/>
    </xf>
    <xf numFmtId="0" fontId="7" fillId="3" borderId="139" xfId="0" applyFont="1" applyFill="1" applyBorder="1" applyAlignment="1">
      <alignment horizontal="right" vertical="center"/>
    </xf>
    <xf numFmtId="49" fontId="8" fillId="0" borderId="7" xfId="0" applyNumberFormat="1" applyFont="1" applyBorder="1" applyAlignment="1">
      <alignment horizontal="center" vertical="center"/>
    </xf>
    <xf numFmtId="0" fontId="8" fillId="6" borderId="33" xfId="0" applyFont="1" applyFill="1" applyBorder="1" applyAlignment="1">
      <alignment horizontal="center" vertical="center"/>
    </xf>
    <xf numFmtId="0" fontId="5" fillId="0" borderId="125" xfId="0" applyFont="1" applyBorder="1" applyAlignment="1">
      <alignment horizontal="center" vertical="center" shrinkToFit="1"/>
    </xf>
    <xf numFmtId="0" fontId="5" fillId="0" borderId="126" xfId="0" quotePrefix="1" applyFont="1" applyBorder="1" applyAlignment="1">
      <alignment horizontal="center" vertical="center"/>
    </xf>
    <xf numFmtId="9" fontId="5" fillId="0" borderId="126" xfId="0" applyNumberFormat="1" applyFont="1" applyBorder="1" applyAlignment="1">
      <alignment horizontal="center" vertical="center"/>
    </xf>
    <xf numFmtId="49" fontId="5" fillId="0" borderId="126" xfId="0" quotePrefix="1" applyNumberFormat="1" applyFont="1" applyBorder="1" applyAlignment="1">
      <alignment horizontal="center" vertical="center"/>
    </xf>
    <xf numFmtId="164" fontId="5" fillId="0" borderId="126" xfId="0" applyNumberFormat="1" applyFont="1" applyBorder="1" applyAlignment="1">
      <alignment horizontal="center" vertical="center"/>
    </xf>
    <xf numFmtId="164" fontId="5" fillId="0" borderId="127" xfId="0" applyNumberFormat="1" applyFont="1" applyBorder="1" applyAlignment="1">
      <alignment horizontal="centerContinuous" vertical="center"/>
    </xf>
    <xf numFmtId="164" fontId="5" fillId="0" borderId="140" xfId="0" applyNumberFormat="1" applyFont="1" applyBorder="1" applyAlignment="1">
      <alignment horizontal="centerContinuous" vertical="center"/>
    </xf>
    <xf numFmtId="0" fontId="5" fillId="0" borderId="141" xfId="0" quotePrefix="1" applyFont="1" applyBorder="1" applyAlignment="1">
      <alignment horizontal="centerContinuous" vertical="center"/>
    </xf>
    <xf numFmtId="0" fontId="8" fillId="0" borderId="49" xfId="0" applyFont="1" applyBorder="1" applyAlignment="1">
      <alignment horizontal="center" vertical="center"/>
    </xf>
    <xf numFmtId="0" fontId="8" fillId="0" borderId="71" xfId="0" applyFont="1" applyBorder="1" applyAlignment="1">
      <alignment horizontal="center" vertical="center"/>
    </xf>
    <xf numFmtId="0" fontId="8" fillId="0" borderId="71" xfId="0" applyFont="1" applyBorder="1" applyAlignment="1">
      <alignment horizontal="centerContinuous" vertical="center"/>
    </xf>
    <xf numFmtId="0" fontId="8" fillId="16" borderId="71" xfId="0" applyFont="1" applyFill="1" applyBorder="1" applyAlignment="1">
      <alignment horizontal="center" vertical="center"/>
    </xf>
    <xf numFmtId="0" fontId="8" fillId="16" borderId="49" xfId="0" applyFont="1" applyFill="1" applyBorder="1" applyAlignment="1">
      <alignment horizontal="center" vertical="center"/>
    </xf>
    <xf numFmtId="0" fontId="8" fillId="16" borderId="53" xfId="0" applyFont="1" applyFill="1" applyBorder="1" applyAlignment="1">
      <alignment horizontal="center" vertical="center"/>
    </xf>
    <xf numFmtId="0" fontId="63" fillId="2" borderId="3" xfId="2" applyFont="1" applyFill="1" applyBorder="1" applyAlignment="1" applyProtection="1">
      <alignment horizontal="right" vertical="center"/>
    </xf>
    <xf numFmtId="9" fontId="5" fillId="0" borderId="0" xfId="10" applyFont="1" applyBorder="1" applyAlignment="1">
      <alignment horizontal="center" vertical="center"/>
    </xf>
    <xf numFmtId="0" fontId="49" fillId="5" borderId="142" xfId="0" applyFont="1" applyFill="1" applyBorder="1" applyAlignment="1">
      <alignment horizontal="center" vertical="center"/>
    </xf>
    <xf numFmtId="164" fontId="49" fillId="5" borderId="143" xfId="0" applyNumberFormat="1" applyFont="1" applyFill="1" applyBorder="1" applyAlignment="1">
      <alignment horizontal="center" vertical="center"/>
    </xf>
    <xf numFmtId="0" fontId="49" fillId="5" borderId="142" xfId="0" applyFont="1" applyFill="1" applyBorder="1" applyAlignment="1">
      <alignment horizontal="right" vertical="center"/>
    </xf>
    <xf numFmtId="0" fontId="49" fillId="5" borderId="144" xfId="0" applyFont="1" applyFill="1" applyBorder="1" applyAlignment="1">
      <alignment vertical="center"/>
    </xf>
    <xf numFmtId="164" fontId="49" fillId="5" borderId="45" xfId="0" applyNumberFormat="1" applyFont="1" applyFill="1" applyBorder="1" applyAlignment="1">
      <alignment horizontal="center" vertical="center"/>
    </xf>
    <xf numFmtId="0" fontId="5" fillId="0" borderId="123" xfId="0" quotePrefix="1" applyFont="1" applyBorder="1" applyAlignment="1">
      <alignment horizontal="left" vertical="center"/>
    </xf>
    <xf numFmtId="0" fontId="26" fillId="18" borderId="30" xfId="0" applyFont="1" applyFill="1" applyBorder="1" applyAlignment="1">
      <alignment horizontal="center" vertical="center" wrapText="1"/>
    </xf>
    <xf numFmtId="0" fontId="29" fillId="18" borderId="33" xfId="0" applyFont="1" applyFill="1" applyBorder="1" applyAlignment="1">
      <alignment horizontal="center" vertical="center"/>
    </xf>
    <xf numFmtId="0" fontId="29" fillId="18" borderId="35" xfId="0" applyFont="1" applyFill="1" applyBorder="1" applyAlignment="1">
      <alignment horizontal="center" vertical="center"/>
    </xf>
    <xf numFmtId="0" fontId="29" fillId="18" borderId="38" xfId="0" applyFont="1" applyFill="1" applyBorder="1" applyAlignment="1">
      <alignment horizontal="center" vertical="center"/>
    </xf>
    <xf numFmtId="0" fontId="15" fillId="6" borderId="4" xfId="0" applyFont="1" applyFill="1" applyBorder="1" applyAlignment="1">
      <alignment vertical="center"/>
    </xf>
    <xf numFmtId="49" fontId="31" fillId="6" borderId="32" xfId="0" applyNumberFormat="1" applyFont="1" applyFill="1" applyBorder="1" applyAlignment="1">
      <alignment horizontal="center" vertical="center"/>
    </xf>
    <xf numFmtId="0" fontId="31" fillId="6" borderId="33" xfId="0" applyFont="1" applyFill="1" applyBorder="1" applyAlignment="1">
      <alignment horizontal="center" vertical="center"/>
    </xf>
    <xf numFmtId="0" fontId="15" fillId="6" borderId="33" xfId="0" applyFont="1" applyFill="1" applyBorder="1" applyAlignment="1">
      <alignment horizontal="center" vertical="center"/>
    </xf>
    <xf numFmtId="0" fontId="5" fillId="0" borderId="145" xfId="0" applyFont="1" applyBorder="1" applyAlignment="1">
      <alignment horizontal="center" vertical="center" shrinkToFit="1"/>
    </xf>
    <xf numFmtId="0" fontId="5" fillId="0" borderId="115" xfId="0" applyFont="1" applyBorder="1" applyAlignment="1">
      <alignment horizontal="center" vertical="center" shrinkToFit="1"/>
    </xf>
    <xf numFmtId="0" fontId="5" fillId="0" borderId="115" xfId="0" applyFont="1" applyBorder="1" applyAlignment="1">
      <alignment horizontal="left" vertical="center"/>
    </xf>
    <xf numFmtId="1" fontId="5" fillId="0" borderId="83" xfId="0" applyNumberFormat="1" applyFont="1" applyBorder="1" applyAlignment="1">
      <alignment horizontal="center" vertical="center" shrinkToFit="1"/>
    </xf>
    <xf numFmtId="1" fontId="5" fillId="0" borderId="146" xfId="0" applyNumberFormat="1" applyFont="1" applyBorder="1" applyAlignment="1">
      <alignment horizontal="center" vertical="center" shrinkToFit="1"/>
    </xf>
    <xf numFmtId="1" fontId="5" fillId="0" borderId="71" xfId="0" applyNumberFormat="1" applyFont="1" applyBorder="1" applyAlignment="1">
      <alignment horizontal="center" vertical="center" shrinkToFit="1"/>
    </xf>
    <xf numFmtId="1" fontId="8" fillId="0" borderId="9" xfId="0" applyNumberFormat="1" applyFont="1" applyBorder="1" applyAlignment="1">
      <alignment horizontal="centerContinuous" vertical="center"/>
    </xf>
    <xf numFmtId="1" fontId="5" fillId="0" borderId="134" xfId="0" applyNumberFormat="1" applyFont="1" applyBorder="1" applyAlignment="1">
      <alignment horizontal="centerContinuous" vertical="center"/>
    </xf>
    <xf numFmtId="0" fontId="8" fillId="0" borderId="137" xfId="0" applyFont="1" applyBorder="1" applyAlignment="1">
      <alignment horizontal="centerContinuous" vertical="center"/>
    </xf>
    <xf numFmtId="0" fontId="10" fillId="0" borderId="13" xfId="0" applyFont="1" applyBorder="1" applyAlignment="1">
      <alignment horizontal="center" vertical="center"/>
    </xf>
    <xf numFmtId="49" fontId="10" fillId="0" borderId="9" xfId="0" applyNumberFormat="1" applyFont="1" applyBorder="1" applyAlignment="1">
      <alignment horizontal="center" vertical="center"/>
    </xf>
    <xf numFmtId="49" fontId="10" fillId="0" borderId="11" xfId="0" applyNumberFormat="1" applyFont="1" applyBorder="1" applyAlignment="1">
      <alignment horizontal="center" vertical="center"/>
    </xf>
    <xf numFmtId="1" fontId="5" fillId="14" borderId="147" xfId="0" applyNumberFormat="1" applyFont="1" applyFill="1" applyBorder="1" applyAlignment="1">
      <alignment horizontal="center" vertical="center"/>
    </xf>
    <xf numFmtId="1" fontId="5" fillId="14" borderId="123" xfId="0" applyNumberFormat="1" applyFont="1" applyFill="1" applyBorder="1" applyAlignment="1">
      <alignment horizontal="center" vertical="center"/>
    </xf>
    <xf numFmtId="0" fontId="49" fillId="10" borderId="87" xfId="0" applyFont="1" applyFill="1" applyBorder="1" applyAlignment="1">
      <alignment horizontal="center" vertical="center"/>
    </xf>
    <xf numFmtId="1" fontId="5" fillId="14" borderId="148" xfId="0" applyNumberFormat="1" applyFont="1" applyFill="1" applyBorder="1" applyAlignment="1">
      <alignment horizontal="center" vertical="center"/>
    </xf>
    <xf numFmtId="1" fontId="5" fillId="14" borderId="50" xfId="0" applyNumberFormat="1" applyFont="1" applyFill="1" applyBorder="1" applyAlignment="1">
      <alignment horizontal="center" vertical="center"/>
    </xf>
    <xf numFmtId="1" fontId="5" fillId="0" borderId="119" xfId="0" applyNumberFormat="1" applyFont="1" applyBorder="1" applyAlignment="1">
      <alignment horizontal="center" vertical="center"/>
    </xf>
    <xf numFmtId="1" fontId="5" fillId="0" borderId="25" xfId="0" applyNumberFormat="1" applyFont="1" applyBorder="1" applyAlignment="1">
      <alignment horizontal="center" vertical="center"/>
    </xf>
    <xf numFmtId="0" fontId="50" fillId="18" borderId="107" xfId="0" applyFont="1" applyFill="1" applyBorder="1" applyAlignment="1">
      <alignment horizontal="center" vertical="center"/>
    </xf>
    <xf numFmtId="1" fontId="51" fillId="18" borderId="85" xfId="0" applyNumberFormat="1" applyFont="1" applyFill="1" applyBorder="1" applyAlignment="1">
      <alignment horizontal="center" vertical="center"/>
    </xf>
    <xf numFmtId="1" fontId="51" fillId="18" borderId="80" xfId="0" applyNumberFormat="1" applyFont="1" applyFill="1" applyBorder="1" applyAlignment="1">
      <alignment horizontal="center" vertical="center"/>
    </xf>
    <xf numFmtId="1" fontId="51" fillId="18" borderId="117" xfId="0" applyNumberFormat="1" applyFont="1" applyFill="1" applyBorder="1" applyAlignment="1">
      <alignment horizontal="center" vertical="center"/>
    </xf>
    <xf numFmtId="1" fontId="51" fillId="18" borderId="38" xfId="0" applyNumberFormat="1" applyFont="1" applyFill="1" applyBorder="1" applyAlignment="1">
      <alignment horizontal="center" vertical="center"/>
    </xf>
    <xf numFmtId="1" fontId="5" fillId="0" borderId="149" xfId="0" applyNumberFormat="1" applyFont="1" applyBorder="1" applyAlignment="1">
      <alignment horizontal="center" vertical="center"/>
    </xf>
    <xf numFmtId="1" fontId="5" fillId="14" borderId="104" xfId="0" applyNumberFormat="1" applyFont="1" applyFill="1" applyBorder="1" applyAlignment="1">
      <alignment horizontal="center" vertical="center"/>
    </xf>
    <xf numFmtId="1" fontId="51" fillId="18" borderId="76" xfId="0" applyNumberFormat="1" applyFont="1" applyFill="1" applyBorder="1" applyAlignment="1">
      <alignment horizontal="center" vertical="center"/>
    </xf>
    <xf numFmtId="1" fontId="51" fillId="18" borderId="32" xfId="0" applyNumberFormat="1" applyFont="1" applyFill="1" applyBorder="1" applyAlignment="1">
      <alignment horizontal="center" vertical="center"/>
    </xf>
    <xf numFmtId="0" fontId="5" fillId="14" borderId="8" xfId="0" applyFont="1" applyFill="1" applyBorder="1" applyAlignment="1">
      <alignment horizontal="center" vertical="center"/>
    </xf>
    <xf numFmtId="0" fontId="5" fillId="14" borderId="32" xfId="0" applyFont="1" applyFill="1" applyBorder="1" applyAlignment="1">
      <alignment horizontal="center" vertical="center"/>
    </xf>
    <xf numFmtId="0" fontId="5" fillId="14" borderId="32" xfId="0" quotePrefix="1" applyFont="1" applyFill="1" applyBorder="1" applyAlignment="1">
      <alignment horizontal="center" vertical="center" wrapText="1"/>
    </xf>
    <xf numFmtId="49" fontId="5" fillId="14" borderId="32" xfId="3" applyNumberFormat="1" applyFont="1" applyFill="1" applyBorder="1" applyAlignment="1">
      <alignment horizontal="center" vertical="center"/>
    </xf>
    <xf numFmtId="0" fontId="5" fillId="14" borderId="32" xfId="0" applyFont="1" applyFill="1" applyBorder="1" applyAlignment="1">
      <alignment horizontal="center" vertical="center" shrinkToFit="1"/>
    </xf>
    <xf numFmtId="164" fontId="5" fillId="14" borderId="32" xfId="0" applyNumberFormat="1" applyFont="1" applyFill="1" applyBorder="1" applyAlignment="1">
      <alignment horizontal="center" vertical="center"/>
    </xf>
    <xf numFmtId="164" fontId="5" fillId="14" borderId="33" xfId="0" applyNumberFormat="1" applyFont="1" applyFill="1" applyBorder="1" applyAlignment="1">
      <alignment horizontal="center" vertical="center"/>
    </xf>
    <xf numFmtId="1" fontId="5" fillId="14" borderId="0" xfId="0" applyNumberFormat="1" applyFont="1" applyFill="1" applyAlignment="1">
      <alignment horizontal="center" vertical="center"/>
    </xf>
    <xf numFmtId="0" fontId="5" fillId="14" borderId="37" xfId="0" applyFont="1" applyFill="1" applyBorder="1" applyAlignment="1">
      <alignment horizontal="center" vertical="center"/>
    </xf>
    <xf numFmtId="0" fontId="5" fillId="0" borderId="38" xfId="0" quotePrefix="1" applyFont="1" applyBorder="1" applyAlignment="1">
      <alignment horizontal="center" vertical="center" wrapText="1"/>
    </xf>
    <xf numFmtId="49" fontId="5" fillId="0" borderId="38" xfId="3" applyNumberFormat="1" applyFont="1" applyFill="1" applyBorder="1" applyAlignment="1">
      <alignment horizontal="center" vertical="center"/>
    </xf>
    <xf numFmtId="0" fontId="5" fillId="0" borderId="38" xfId="0" applyFont="1" applyBorder="1" applyAlignment="1">
      <alignment horizontal="center" vertical="center" shrinkToFit="1"/>
    </xf>
    <xf numFmtId="164" fontId="5" fillId="0" borderId="38" xfId="0" applyNumberFormat="1" applyFont="1" applyBorder="1" applyAlignment="1">
      <alignment horizontal="center" vertical="center"/>
    </xf>
    <xf numFmtId="0" fontId="5" fillId="0" borderId="40" xfId="0" applyFont="1" applyBorder="1" applyAlignment="1">
      <alignment horizontal="center" vertical="center"/>
    </xf>
    <xf numFmtId="1" fontId="51" fillId="19" borderId="38" xfId="0" applyNumberFormat="1" applyFont="1" applyFill="1" applyBorder="1" applyAlignment="1">
      <alignment horizontal="center" vertical="center"/>
    </xf>
    <xf numFmtId="0" fontId="9" fillId="6" borderId="4" xfId="0" applyFont="1" applyFill="1" applyBorder="1" applyAlignment="1">
      <alignment vertical="center"/>
    </xf>
    <xf numFmtId="49" fontId="13" fillId="6" borderId="32" xfId="0" applyNumberFormat="1" applyFont="1" applyFill="1" applyBorder="1" applyAlignment="1">
      <alignment horizontal="center" vertical="center"/>
    </xf>
    <xf numFmtId="0" fontId="13" fillId="6" borderId="33" xfId="0" applyFont="1" applyFill="1" applyBorder="1" applyAlignment="1">
      <alignment horizontal="center" vertical="center"/>
    </xf>
    <xf numFmtId="0" fontId="9" fillId="6" borderId="33" xfId="0" applyFont="1" applyFill="1" applyBorder="1" applyAlignment="1">
      <alignment horizontal="center" vertical="center"/>
    </xf>
    <xf numFmtId="1" fontId="5" fillId="0" borderId="70" xfId="0" applyNumberFormat="1" applyFont="1" applyBorder="1" applyAlignment="1">
      <alignment horizontal="center" vertical="center"/>
    </xf>
    <xf numFmtId="1" fontId="5" fillId="0" borderId="50" xfId="0" applyNumberFormat="1" applyFont="1" applyBorder="1" applyAlignment="1">
      <alignment horizontal="center" vertical="center" shrinkToFit="1"/>
    </xf>
    <xf numFmtId="0" fontId="5" fillId="0" borderId="125" xfId="0" applyFont="1" applyBorder="1" applyAlignment="1">
      <alignment horizontal="center" vertical="center"/>
    </xf>
    <xf numFmtId="0" fontId="5" fillId="7" borderId="126" xfId="0" applyFont="1" applyFill="1" applyBorder="1" applyAlignment="1">
      <alignment horizontal="center" vertical="center"/>
    </xf>
    <xf numFmtId="0" fontId="5" fillId="7" borderId="126" xfId="0" quotePrefix="1" applyFont="1" applyFill="1" applyBorder="1" applyAlignment="1">
      <alignment horizontal="center" vertical="center" wrapText="1"/>
    </xf>
    <xf numFmtId="49" fontId="5" fillId="7" borderId="126" xfId="10" applyNumberFormat="1" applyFont="1" applyFill="1" applyBorder="1" applyAlignment="1">
      <alignment horizontal="center" vertical="center"/>
    </xf>
    <xf numFmtId="0" fontId="5" fillId="7" borderId="126" xfId="0" applyFont="1" applyFill="1" applyBorder="1" applyAlignment="1">
      <alignment horizontal="center" vertical="center" shrinkToFit="1"/>
    </xf>
    <xf numFmtId="164" fontId="5" fillId="7" borderId="126" xfId="0" applyNumberFormat="1" applyFont="1" applyFill="1" applyBorder="1" applyAlignment="1">
      <alignment horizontal="center" vertical="center"/>
    </xf>
    <xf numFmtId="1" fontId="5" fillId="7" borderId="127" xfId="0" applyNumberFormat="1" applyFont="1" applyFill="1" applyBorder="1" applyAlignment="1">
      <alignment horizontal="center" vertical="center"/>
    </xf>
    <xf numFmtId="1" fontId="51" fillId="18" borderId="127" xfId="0" applyNumberFormat="1" applyFont="1" applyFill="1" applyBorder="1" applyAlignment="1">
      <alignment horizontal="center" vertical="center"/>
    </xf>
    <xf numFmtId="0" fontId="5" fillId="0" borderId="150" xfId="0" quotePrefix="1" applyFont="1" applyBorder="1" applyAlignment="1">
      <alignment horizontal="center" vertical="center"/>
    </xf>
    <xf numFmtId="49" fontId="8" fillId="20" borderId="19" xfId="0" applyNumberFormat="1" applyFont="1" applyFill="1" applyBorder="1" applyAlignment="1">
      <alignment horizontal="center" vertical="center"/>
    </xf>
    <xf numFmtId="0" fontId="64" fillId="2" borderId="1" xfId="0" applyFont="1" applyFill="1" applyBorder="1" applyAlignment="1">
      <alignment horizontal="right" vertical="center"/>
    </xf>
    <xf numFmtId="1" fontId="8" fillId="20" borderId="133" xfId="0" applyNumberFormat="1" applyFont="1" applyFill="1" applyBorder="1" applyAlignment="1">
      <alignment horizontal="centerContinuous"/>
    </xf>
    <xf numFmtId="0" fontId="5" fillId="20" borderId="132" xfId="0" applyFont="1" applyFill="1" applyBorder="1" applyAlignment="1">
      <alignment horizontal="centerContinuous"/>
    </xf>
    <xf numFmtId="0" fontId="5" fillId="0" borderId="130" xfId="0" applyFont="1" applyBorder="1" applyAlignment="1">
      <alignment horizontal="centerContinuous" vertical="center" shrinkToFit="1"/>
    </xf>
    <xf numFmtId="0" fontId="49" fillId="0" borderId="119" xfId="0" applyFont="1" applyBorder="1" applyAlignment="1">
      <alignment horizontal="centerContinuous" vertical="center"/>
    </xf>
    <xf numFmtId="0" fontId="65" fillId="2" borderId="15" xfId="0" applyFont="1" applyFill="1" applyBorder="1" applyAlignment="1">
      <alignment horizontal="right" vertical="center"/>
    </xf>
    <xf numFmtId="0" fontId="62" fillId="21" borderId="71" xfId="0" applyFont="1" applyFill="1" applyBorder="1" applyAlignment="1">
      <alignment horizontal="center" vertical="center"/>
    </xf>
    <xf numFmtId="0" fontId="62" fillId="21" borderId="69" xfId="0" quotePrefix="1" applyFont="1" applyFill="1" applyBorder="1" applyAlignment="1">
      <alignment horizontal="centerContinuous" vertical="center"/>
    </xf>
    <xf numFmtId="0" fontId="8" fillId="6" borderId="32" xfId="0" applyFont="1" applyFill="1" applyBorder="1" applyAlignment="1">
      <alignment horizontal="center" vertical="center"/>
    </xf>
    <xf numFmtId="0" fontId="8" fillId="7" borderId="32" xfId="0" applyFont="1" applyFill="1" applyBorder="1" applyAlignment="1">
      <alignment horizontal="center" vertical="center"/>
    </xf>
    <xf numFmtId="0" fontId="5" fillId="0" borderId="0" xfId="0" applyFont="1" applyAlignment="1">
      <alignment horizontal="center" vertical="center" shrinkToFit="1"/>
    </xf>
    <xf numFmtId="0" fontId="61" fillId="0" borderId="0" xfId="0" applyFont="1" applyAlignment="1">
      <alignment vertical="center"/>
    </xf>
    <xf numFmtId="0" fontId="5" fillId="0" borderId="0" xfId="0" applyFont="1" applyAlignment="1">
      <alignment horizontal="left" vertical="center" shrinkToFit="1"/>
    </xf>
    <xf numFmtId="0" fontId="8" fillId="20" borderId="9" xfId="0" applyFont="1" applyFill="1" applyBorder="1" applyAlignment="1">
      <alignment horizontal="center" vertical="center"/>
    </xf>
    <xf numFmtId="0" fontId="8" fillId="20" borderId="11" xfId="0" quotePrefix="1" applyFont="1" applyFill="1" applyBorder="1" applyAlignment="1">
      <alignment horizontal="center" vertical="center"/>
    </xf>
    <xf numFmtId="0" fontId="8" fillId="20" borderId="9" xfId="0" quotePrefix="1" applyFont="1" applyFill="1" applyBorder="1" applyAlignment="1">
      <alignment horizontal="center" vertical="center"/>
    </xf>
    <xf numFmtId="0" fontId="8" fillId="20" borderId="13" xfId="0" applyFont="1" applyFill="1" applyBorder="1" applyAlignment="1">
      <alignment horizontal="center" vertical="center"/>
    </xf>
    <xf numFmtId="0" fontId="5" fillId="22" borderId="113" xfId="0" applyFont="1" applyFill="1" applyBorder="1" applyAlignment="1">
      <alignment horizontal="center" vertical="center" shrinkToFit="1"/>
    </xf>
    <xf numFmtId="1" fontId="5" fillId="22" borderId="50" xfId="0" applyNumberFormat="1" applyFont="1" applyFill="1" applyBorder="1" applyAlignment="1">
      <alignment horizontal="center" vertical="center" shrinkToFit="1"/>
    </xf>
    <xf numFmtId="164" fontId="5" fillId="22" borderId="51" xfId="0" applyNumberFormat="1" applyFont="1" applyFill="1" applyBorder="1" applyAlignment="1">
      <alignment horizontal="center" vertical="center" shrinkToFit="1"/>
    </xf>
    <xf numFmtId="0" fontId="5" fillId="22" borderId="123" xfId="0" applyFont="1" applyFill="1" applyBorder="1" applyAlignment="1">
      <alignment horizontal="left" vertical="center"/>
    </xf>
    <xf numFmtId="0" fontId="5" fillId="22" borderId="52" xfId="0" applyFont="1" applyFill="1" applyBorder="1" applyAlignment="1">
      <alignment horizontal="left" vertical="center" shrinkToFit="1"/>
    </xf>
    <xf numFmtId="1" fontId="5" fillId="22" borderId="49" xfId="0" quotePrefix="1" applyNumberFormat="1" applyFont="1" applyFill="1" applyBorder="1" applyAlignment="1">
      <alignment horizontal="center" vertical="center" shrinkToFit="1"/>
    </xf>
  </cellXfs>
  <cellStyles count="12">
    <cellStyle name="Comma 2" xfId="11" xr:uid="{BA496A50-9084-4080-AB61-89B74A67D2D8}"/>
    <cellStyle name="Excel Built-in Normal" xfId="6" xr:uid="{00000000-0005-0000-0000-000000000000}"/>
    <cellStyle name="Hyperlink" xfId="2" builtinId="8"/>
    <cellStyle name="Normal" xfId="0" builtinId="0"/>
    <cellStyle name="Normal 2" xfId="7" xr:uid="{00000000-0005-0000-0000-000003000000}"/>
    <cellStyle name="Normal 2 2" xfId="8" xr:uid="{00000000-0005-0000-0000-000004000000}"/>
    <cellStyle name="Normal 3" xfId="4" xr:uid="{00000000-0005-0000-0000-000005000000}"/>
    <cellStyle name="Normal 4" xfId="5" xr:uid="{00000000-0005-0000-0000-000006000000}"/>
    <cellStyle name="Normal 5" xfId="9" xr:uid="{00000000-0005-0000-0000-000007000000}"/>
    <cellStyle name="Percent" xfId="1" builtinId="5"/>
    <cellStyle name="Percent 2" xfId="10" xr:uid="{00000000-0005-0000-0000-000009000000}"/>
    <cellStyle name="Percent 2 2" xfId="3" xr:uid="{00000000-0005-0000-0000-00000A000000}"/>
  </cellStyles>
  <dxfs count="70">
    <dxf>
      <fill>
        <patternFill>
          <bgColor rgb="FFFF0000"/>
        </patternFill>
      </fill>
    </dxf>
    <dxf>
      <font>
        <color rgb="FFFF0000"/>
      </font>
    </dxf>
    <dxf>
      <font>
        <color rgb="FFFF0000"/>
      </font>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rgb="FF99FF99"/>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33FF"/>
      <color rgb="FF9966FF"/>
      <color rgb="FF99FF99"/>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53340</xdr:colOff>
      <xdr:row>17</xdr:row>
      <xdr:rowOff>45720</xdr:rowOff>
    </xdr:from>
    <xdr:to>
      <xdr:col>6</xdr:col>
      <xdr:colOff>1143000</xdr:colOff>
      <xdr:row>22</xdr:row>
      <xdr:rowOff>152400</xdr:rowOff>
    </xdr:to>
    <xdr:sp macro="" textlink="">
      <xdr:nvSpPr>
        <xdr:cNvPr id="2" name="Text 6">
          <a:extLst>
            <a:ext uri="{FF2B5EF4-FFF2-40B4-BE49-F238E27FC236}">
              <a16:creationId xmlns:a16="http://schemas.microsoft.com/office/drawing/2014/main" id="{00000000-0008-0000-0000-000002000000}"/>
            </a:ext>
          </a:extLst>
        </xdr:cNvPr>
        <xdr:cNvSpPr txBox="1">
          <a:spLocks noChangeArrowheads="1"/>
        </xdr:cNvSpPr>
      </xdr:nvSpPr>
      <xdr:spPr bwMode="auto">
        <a:xfrm>
          <a:off x="53340" y="3756660"/>
          <a:ext cx="6141720" cy="6728460"/>
        </a:xfrm>
        <a:prstGeom prst="rect">
          <a:avLst/>
        </a:prstGeom>
        <a:solidFill>
          <a:srgbClr val="FFFFFF"/>
        </a:solidFill>
        <a:ln w="9525">
          <a:noFill/>
          <a:miter lim="800000"/>
          <a:headEnd/>
          <a:tailEnd/>
        </a:ln>
      </xdr:spPr>
      <xdr:txBody>
        <a:bodyPr vertOverflow="clip" wrap="square" lIns="27432" tIns="27432" rIns="27432" bIns="0" anchor="t" upright="1"/>
        <a:lstStyle/>
        <a:p>
          <a:pPr marL="0" marR="0" lvl="0" indent="0" algn="just" defTabSz="914400" eaLnBrk="1" fontAlgn="auto" latinLnBrk="0" hangingPunct="1">
            <a:lnSpc>
              <a:spcPct val="100000"/>
            </a:lnSpc>
            <a:spcBef>
              <a:spcPts val="0"/>
            </a:spcBef>
            <a:spcAft>
              <a:spcPts val="0"/>
            </a:spcAft>
            <a:buClrTx/>
            <a:buSzTx/>
            <a:buFontTx/>
            <a:buNone/>
            <a:tabLst/>
            <a:defRPr/>
          </a:pPr>
          <a:r>
            <a:rPr lang="en-US" sz="1300">
              <a:effectLst/>
              <a:latin typeface="Times New Roman" panose="02020603050405020304" pitchFamily="18" charset="0"/>
              <a:ea typeface="+mn-ea"/>
              <a:cs typeface="Times New Roman" panose="02020603050405020304" pitchFamily="18" charset="0"/>
            </a:rPr>
            <a:t>The towering, dark-skinned, 34-year-old human archivist was from far to the south in Thesk, where he grew up in an orphanage. He was so named for his love of books and maps, and he knew no other name. From his home in Thesk, the archivist had worked his way westward across the Sea of Fallen Stars, where he settled in Westgate for a time. His studies took him even further west along the Dragon Coast and the Trader’s Road to Iriaebor. </a:t>
          </a:r>
        </a:p>
      </xdr:txBody>
    </xdr:sp>
    <xdr:clientData/>
  </xdr:twoCellAnchor>
  <xdr:twoCellAnchor>
    <xdr:from>
      <xdr:col>5</xdr:col>
      <xdr:colOff>76200</xdr:colOff>
      <xdr:row>14</xdr:row>
      <xdr:rowOff>175260</xdr:rowOff>
    </xdr:from>
    <xdr:to>
      <xdr:col>6</xdr:col>
      <xdr:colOff>1356360</xdr:colOff>
      <xdr:row>16</xdr:row>
      <xdr:rowOff>247650</xdr:rowOff>
    </xdr:to>
    <xdr:sp macro="" textlink="">
      <xdr:nvSpPr>
        <xdr:cNvPr id="4" name="Text Box 60">
          <a:extLst>
            <a:ext uri="{FF2B5EF4-FFF2-40B4-BE49-F238E27FC236}">
              <a16:creationId xmlns:a16="http://schemas.microsoft.com/office/drawing/2014/main" id="{00000000-0008-0000-0000-000004000000}"/>
            </a:ext>
          </a:extLst>
        </xdr:cNvPr>
        <xdr:cNvSpPr txBox="1">
          <a:spLocks noChangeArrowheads="1"/>
        </xdr:cNvSpPr>
      </xdr:nvSpPr>
      <xdr:spPr bwMode="auto">
        <a:xfrm>
          <a:off x="4236720" y="2926080"/>
          <a:ext cx="2697480" cy="506730"/>
        </a:xfrm>
        <a:prstGeom prst="rect">
          <a:avLst/>
        </a:prstGeom>
        <a:solidFill>
          <a:srgbClr xmlns:mc="http://schemas.openxmlformats.org/markup-compatibility/2006" xmlns:a14="http://schemas.microsoft.com/office/drawing/2010/main" val="CCFFFF" mc:Ignorable="a14" a14:legacySpreadsheetColorIndex="41">
            <a:alpha val="66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r>
            <a:rPr lang="en-US" sz="1400" b="0" i="0" u="none" strike="noStrike" baseline="0">
              <a:solidFill>
                <a:srgbClr val="000000"/>
              </a:solidFill>
              <a:latin typeface="Times New Roman"/>
              <a:cs typeface="Times New Roman"/>
            </a:rPr>
            <a:t>DR 5/piercing and slashing;</a:t>
          </a:r>
        </a:p>
        <a:p>
          <a:pPr algn="ctr" rtl="0">
            <a:defRPr sz="1000"/>
          </a:pPr>
          <a:r>
            <a:rPr lang="en-US" sz="1400" b="0" i="0" u="none" strike="noStrike" baseline="0">
              <a:solidFill>
                <a:srgbClr val="000000"/>
              </a:solidFill>
              <a:latin typeface="Times New Roman"/>
              <a:cs typeface="Times New Roman"/>
            </a:rPr>
            <a:t>Resistance (all energy types) 30</a:t>
          </a:r>
        </a:p>
      </xdr:txBody>
    </xdr:sp>
    <xdr:clientData/>
  </xdr:twoCellAnchor>
  <xdr:twoCellAnchor editAs="oneCell">
    <xdr:from>
      <xdr:col>5</xdr:col>
      <xdr:colOff>124969</xdr:colOff>
      <xdr:row>1</xdr:row>
      <xdr:rowOff>137160</xdr:rowOff>
    </xdr:from>
    <xdr:to>
      <xdr:col>6</xdr:col>
      <xdr:colOff>1309007</xdr:colOff>
      <xdr:row>12</xdr:row>
      <xdr:rowOff>30480</xdr:rowOff>
    </xdr:to>
    <xdr:pic>
      <xdr:nvPicPr>
        <xdr:cNvPr id="5" name="Picture 4">
          <a:extLst>
            <a:ext uri="{FF2B5EF4-FFF2-40B4-BE49-F238E27FC236}">
              <a16:creationId xmlns:a16="http://schemas.microsoft.com/office/drawing/2014/main" id="{940F4087-19A3-49CE-B414-AF6D5149A0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285489" y="510540"/>
          <a:ext cx="2601358" cy="2278380"/>
        </a:xfrm>
        <a:prstGeom prst="rect">
          <a:avLst/>
        </a:prstGeom>
        <a:noFill/>
        <a:ln w="38100" cmpd="dbl">
          <a:solidFill>
            <a:srgbClr val="0000FF"/>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426720</xdr:colOff>
      <xdr:row>0</xdr:row>
      <xdr:rowOff>289560</xdr:rowOff>
    </xdr:from>
    <xdr:to>
      <xdr:col>10</xdr:col>
      <xdr:colOff>358140</xdr:colOff>
      <xdr:row>20</xdr:row>
      <xdr:rowOff>121920</xdr:rowOff>
    </xdr:to>
    <xdr:sp macro="" textlink="">
      <xdr:nvSpPr>
        <xdr:cNvPr id="2" name="TextBox 1">
          <a:extLst>
            <a:ext uri="{FF2B5EF4-FFF2-40B4-BE49-F238E27FC236}">
              <a16:creationId xmlns:a16="http://schemas.microsoft.com/office/drawing/2014/main" id="{AE62BA26-1166-4241-A4B6-D1B6ECE8605A}"/>
            </a:ext>
          </a:extLst>
        </xdr:cNvPr>
        <xdr:cNvSpPr txBox="1"/>
      </xdr:nvSpPr>
      <xdr:spPr>
        <a:xfrm>
          <a:off x="8488680" y="289560"/>
          <a:ext cx="1943100" cy="403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21 Relics, single-use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Brooch of Empowerment</a:t>
          </a:r>
        </a:p>
        <a:p>
          <a:r>
            <a:rPr lang="en-US" sz="1100">
              <a:solidFill>
                <a:schemeClr val="dk1"/>
              </a:solidFill>
              <a:effectLst/>
              <a:latin typeface="+mn-lt"/>
              <a:ea typeface="+mn-ea"/>
              <a:cs typeface="+mn-cs"/>
            </a:rPr>
            <a:t>Sash of Nonlethal Substitution</a:t>
          </a:r>
        </a:p>
        <a:p>
          <a:r>
            <a:rPr lang="en-US" sz="1100">
              <a:solidFill>
                <a:schemeClr val="dk1"/>
              </a:solidFill>
              <a:effectLst/>
              <a:latin typeface="+mn-lt"/>
              <a:ea typeface="+mn-ea"/>
              <a:cs typeface="+mn-cs"/>
            </a:rPr>
            <a:t>Meathook of Corruption</a:t>
          </a:r>
        </a:p>
        <a:p>
          <a:r>
            <a:rPr lang="en-US" sz="1100">
              <a:solidFill>
                <a:schemeClr val="dk1"/>
              </a:solidFill>
              <a:effectLst/>
              <a:latin typeface="+mn-lt"/>
              <a:ea typeface="+mn-ea"/>
              <a:cs typeface="+mn-cs"/>
            </a:rPr>
            <a:t>Dildo of Violation</a:t>
          </a:r>
        </a:p>
        <a:p>
          <a:r>
            <a:rPr lang="en-US" sz="1100">
              <a:solidFill>
                <a:schemeClr val="dk1"/>
              </a:solidFill>
              <a:effectLst/>
              <a:latin typeface="+mn-lt"/>
              <a:ea typeface="+mn-ea"/>
              <a:cs typeface="+mn-cs"/>
            </a:rPr>
            <a:t>Toering of Entanglement</a:t>
          </a:r>
        </a:p>
        <a:p>
          <a:r>
            <a:rPr lang="en-US" sz="1100">
              <a:solidFill>
                <a:schemeClr val="dk1"/>
              </a:solidFill>
              <a:effectLst/>
              <a:latin typeface="+mn-lt"/>
              <a:ea typeface="+mn-ea"/>
              <a:cs typeface="+mn-cs"/>
            </a:rPr>
            <a:t>Wristwatch of Lingering</a:t>
          </a:r>
        </a:p>
        <a:p>
          <a:r>
            <a:rPr lang="en-US" sz="1100">
              <a:solidFill>
                <a:schemeClr val="dk1"/>
              </a:solidFill>
              <a:effectLst/>
              <a:latin typeface="+mn-lt"/>
              <a:ea typeface="+mn-ea"/>
              <a:cs typeface="+mn-cs"/>
            </a:rPr>
            <a:t>Icepick of Reaping</a:t>
          </a:r>
        </a:p>
        <a:p>
          <a:r>
            <a:rPr lang="en-US" sz="1100">
              <a:solidFill>
                <a:schemeClr val="dk1"/>
              </a:solidFill>
              <a:effectLst/>
              <a:latin typeface="+mn-lt"/>
              <a:ea typeface="+mn-ea"/>
              <a:cs typeface="+mn-cs"/>
            </a:rPr>
            <a:t>Glove of Deceptiveness</a:t>
          </a:r>
        </a:p>
        <a:p>
          <a:r>
            <a:rPr lang="en-US" sz="1100">
              <a:solidFill>
                <a:schemeClr val="dk1"/>
              </a:solidFill>
              <a:effectLst/>
              <a:latin typeface="+mn-lt"/>
              <a:ea typeface="+mn-ea"/>
              <a:cs typeface="+mn-cs"/>
            </a:rPr>
            <a:t>Monocle of Invisibility</a:t>
          </a:r>
        </a:p>
        <a:p>
          <a:r>
            <a:rPr lang="en-US" sz="1100">
              <a:solidFill>
                <a:schemeClr val="dk1"/>
              </a:solidFill>
              <a:effectLst/>
              <a:latin typeface="+mn-lt"/>
              <a:ea typeface="+mn-ea"/>
              <a:cs typeface="+mn-cs"/>
            </a:rPr>
            <a:t>Chisel of Sculpting</a:t>
          </a:r>
        </a:p>
        <a:p>
          <a:r>
            <a:rPr lang="en-US" sz="1100">
              <a:solidFill>
                <a:schemeClr val="dk1"/>
              </a:solidFill>
              <a:effectLst/>
              <a:latin typeface="+mn-lt"/>
              <a:ea typeface="+mn-ea"/>
              <a:cs typeface="+mn-cs"/>
            </a:rPr>
            <a:t>Anklet of Chaining</a:t>
          </a:r>
        </a:p>
        <a:p>
          <a:r>
            <a:rPr lang="en-US" sz="1100">
              <a:solidFill>
                <a:schemeClr val="dk1"/>
              </a:solidFill>
              <a:effectLst/>
              <a:latin typeface="+mn-lt"/>
              <a:ea typeface="+mn-ea"/>
              <a:cs typeface="+mn-cs"/>
            </a:rPr>
            <a:t>Hourglass of Delay</a:t>
          </a:r>
        </a:p>
        <a:p>
          <a:r>
            <a:rPr lang="en-US" sz="1100">
              <a:solidFill>
                <a:schemeClr val="dk1"/>
              </a:solidFill>
              <a:effectLst/>
              <a:latin typeface="+mn-lt"/>
              <a:ea typeface="+mn-ea"/>
              <a:cs typeface="+mn-cs"/>
            </a:rPr>
            <a:t>Earpiece of Repetition</a:t>
          </a:r>
        </a:p>
        <a:p>
          <a:r>
            <a:rPr lang="en-US" sz="1100">
              <a:solidFill>
                <a:schemeClr val="dk1"/>
              </a:solidFill>
              <a:effectLst/>
              <a:latin typeface="+mn-lt"/>
              <a:ea typeface="+mn-ea"/>
              <a:cs typeface="+mn-cs"/>
            </a:rPr>
            <a:t>Tape of Extension</a:t>
          </a:r>
        </a:p>
        <a:p>
          <a:r>
            <a:rPr lang="en-US" sz="1100">
              <a:solidFill>
                <a:schemeClr val="dk1"/>
              </a:solidFill>
              <a:effectLst/>
              <a:latin typeface="+mn-lt"/>
              <a:ea typeface="+mn-ea"/>
              <a:cs typeface="+mn-cs"/>
            </a:rPr>
            <a:t>Whistle of Silence</a:t>
          </a:r>
        </a:p>
        <a:p>
          <a:r>
            <a:rPr lang="en-US" sz="1100">
              <a:solidFill>
                <a:schemeClr val="dk1"/>
              </a:solidFill>
              <a:effectLst/>
              <a:latin typeface="+mn-lt"/>
              <a:ea typeface="+mn-ea"/>
              <a:cs typeface="+mn-cs"/>
            </a:rPr>
            <a:t>Rattle of Stillness</a:t>
          </a:r>
        </a:p>
        <a:p>
          <a:r>
            <a:rPr lang="en-US" sz="1100">
              <a:solidFill>
                <a:schemeClr val="dk1"/>
              </a:solidFill>
              <a:effectLst/>
              <a:latin typeface="+mn-lt"/>
              <a:ea typeface="+mn-ea"/>
              <a:cs typeface="+mn-cs"/>
            </a:rPr>
            <a:t>Babooshka Doll of Widening</a:t>
          </a:r>
        </a:p>
        <a:p>
          <a:r>
            <a:rPr lang="en-US" sz="1100">
              <a:solidFill>
                <a:schemeClr val="dk1"/>
              </a:solidFill>
              <a:effectLst/>
              <a:latin typeface="+mn-lt"/>
              <a:ea typeface="+mn-ea"/>
              <a:cs typeface="+mn-cs"/>
            </a:rPr>
            <a:t>Cat’s Foot of Twinning</a:t>
          </a:r>
        </a:p>
        <a:p>
          <a:r>
            <a:rPr lang="en-US" sz="1100">
              <a:solidFill>
                <a:schemeClr val="dk1"/>
              </a:solidFill>
              <a:effectLst/>
              <a:latin typeface="+mn-lt"/>
              <a:ea typeface="+mn-ea"/>
              <a:cs typeface="+mn-cs"/>
            </a:rPr>
            <a:t>Hourglass of Quickening</a:t>
          </a:r>
        </a:p>
        <a:p>
          <a:r>
            <a:rPr lang="en-US" sz="1100">
              <a:solidFill>
                <a:schemeClr val="dk1"/>
              </a:solidFill>
              <a:effectLst/>
              <a:latin typeface="+mn-lt"/>
              <a:ea typeface="+mn-ea"/>
              <a:cs typeface="+mn-cs"/>
            </a:rPr>
            <a:t>Thrush Wing of Rapidity</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rtexas@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showGridLines="0" tabSelected="1" workbookViewId="0"/>
  </sheetViews>
  <sheetFormatPr defaultRowHeight="15.6" x14ac:dyDescent="0.3"/>
  <cols>
    <col min="1" max="1" width="13.8984375" customWidth="1"/>
    <col min="2" max="2" width="11.59765625" customWidth="1"/>
    <col min="3" max="3" width="4.19921875" customWidth="1"/>
    <col min="4" max="4" width="14" bestFit="1" customWidth="1"/>
    <col min="5" max="5" width="10.8984375" bestFit="1" customWidth="1"/>
    <col min="6" max="7" width="18.59765625" customWidth="1"/>
  </cols>
  <sheetData>
    <row r="1" spans="1:7" ht="29.4" thickTop="1" thickBot="1" x14ac:dyDescent="0.35">
      <c r="A1" s="542" t="s">
        <v>406</v>
      </c>
      <c r="B1" s="1"/>
      <c r="C1" s="2"/>
      <c r="D1" s="3"/>
      <c r="E1" s="4"/>
      <c r="F1" s="3"/>
      <c r="G1" s="467" t="s">
        <v>431</v>
      </c>
    </row>
    <row r="2" spans="1:7" ht="17.399999999999999" thickTop="1" x14ac:dyDescent="0.3">
      <c r="A2" s="5" t="s">
        <v>365</v>
      </c>
      <c r="B2" s="6" t="s">
        <v>399</v>
      </c>
      <c r="C2" s="6"/>
      <c r="D2" s="7" t="s">
        <v>378</v>
      </c>
      <c r="E2" s="8" t="s">
        <v>0</v>
      </c>
      <c r="F2" s="9"/>
      <c r="G2" s="10"/>
    </row>
    <row r="3" spans="1:7" ht="16.8" x14ac:dyDescent="0.3">
      <c r="A3" s="5" t="s">
        <v>366</v>
      </c>
      <c r="B3" s="6" t="s">
        <v>1</v>
      </c>
      <c r="C3" s="6"/>
      <c r="D3" s="7" t="s">
        <v>79</v>
      </c>
      <c r="E3" s="8">
        <v>20</v>
      </c>
      <c r="F3" s="7"/>
      <c r="G3" s="10"/>
    </row>
    <row r="4" spans="1:7" ht="16.8" x14ac:dyDescent="0.3">
      <c r="A4" s="446" t="s">
        <v>366</v>
      </c>
      <c r="B4" s="447"/>
      <c r="C4" s="447"/>
      <c r="D4" s="448" t="s">
        <v>79</v>
      </c>
      <c r="E4" s="449"/>
      <c r="F4" s="7"/>
      <c r="G4" s="10"/>
    </row>
    <row r="5" spans="1:7" ht="16.8" x14ac:dyDescent="0.3">
      <c r="A5" s="5" t="s">
        <v>367</v>
      </c>
      <c r="B5" s="6" t="s">
        <v>2</v>
      </c>
      <c r="C5" s="6"/>
      <c r="D5" s="7" t="s">
        <v>379</v>
      </c>
      <c r="E5" s="8">
        <v>34</v>
      </c>
      <c r="F5" s="7"/>
      <c r="G5" s="10"/>
    </row>
    <row r="6" spans="1:7" ht="16.8" x14ac:dyDescent="0.3">
      <c r="A6" s="5" t="s">
        <v>368</v>
      </c>
      <c r="B6" s="6" t="s">
        <v>455</v>
      </c>
      <c r="C6" s="6"/>
      <c r="D6" s="7" t="s">
        <v>380</v>
      </c>
      <c r="E6" s="8" t="s">
        <v>401</v>
      </c>
      <c r="F6" s="7"/>
      <c r="G6" s="10"/>
    </row>
    <row r="7" spans="1:7" ht="17.399999999999999" thickBot="1" x14ac:dyDescent="0.35">
      <c r="A7" s="5" t="s">
        <v>369</v>
      </c>
      <c r="B7" s="6" t="s">
        <v>400</v>
      </c>
      <c r="C7" s="6"/>
      <c r="D7" s="7" t="s">
        <v>381</v>
      </c>
      <c r="E7" s="8" t="s">
        <v>402</v>
      </c>
      <c r="F7" s="7"/>
      <c r="G7" s="10"/>
    </row>
    <row r="8" spans="1:7" ht="17.399999999999999" thickTop="1" x14ac:dyDescent="0.3">
      <c r="A8" s="440" t="s">
        <v>370</v>
      </c>
      <c r="B8" s="543">
        <f>9+1</f>
        <v>10</v>
      </c>
      <c r="C8" s="544"/>
      <c r="D8" s="450" t="s">
        <v>382</v>
      </c>
      <c r="E8" s="451" t="s">
        <v>3</v>
      </c>
      <c r="F8" s="22"/>
      <c r="G8" s="10"/>
    </row>
    <row r="9" spans="1:7" ht="16.8" x14ac:dyDescent="0.3">
      <c r="A9" s="439" t="s">
        <v>371</v>
      </c>
      <c r="B9" s="489" t="str">
        <f>C12</f>
        <v>+7</v>
      </c>
      <c r="C9" s="490"/>
      <c r="D9" s="441" t="s">
        <v>432</v>
      </c>
      <c r="E9" s="442" t="s">
        <v>3</v>
      </c>
      <c r="F9" s="22"/>
      <c r="G9" s="10"/>
    </row>
    <row r="10" spans="1:7" ht="17.399999999999999" thickBot="1" x14ac:dyDescent="0.35">
      <c r="A10" s="443"/>
      <c r="B10" s="444"/>
      <c r="C10" s="491"/>
      <c r="D10" s="445" t="s">
        <v>519</v>
      </c>
      <c r="E10" s="414">
        <f>SUM(E3:E4)</f>
        <v>20</v>
      </c>
      <c r="F10" s="22"/>
      <c r="G10" s="10"/>
    </row>
    <row r="11" spans="1:7" ht="17.399999999999999" thickTop="1" x14ac:dyDescent="0.3">
      <c r="A11" s="11" t="s">
        <v>372</v>
      </c>
      <c r="B11" s="558">
        <f>16+4</f>
        <v>20</v>
      </c>
      <c r="C11" s="492" t="str">
        <f>IF(B11&gt;9.9,CONCATENATE("+",ROUNDDOWN((B11-10)/2,0)),ROUNDUP((B11-10)/2,0))</f>
        <v>+5</v>
      </c>
      <c r="D11" s="12" t="s">
        <v>383</v>
      </c>
      <c r="E11" s="13" t="s">
        <v>403</v>
      </c>
      <c r="F11" s="22"/>
      <c r="G11" s="10"/>
    </row>
    <row r="12" spans="1:7" ht="16.8" x14ac:dyDescent="0.3">
      <c r="A12" s="14" t="s">
        <v>373</v>
      </c>
      <c r="B12" s="426">
        <f>14+6+4</f>
        <v>24</v>
      </c>
      <c r="C12" s="15" t="str">
        <f t="shared" ref="C12:C16" si="0">IF(B12&gt;9.9,CONCATENATE("+",ROUNDDOWN((B12-10)/2,0)),ROUNDUP((B12-10)/2,0))</f>
        <v>+7</v>
      </c>
      <c r="D12" s="16" t="s">
        <v>384</v>
      </c>
      <c r="E12" s="26">
        <f>SUM(Martial!G3:G35,Equipment!C3:C32)+35</f>
        <v>115.60000000000001</v>
      </c>
      <c r="F12" s="22"/>
      <c r="G12" s="10"/>
    </row>
    <row r="13" spans="1:7" ht="16.8" x14ac:dyDescent="0.3">
      <c r="A13" s="547" t="s">
        <v>374</v>
      </c>
      <c r="B13" s="557">
        <f>12+4</f>
        <v>16</v>
      </c>
      <c r="C13" s="493" t="str">
        <f t="shared" si="0"/>
        <v>+3</v>
      </c>
      <c r="D13" s="16" t="s">
        <v>385</v>
      </c>
      <c r="E13" s="27">
        <f>ROUNDUP(((E3*6)*0.75)+(E3*C13),0)</f>
        <v>150</v>
      </c>
      <c r="F13" s="22"/>
      <c r="G13" s="10"/>
    </row>
    <row r="14" spans="1:7" ht="16.8" x14ac:dyDescent="0.3">
      <c r="A14" s="17" t="s">
        <v>375</v>
      </c>
      <c r="B14" s="426">
        <f>21+2+4</f>
        <v>27</v>
      </c>
      <c r="C14" s="15" t="str">
        <f t="shared" si="0"/>
        <v>+8</v>
      </c>
      <c r="D14" s="18" t="s">
        <v>386</v>
      </c>
      <c r="E14" s="541">
        <f>10+C12+1</f>
        <v>18</v>
      </c>
      <c r="F14" s="5"/>
      <c r="G14" s="10"/>
    </row>
    <row r="15" spans="1:7" ht="16.8" x14ac:dyDescent="0.3">
      <c r="A15" s="19" t="s">
        <v>376</v>
      </c>
      <c r="B15" s="555">
        <f>18+4</f>
        <v>22</v>
      </c>
      <c r="C15" s="15" t="str">
        <f t="shared" si="0"/>
        <v>+6</v>
      </c>
      <c r="D15" s="18" t="s">
        <v>387</v>
      </c>
      <c r="E15" s="25">
        <f>E16-C12</f>
        <v>34</v>
      </c>
      <c r="F15" s="22"/>
      <c r="G15" s="10"/>
    </row>
    <row r="16" spans="1:7" ht="17.399999999999999" thickBot="1" x14ac:dyDescent="0.35">
      <c r="A16" s="20" t="s">
        <v>377</v>
      </c>
      <c r="B16" s="556">
        <f>14+4</f>
        <v>18</v>
      </c>
      <c r="C16" s="494" t="str">
        <f t="shared" si="0"/>
        <v>+4</v>
      </c>
      <c r="D16" s="21" t="s">
        <v>388</v>
      </c>
      <c r="E16" s="414">
        <f>E14+SUM(Martial!$B$23:$B$28)</f>
        <v>41</v>
      </c>
      <c r="F16" s="22"/>
      <c r="G16" s="10"/>
    </row>
    <row r="17" spans="1:7" ht="24" thickTop="1" thickBot="1" x14ac:dyDescent="0.35">
      <c r="A17" s="28" t="s">
        <v>5</v>
      </c>
      <c r="B17" s="29"/>
      <c r="C17" s="29"/>
      <c r="D17" s="23"/>
      <c r="E17" s="23"/>
      <c r="F17" s="23"/>
      <c r="G17" s="24"/>
    </row>
    <row r="18" spans="1:7" ht="17.399999999999999" thickTop="1" x14ac:dyDescent="0.3">
      <c r="A18" s="30"/>
      <c r="B18" s="31"/>
      <c r="C18" s="31"/>
      <c r="D18" s="31"/>
      <c r="E18" s="31"/>
      <c r="F18" s="31"/>
      <c r="G18" s="32"/>
    </row>
    <row r="19" spans="1:7" ht="16.8" x14ac:dyDescent="0.3">
      <c r="A19" s="33"/>
      <c r="B19" s="34"/>
      <c r="C19" s="34"/>
      <c r="D19" s="34"/>
      <c r="E19" s="34"/>
      <c r="F19" s="34"/>
      <c r="G19" s="35"/>
    </row>
    <row r="20" spans="1:7" ht="16.8" x14ac:dyDescent="0.3">
      <c r="A20" s="33"/>
      <c r="B20" s="34"/>
      <c r="C20" s="34"/>
      <c r="D20" s="34"/>
      <c r="E20" s="34"/>
      <c r="F20" s="34"/>
      <c r="G20" s="35"/>
    </row>
    <row r="21" spans="1:7" ht="16.8" x14ac:dyDescent="0.3">
      <c r="A21" s="33"/>
      <c r="B21" s="34"/>
      <c r="C21" s="34"/>
      <c r="D21" s="34"/>
      <c r="E21" s="34"/>
      <c r="F21" s="34"/>
      <c r="G21" s="35"/>
    </row>
    <row r="22" spans="1:7" ht="16.8" x14ac:dyDescent="0.3">
      <c r="A22" s="33"/>
      <c r="B22" s="34"/>
      <c r="C22" s="34"/>
      <c r="D22" s="34"/>
      <c r="E22" s="34"/>
      <c r="F22" s="34"/>
      <c r="G22" s="35"/>
    </row>
    <row r="23" spans="1:7" ht="17.399999999999999" thickBot="1" x14ac:dyDescent="0.35">
      <c r="A23" s="36"/>
      <c r="B23" s="37"/>
      <c r="C23" s="37"/>
      <c r="D23" s="37"/>
      <c r="E23" s="37"/>
      <c r="F23" s="37"/>
      <c r="G23" s="38"/>
    </row>
    <row r="24" spans="1:7" ht="16.2" thickTop="1" x14ac:dyDescent="0.3"/>
  </sheetData>
  <conditionalFormatting sqref="E12">
    <cfRule type="cellIs" dxfId="69" priority="1" stopIfTrue="1" operator="greaterThan">
      <formula>153</formula>
    </cfRule>
    <cfRule type="cellIs" dxfId="68" priority="2" stopIfTrue="1" operator="between">
      <formula>76</formula>
      <formula>153</formula>
    </cfRule>
  </conditionalFormatting>
  <hyperlinks>
    <hyperlink ref="G1" r:id="rId1" xr:uid="{0405EA97-20AF-43E2-B8EA-9B605C54CB4C}"/>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showGridLines="0" workbookViewId="0">
      <pane ySplit="2" topLeftCell="A3" activePane="bottomLeft" state="frozen"/>
      <selection pane="bottomLeft" activeCell="A3" sqref="A3"/>
    </sheetView>
  </sheetViews>
  <sheetFormatPr defaultRowHeight="15.6" x14ac:dyDescent="0.3"/>
  <cols>
    <col min="1" max="1" width="31.296875" bestFit="1" customWidth="1"/>
    <col min="2" max="2" width="5.8984375" bestFit="1" customWidth="1"/>
    <col min="3" max="3" width="11.59765625" hidden="1" customWidth="1"/>
    <col min="4" max="4" width="5.796875" hidden="1" customWidth="1"/>
    <col min="5" max="5" width="9.19921875" bestFit="1" customWidth="1"/>
    <col min="6" max="6" width="8.5" customWidth="1"/>
    <col min="7" max="7" width="5.8984375" bestFit="1" customWidth="1"/>
    <col min="8" max="8" width="4.69921875" bestFit="1" customWidth="1"/>
    <col min="9" max="9" width="6.8984375" bestFit="1" customWidth="1"/>
    <col min="10" max="10" width="37.8984375" bestFit="1" customWidth="1"/>
  </cols>
  <sheetData>
    <row r="1" spans="1:10" ht="23.4" thickBot="1" x14ac:dyDescent="0.35">
      <c r="A1" s="39" t="s">
        <v>6</v>
      </c>
      <c r="B1" s="40"/>
      <c r="C1" s="40"/>
      <c r="D1" s="40"/>
      <c r="E1" s="40"/>
      <c r="F1" s="40"/>
      <c r="G1" s="40"/>
      <c r="H1" s="40"/>
      <c r="I1" s="40"/>
      <c r="J1" s="40"/>
    </row>
    <row r="2" spans="1:10" ht="34.200000000000003" thickBot="1" x14ac:dyDescent="0.35">
      <c r="A2" s="41" t="s">
        <v>7</v>
      </c>
      <c r="B2" s="42" t="s">
        <v>8</v>
      </c>
      <c r="C2" s="42" t="s">
        <v>9</v>
      </c>
      <c r="D2" s="42" t="s">
        <v>10</v>
      </c>
      <c r="E2" s="43" t="s">
        <v>11</v>
      </c>
      <c r="F2" s="43" t="s">
        <v>12</v>
      </c>
      <c r="G2" s="43" t="s">
        <v>13</v>
      </c>
      <c r="H2" s="475" t="s">
        <v>14</v>
      </c>
      <c r="I2" s="43" t="s">
        <v>15</v>
      </c>
      <c r="J2" s="44" t="s">
        <v>16</v>
      </c>
    </row>
    <row r="3" spans="1:10" ht="16.8" x14ac:dyDescent="0.3">
      <c r="A3" s="45" t="s">
        <v>17</v>
      </c>
      <c r="B3" s="46">
        <f>11</f>
        <v>11</v>
      </c>
      <c r="C3" s="47" t="s">
        <v>374</v>
      </c>
      <c r="D3" s="47" t="str">
        <f>VLOOKUP(C3,'Personal File'!$A$11:$C$16,3,FALSE)</f>
        <v>+3</v>
      </c>
      <c r="E3" s="48" t="str">
        <f t="shared" ref="E3:E51" si="0">CONCATENATE(LEFT(C3,3)," (",D3,")")</f>
        <v>Con (+3)</v>
      </c>
      <c r="F3" s="415">
        <f t="shared" ref="F3:F5" si="1">3+3+3+4</f>
        <v>13</v>
      </c>
      <c r="G3" s="49">
        <f t="shared" ref="G3:G51" si="2">B3+D3+F3</f>
        <v>27</v>
      </c>
      <c r="H3" s="476">
        <f t="shared" ref="H3:H51" ca="1" si="3">RANDBETWEEN(1,20)</f>
        <v>17</v>
      </c>
      <c r="I3" s="50">
        <f t="shared" ref="I3:I5" ca="1" si="4">SUM(G3:H3)</f>
        <v>44</v>
      </c>
      <c r="J3" s="51"/>
    </row>
    <row r="4" spans="1:10" ht="16.8" x14ac:dyDescent="0.3">
      <c r="A4" s="52" t="s">
        <v>18</v>
      </c>
      <c r="B4" s="46">
        <f>6</f>
        <v>6</v>
      </c>
      <c r="C4" s="47" t="s">
        <v>373</v>
      </c>
      <c r="D4" s="47" t="str">
        <f>VLOOKUP(C4,'Personal File'!$A$11:$C$16,3,FALSE)</f>
        <v>+7</v>
      </c>
      <c r="E4" s="53" t="str">
        <f t="shared" si="0"/>
        <v>Dex (+7)</v>
      </c>
      <c r="F4" s="415">
        <f t="shared" si="1"/>
        <v>13</v>
      </c>
      <c r="G4" s="49">
        <f t="shared" si="2"/>
        <v>26</v>
      </c>
      <c r="H4" s="476">
        <f t="shared" ca="1" si="3"/>
        <v>4</v>
      </c>
      <c r="I4" s="50">
        <f t="shared" ca="1" si="4"/>
        <v>30</v>
      </c>
      <c r="J4" s="51" t="s">
        <v>360</v>
      </c>
    </row>
    <row r="5" spans="1:10" ht="16.8" x14ac:dyDescent="0.3">
      <c r="A5" s="54" t="s">
        <v>20</v>
      </c>
      <c r="B5" s="55">
        <f>11</f>
        <v>11</v>
      </c>
      <c r="C5" s="56" t="s">
        <v>376</v>
      </c>
      <c r="D5" s="56" t="str">
        <f>VLOOKUP(C5,'Personal File'!$A$11:$C$16,3,FALSE)</f>
        <v>+6</v>
      </c>
      <c r="E5" s="57" t="str">
        <f t="shared" si="0"/>
        <v>Wis (+6)</v>
      </c>
      <c r="F5" s="416">
        <f t="shared" si="1"/>
        <v>13</v>
      </c>
      <c r="G5" s="58">
        <f t="shared" si="2"/>
        <v>30</v>
      </c>
      <c r="H5" s="477">
        <f t="shared" ca="1" si="3"/>
        <v>20</v>
      </c>
      <c r="I5" s="59">
        <f t="shared" ca="1" si="4"/>
        <v>50</v>
      </c>
      <c r="J5" s="60" t="s">
        <v>21</v>
      </c>
    </row>
    <row r="6" spans="1:10" ht="16.8" x14ac:dyDescent="0.3">
      <c r="A6" s="61" t="s">
        <v>22</v>
      </c>
      <c r="B6" s="47">
        <v>0</v>
      </c>
      <c r="C6" s="62" t="s">
        <v>375</v>
      </c>
      <c r="D6" s="63" t="str">
        <f>VLOOKUP(C6,'Personal File'!$A$11:$C$16,3,FALSE)</f>
        <v>+8</v>
      </c>
      <c r="E6" s="64" t="str">
        <f t="shared" si="0"/>
        <v>Int (+8)</v>
      </c>
      <c r="F6" s="65" t="s">
        <v>23</v>
      </c>
      <c r="G6" s="65">
        <f t="shared" si="2"/>
        <v>8</v>
      </c>
      <c r="H6" s="476">
        <f t="shared" ca="1" si="3"/>
        <v>8</v>
      </c>
      <c r="I6" s="65">
        <f ca="1">SUM(G6:H6)</f>
        <v>16</v>
      </c>
      <c r="J6" s="66"/>
    </row>
    <row r="7" spans="1:10" ht="16.8" x14ac:dyDescent="0.3">
      <c r="A7" s="67" t="s">
        <v>24</v>
      </c>
      <c r="B7" s="47">
        <v>0</v>
      </c>
      <c r="C7" s="68" t="s">
        <v>373</v>
      </c>
      <c r="D7" s="69" t="str">
        <f>VLOOKUP(C7,'Personal File'!$A$11:$C$16,3,FALSE)</f>
        <v>+7</v>
      </c>
      <c r="E7" s="53" t="str">
        <f t="shared" si="0"/>
        <v>Dex (+7)</v>
      </c>
      <c r="F7" s="65" t="s">
        <v>23</v>
      </c>
      <c r="G7" s="65">
        <f t="shared" si="2"/>
        <v>7</v>
      </c>
      <c r="H7" s="476">
        <f t="shared" ca="1" si="3"/>
        <v>4</v>
      </c>
      <c r="I7" s="65">
        <f t="shared" ref="I7" ca="1" si="5">SUM(G7:H7)</f>
        <v>11</v>
      </c>
      <c r="J7" s="66"/>
    </row>
    <row r="8" spans="1:10" ht="16.8" x14ac:dyDescent="0.3">
      <c r="A8" s="70" t="s">
        <v>25</v>
      </c>
      <c r="B8" s="47">
        <v>0</v>
      </c>
      <c r="C8" s="71" t="s">
        <v>377</v>
      </c>
      <c r="D8" s="72" t="str">
        <f>VLOOKUP(C8,'Personal File'!$A$11:$C$16,3,FALSE)</f>
        <v>+4</v>
      </c>
      <c r="E8" s="73" t="str">
        <f t="shared" si="0"/>
        <v>Cha (+4)</v>
      </c>
      <c r="F8" s="65" t="s">
        <v>23</v>
      </c>
      <c r="G8" s="65">
        <f t="shared" si="2"/>
        <v>4</v>
      </c>
      <c r="H8" s="476">
        <f t="shared" ca="1" si="3"/>
        <v>5</v>
      </c>
      <c r="I8" s="65">
        <f t="shared" ref="I8:I51" ca="1" si="6">SUM(G8:H8)</f>
        <v>9</v>
      </c>
      <c r="J8" s="66"/>
    </row>
    <row r="9" spans="1:10" ht="16.8" x14ac:dyDescent="0.3">
      <c r="A9" s="74" t="s">
        <v>26</v>
      </c>
      <c r="B9" s="47">
        <v>0</v>
      </c>
      <c r="C9" s="75" t="s">
        <v>372</v>
      </c>
      <c r="D9" s="76" t="str">
        <f>VLOOKUP(C9,'Personal File'!$A$11:$C$16,3,FALSE)</f>
        <v>+5</v>
      </c>
      <c r="E9" s="77" t="str">
        <f t="shared" si="0"/>
        <v>Str (+5)</v>
      </c>
      <c r="F9" s="65" t="s">
        <v>23</v>
      </c>
      <c r="G9" s="65">
        <f t="shared" si="2"/>
        <v>5</v>
      </c>
      <c r="H9" s="476">
        <f t="shared" ca="1" si="3"/>
        <v>11</v>
      </c>
      <c r="I9" s="65">
        <f t="shared" ca="1" si="6"/>
        <v>16</v>
      </c>
      <c r="J9" s="66"/>
    </row>
    <row r="10" spans="1:10" ht="16.8" x14ac:dyDescent="0.3">
      <c r="A10" s="78" t="s">
        <v>27</v>
      </c>
      <c r="B10" s="550">
        <v>16</v>
      </c>
      <c r="C10" s="79" t="s">
        <v>374</v>
      </c>
      <c r="D10" s="80" t="str">
        <f>VLOOKUP(C10,'Personal File'!$A$11:$C$16,3,FALSE)</f>
        <v>+3</v>
      </c>
      <c r="E10" s="81" t="str">
        <f t="shared" si="0"/>
        <v>Con (+3)</v>
      </c>
      <c r="F10" s="82" t="s">
        <v>340</v>
      </c>
      <c r="G10" s="82">
        <f t="shared" si="2"/>
        <v>23</v>
      </c>
      <c r="H10" s="476">
        <f t="shared" ca="1" si="3"/>
        <v>3</v>
      </c>
      <c r="I10" s="82">
        <f t="shared" ca="1" si="6"/>
        <v>26</v>
      </c>
      <c r="J10" s="83"/>
    </row>
    <row r="11" spans="1:10" ht="16.8" x14ac:dyDescent="0.3">
      <c r="A11" s="85" t="s">
        <v>407</v>
      </c>
      <c r="B11" s="550">
        <v>6</v>
      </c>
      <c r="C11" s="86" t="s">
        <v>375</v>
      </c>
      <c r="D11" s="87" t="str">
        <f>VLOOKUP(C11,'Personal File'!$A$11:$C$16,3,FALSE)</f>
        <v>+8</v>
      </c>
      <c r="E11" s="88" t="str">
        <f t="shared" si="0"/>
        <v>Int (+8)</v>
      </c>
      <c r="F11" s="82" t="s">
        <v>23</v>
      </c>
      <c r="G11" s="82">
        <f t="shared" si="2"/>
        <v>14</v>
      </c>
      <c r="H11" s="476">
        <f t="shared" ca="1" si="3"/>
        <v>15</v>
      </c>
      <c r="I11" s="427">
        <f t="shared" ca="1" si="6"/>
        <v>29</v>
      </c>
      <c r="J11" s="428" t="s">
        <v>410</v>
      </c>
    </row>
    <row r="12" spans="1:10" ht="16.8" x14ac:dyDescent="0.3">
      <c r="A12" s="85" t="s">
        <v>408</v>
      </c>
      <c r="B12" s="550">
        <v>6</v>
      </c>
      <c r="C12" s="86" t="s">
        <v>375</v>
      </c>
      <c r="D12" s="87" t="str">
        <f>VLOOKUP(C12,'Personal File'!$A$11:$C$16,3,FALSE)</f>
        <v>+8</v>
      </c>
      <c r="E12" s="88" t="str">
        <f t="shared" ref="E12:E13" si="7">CONCATENATE(LEFT(C12,3)," (",D12,")")</f>
        <v>Int (+8)</v>
      </c>
      <c r="F12" s="82" t="s">
        <v>23</v>
      </c>
      <c r="G12" s="82">
        <f t="shared" ref="G12:G13" si="8">B12+D12+F12</f>
        <v>14</v>
      </c>
      <c r="H12" s="476">
        <f t="shared" ca="1" si="3"/>
        <v>2</v>
      </c>
      <c r="I12" s="427">
        <f t="shared" ref="I12:I13" ca="1" si="9">SUM(G12:H12)</f>
        <v>16</v>
      </c>
      <c r="J12" s="428" t="s">
        <v>410</v>
      </c>
    </row>
    <row r="13" spans="1:10" ht="16.8" x14ac:dyDescent="0.3">
      <c r="A13" s="85" t="s">
        <v>409</v>
      </c>
      <c r="B13" s="550">
        <v>6</v>
      </c>
      <c r="C13" s="86" t="s">
        <v>375</v>
      </c>
      <c r="D13" s="87" t="str">
        <f>VLOOKUP(C13,'Personal File'!$A$11:$C$16,3,FALSE)</f>
        <v>+8</v>
      </c>
      <c r="E13" s="88" t="str">
        <f t="shared" si="7"/>
        <v>Int (+8)</v>
      </c>
      <c r="F13" s="82" t="s">
        <v>23</v>
      </c>
      <c r="G13" s="82">
        <f t="shared" si="8"/>
        <v>14</v>
      </c>
      <c r="H13" s="476">
        <f t="shared" ca="1" si="3"/>
        <v>7</v>
      </c>
      <c r="I13" s="427">
        <f t="shared" ca="1" si="9"/>
        <v>21</v>
      </c>
      <c r="J13" s="428" t="s">
        <v>410</v>
      </c>
    </row>
    <row r="14" spans="1:10" ht="16.8" x14ac:dyDescent="0.3">
      <c r="A14" s="85" t="s">
        <v>28</v>
      </c>
      <c r="B14" s="550">
        <v>10</v>
      </c>
      <c r="C14" s="86" t="s">
        <v>375</v>
      </c>
      <c r="D14" s="87" t="str">
        <f>VLOOKUP(C14,'Personal File'!$A$11:$C$16,3,FALSE)</f>
        <v>+8</v>
      </c>
      <c r="E14" s="88" t="str">
        <f t="shared" si="0"/>
        <v>Int (+8)</v>
      </c>
      <c r="F14" s="82" t="s">
        <v>23</v>
      </c>
      <c r="G14" s="82">
        <f t="shared" si="2"/>
        <v>18</v>
      </c>
      <c r="H14" s="476">
        <f t="shared" ca="1" si="3"/>
        <v>3</v>
      </c>
      <c r="I14" s="82">
        <f t="shared" ca="1" si="6"/>
        <v>21</v>
      </c>
      <c r="J14" s="83"/>
    </row>
    <row r="15" spans="1:10" ht="16.8" x14ac:dyDescent="0.3">
      <c r="A15" s="342" t="s">
        <v>30</v>
      </c>
      <c r="B15" s="550">
        <v>10</v>
      </c>
      <c r="C15" s="343" t="s">
        <v>377</v>
      </c>
      <c r="D15" s="344" t="str">
        <f>VLOOKUP(C15,'Personal File'!$A$11:$C$16,3,FALSE)</f>
        <v>+4</v>
      </c>
      <c r="E15" s="345" t="str">
        <f t="shared" si="0"/>
        <v>Cha (+4)</v>
      </c>
      <c r="F15" s="82" t="s">
        <v>23</v>
      </c>
      <c r="G15" s="82">
        <f t="shared" si="2"/>
        <v>14</v>
      </c>
      <c r="H15" s="476">
        <f t="shared" ca="1" si="3"/>
        <v>13</v>
      </c>
      <c r="I15" s="82">
        <f t="shared" ca="1" si="6"/>
        <v>27</v>
      </c>
      <c r="J15" s="83"/>
    </row>
    <row r="16" spans="1:10" ht="16.8" x14ac:dyDescent="0.3">
      <c r="A16" s="89" t="s">
        <v>31</v>
      </c>
      <c r="B16" s="551">
        <v>0</v>
      </c>
      <c r="C16" s="90" t="s">
        <v>375</v>
      </c>
      <c r="D16" s="91" t="str">
        <f>VLOOKUP(C16,'Personal File'!$A$11:$C$16,3,FALSE)</f>
        <v>+8</v>
      </c>
      <c r="E16" s="92" t="str">
        <f t="shared" si="0"/>
        <v>Int (+8)</v>
      </c>
      <c r="F16" s="93" t="s">
        <v>23</v>
      </c>
      <c r="G16" s="93">
        <f t="shared" si="2"/>
        <v>8</v>
      </c>
      <c r="H16" s="476">
        <f t="shared" ca="1" si="3"/>
        <v>19</v>
      </c>
      <c r="I16" s="93">
        <f t="shared" ca="1" si="6"/>
        <v>27</v>
      </c>
      <c r="J16" s="94"/>
    </row>
    <row r="17" spans="1:10" ht="16.8" x14ac:dyDescent="0.3">
      <c r="A17" s="70" t="s">
        <v>32</v>
      </c>
      <c r="B17" s="47">
        <v>0</v>
      </c>
      <c r="C17" s="71" t="s">
        <v>377</v>
      </c>
      <c r="D17" s="72" t="str">
        <f>VLOOKUP(C17,'Personal File'!$A$11:$C$16,3,FALSE)</f>
        <v>+4</v>
      </c>
      <c r="E17" s="73" t="str">
        <f t="shared" si="0"/>
        <v>Cha (+4)</v>
      </c>
      <c r="F17" s="65" t="s">
        <v>23</v>
      </c>
      <c r="G17" s="65">
        <f t="shared" si="2"/>
        <v>4</v>
      </c>
      <c r="H17" s="476">
        <f t="shared" ca="1" si="3"/>
        <v>5</v>
      </c>
      <c r="I17" s="65">
        <f t="shared" ca="1" si="6"/>
        <v>9</v>
      </c>
      <c r="J17" s="66"/>
    </row>
    <row r="18" spans="1:10" ht="16.8" x14ac:dyDescent="0.3">
      <c r="A18" s="479" t="s">
        <v>33</v>
      </c>
      <c r="B18" s="550">
        <v>2</v>
      </c>
      <c r="C18" s="480" t="s">
        <v>373</v>
      </c>
      <c r="D18" s="481" t="str">
        <f>VLOOKUP(C18,'Personal File'!$A$11:$C$16,3,FALSE)</f>
        <v>+7</v>
      </c>
      <c r="E18" s="482" t="str">
        <f t="shared" si="0"/>
        <v>Dex (+7)</v>
      </c>
      <c r="F18" s="82" t="s">
        <v>23</v>
      </c>
      <c r="G18" s="82">
        <f t="shared" si="2"/>
        <v>9</v>
      </c>
      <c r="H18" s="476">
        <f t="shared" ca="1" si="3"/>
        <v>6</v>
      </c>
      <c r="I18" s="82">
        <f t="shared" ca="1" si="6"/>
        <v>15</v>
      </c>
      <c r="J18" s="83"/>
    </row>
    <row r="19" spans="1:10" ht="16.8" x14ac:dyDescent="0.3">
      <c r="A19" s="61" t="s">
        <v>34</v>
      </c>
      <c r="B19" s="47">
        <v>0</v>
      </c>
      <c r="C19" s="62" t="s">
        <v>375</v>
      </c>
      <c r="D19" s="63" t="str">
        <f>VLOOKUP(C19,'Personal File'!$A$11:$C$16,3,FALSE)</f>
        <v>+8</v>
      </c>
      <c r="E19" s="64" t="str">
        <f t="shared" si="0"/>
        <v>Int (+8)</v>
      </c>
      <c r="F19" s="65" t="s">
        <v>23</v>
      </c>
      <c r="G19" s="65">
        <f t="shared" si="2"/>
        <v>8</v>
      </c>
      <c r="H19" s="476">
        <f t="shared" ca="1" si="3"/>
        <v>9</v>
      </c>
      <c r="I19" s="65">
        <f t="shared" ca="1" si="6"/>
        <v>17</v>
      </c>
      <c r="J19" s="66"/>
    </row>
    <row r="20" spans="1:10" ht="16.8" x14ac:dyDescent="0.3">
      <c r="A20" s="342" t="s">
        <v>35</v>
      </c>
      <c r="B20" s="550">
        <v>10</v>
      </c>
      <c r="C20" s="343" t="s">
        <v>377</v>
      </c>
      <c r="D20" s="344" t="str">
        <f>VLOOKUP(C20,'Personal File'!$A$11:$C$16,3,FALSE)</f>
        <v>+4</v>
      </c>
      <c r="E20" s="345" t="str">
        <f t="shared" si="0"/>
        <v>Cha (+4)</v>
      </c>
      <c r="F20" s="82" t="s">
        <v>29</v>
      </c>
      <c r="G20" s="82">
        <f t="shared" si="2"/>
        <v>16</v>
      </c>
      <c r="H20" s="476">
        <f t="shared" ca="1" si="3"/>
        <v>13</v>
      </c>
      <c r="I20" s="82">
        <f t="shared" ca="1" si="6"/>
        <v>29</v>
      </c>
      <c r="J20" s="83"/>
    </row>
    <row r="21" spans="1:10" ht="16.8" x14ac:dyDescent="0.3">
      <c r="A21" s="95" t="s">
        <v>36</v>
      </c>
      <c r="B21" s="551">
        <v>0</v>
      </c>
      <c r="C21" s="96" t="s">
        <v>377</v>
      </c>
      <c r="D21" s="97" t="str">
        <f>VLOOKUP(C21,'Personal File'!$A$11:$C$16,3,FALSE)</f>
        <v>+4</v>
      </c>
      <c r="E21" s="98" t="str">
        <f t="shared" si="0"/>
        <v>Cha (+4)</v>
      </c>
      <c r="F21" s="93" t="s">
        <v>23</v>
      </c>
      <c r="G21" s="93">
        <f t="shared" si="2"/>
        <v>4</v>
      </c>
      <c r="H21" s="476">
        <f t="shared" ca="1" si="3"/>
        <v>20</v>
      </c>
      <c r="I21" s="93">
        <f t="shared" ca="1" si="6"/>
        <v>24</v>
      </c>
      <c r="J21" s="94"/>
    </row>
    <row r="22" spans="1:10" ht="16.8" x14ac:dyDescent="0.3">
      <c r="A22" s="432" t="s">
        <v>37</v>
      </c>
      <c r="B22" s="550">
        <v>4</v>
      </c>
      <c r="C22" s="429" t="s">
        <v>376</v>
      </c>
      <c r="D22" s="430" t="str">
        <f>VLOOKUP(C22,'Personal File'!$A$11:$C$16,3,FALSE)</f>
        <v>+6</v>
      </c>
      <c r="E22" s="431" t="str">
        <f t="shared" si="0"/>
        <v>Wis (+6)</v>
      </c>
      <c r="F22" s="82" t="s">
        <v>23</v>
      </c>
      <c r="G22" s="82">
        <f t="shared" si="2"/>
        <v>10</v>
      </c>
      <c r="H22" s="476">
        <f t="shared" ca="1" si="3"/>
        <v>17</v>
      </c>
      <c r="I22" s="82">
        <f t="shared" ca="1" si="6"/>
        <v>27</v>
      </c>
      <c r="J22" s="83"/>
    </row>
    <row r="23" spans="1:10" ht="16.8" x14ac:dyDescent="0.3">
      <c r="A23" s="67" t="s">
        <v>38</v>
      </c>
      <c r="B23" s="47">
        <v>0</v>
      </c>
      <c r="C23" s="68" t="s">
        <v>373</v>
      </c>
      <c r="D23" s="69" t="str">
        <f>VLOOKUP(C23,'Personal File'!$A$11:$C$16,3,FALSE)</f>
        <v>+7</v>
      </c>
      <c r="E23" s="53" t="str">
        <f t="shared" si="0"/>
        <v>Dex (+7)</v>
      </c>
      <c r="F23" s="375">
        <f>4-4</f>
        <v>0</v>
      </c>
      <c r="G23" s="65">
        <f t="shared" si="2"/>
        <v>7</v>
      </c>
      <c r="H23" s="476">
        <f t="shared" ca="1" si="3"/>
        <v>14</v>
      </c>
      <c r="I23" s="65">
        <f t="shared" ca="1" si="6"/>
        <v>21</v>
      </c>
      <c r="J23" s="66"/>
    </row>
    <row r="24" spans="1:10" ht="16.8" x14ac:dyDescent="0.3">
      <c r="A24" s="70" t="s">
        <v>39</v>
      </c>
      <c r="B24" s="47">
        <v>0</v>
      </c>
      <c r="C24" s="71" t="s">
        <v>377</v>
      </c>
      <c r="D24" s="72" t="str">
        <f>VLOOKUP(C24,'Personal File'!$A$11:$C$16,3,FALSE)</f>
        <v>+4</v>
      </c>
      <c r="E24" s="73" t="str">
        <f t="shared" si="0"/>
        <v>Cha (+4)</v>
      </c>
      <c r="F24" s="65" t="s">
        <v>23</v>
      </c>
      <c r="G24" s="65">
        <f t="shared" si="2"/>
        <v>4</v>
      </c>
      <c r="H24" s="476">
        <f t="shared" ca="1" si="3"/>
        <v>4</v>
      </c>
      <c r="I24" s="65">
        <f t="shared" ca="1" si="6"/>
        <v>8</v>
      </c>
      <c r="J24" s="66"/>
    </row>
    <row r="25" spans="1:10" ht="16.8" x14ac:dyDescent="0.3">
      <c r="A25" s="74" t="s">
        <v>40</v>
      </c>
      <c r="B25" s="47">
        <v>0</v>
      </c>
      <c r="C25" s="75" t="s">
        <v>372</v>
      </c>
      <c r="D25" s="76" t="str">
        <f>VLOOKUP(C25,'Personal File'!$A$11:$C$16,3,FALSE)</f>
        <v>+5</v>
      </c>
      <c r="E25" s="77" t="str">
        <f t="shared" si="0"/>
        <v>Str (+5)</v>
      </c>
      <c r="F25" s="65" t="s">
        <v>23</v>
      </c>
      <c r="G25" s="65">
        <f t="shared" si="2"/>
        <v>5</v>
      </c>
      <c r="H25" s="476">
        <f t="shared" ca="1" si="3"/>
        <v>8</v>
      </c>
      <c r="I25" s="65">
        <f t="shared" ca="1" si="6"/>
        <v>13</v>
      </c>
      <c r="J25" s="66"/>
    </row>
    <row r="26" spans="1:10" ht="16.8" x14ac:dyDescent="0.3">
      <c r="A26" s="85" t="s">
        <v>41</v>
      </c>
      <c r="B26" s="550">
        <v>18</v>
      </c>
      <c r="C26" s="86" t="s">
        <v>375</v>
      </c>
      <c r="D26" s="87" t="str">
        <f>VLOOKUP(C26,'Personal File'!$A$11:$C$16,3,FALSE)</f>
        <v>+8</v>
      </c>
      <c r="E26" s="88" t="str">
        <f t="shared" si="0"/>
        <v>Int (+8)</v>
      </c>
      <c r="F26" s="82" t="s">
        <v>29</v>
      </c>
      <c r="G26" s="82">
        <f t="shared" si="2"/>
        <v>28</v>
      </c>
      <c r="H26" s="476">
        <f t="shared" ca="1" si="3"/>
        <v>5</v>
      </c>
      <c r="I26" s="82">
        <f t="shared" ca="1" si="6"/>
        <v>33</v>
      </c>
      <c r="J26" s="83" t="s">
        <v>42</v>
      </c>
    </row>
    <row r="27" spans="1:10" ht="16.8" x14ac:dyDescent="0.3">
      <c r="A27" s="85" t="s">
        <v>43</v>
      </c>
      <c r="B27" s="550">
        <v>12</v>
      </c>
      <c r="C27" s="86" t="s">
        <v>375</v>
      </c>
      <c r="D27" s="87" t="str">
        <f>VLOOKUP(C27,'Personal File'!$A$11:$C$16,3,FALSE)</f>
        <v>+8</v>
      </c>
      <c r="E27" s="88" t="str">
        <f t="shared" si="0"/>
        <v>Int (+8)</v>
      </c>
      <c r="F27" s="82" t="s">
        <v>23</v>
      </c>
      <c r="G27" s="82">
        <f t="shared" si="2"/>
        <v>20</v>
      </c>
      <c r="H27" s="476">
        <f t="shared" ca="1" si="3"/>
        <v>18</v>
      </c>
      <c r="I27" s="82">
        <f t="shared" ca="1" si="6"/>
        <v>38</v>
      </c>
      <c r="J27" s="83" t="s">
        <v>42</v>
      </c>
    </row>
    <row r="28" spans="1:10" ht="16.8" x14ac:dyDescent="0.3">
      <c r="A28" s="85" t="s">
        <v>44</v>
      </c>
      <c r="B28" s="550">
        <v>21</v>
      </c>
      <c r="C28" s="86" t="s">
        <v>375</v>
      </c>
      <c r="D28" s="87" t="str">
        <f>VLOOKUP(C28,'Personal File'!$A$11:$C$16,3,FALSE)</f>
        <v>+8</v>
      </c>
      <c r="E28" s="88" t="str">
        <f t="shared" si="0"/>
        <v>Int (+8)</v>
      </c>
      <c r="F28" s="82" t="s">
        <v>29</v>
      </c>
      <c r="G28" s="82">
        <f t="shared" si="2"/>
        <v>31</v>
      </c>
      <c r="H28" s="476">
        <f t="shared" ca="1" si="3"/>
        <v>8</v>
      </c>
      <c r="I28" s="82">
        <f t="shared" ref="I28" ca="1" si="10">SUM(G28:H28)</f>
        <v>39</v>
      </c>
      <c r="J28" s="83" t="s">
        <v>42</v>
      </c>
    </row>
    <row r="29" spans="1:10" ht="16.8" x14ac:dyDescent="0.3">
      <c r="A29" s="85" t="s">
        <v>45</v>
      </c>
      <c r="B29" s="550">
        <v>16</v>
      </c>
      <c r="C29" s="86" t="s">
        <v>375</v>
      </c>
      <c r="D29" s="87" t="str">
        <f>VLOOKUP(C29,'Personal File'!$A$11:$C$16,3,FALSE)</f>
        <v>+8</v>
      </c>
      <c r="E29" s="88" t="str">
        <f t="shared" si="0"/>
        <v>Int (+8)</v>
      </c>
      <c r="F29" s="82" t="s">
        <v>23</v>
      </c>
      <c r="G29" s="82">
        <f t="shared" si="2"/>
        <v>24</v>
      </c>
      <c r="H29" s="476">
        <f t="shared" ca="1" si="3"/>
        <v>6</v>
      </c>
      <c r="I29" s="82">
        <f t="shared" ref="I29" ca="1" si="11">SUM(G29:H29)</f>
        <v>30</v>
      </c>
      <c r="J29" s="83" t="s">
        <v>42</v>
      </c>
    </row>
    <row r="30" spans="1:10" ht="16.8" x14ac:dyDescent="0.3">
      <c r="A30" s="85" t="s">
        <v>46</v>
      </c>
      <c r="B30" s="550">
        <v>12</v>
      </c>
      <c r="C30" s="86" t="s">
        <v>375</v>
      </c>
      <c r="D30" s="87" t="str">
        <f>VLOOKUP(C30,'Personal File'!$A$11:$C$16,3,FALSE)</f>
        <v>+8</v>
      </c>
      <c r="E30" s="88" t="str">
        <f t="shared" si="0"/>
        <v>Int (+8)</v>
      </c>
      <c r="F30" s="82" t="s">
        <v>23</v>
      </c>
      <c r="G30" s="82">
        <f t="shared" si="2"/>
        <v>20</v>
      </c>
      <c r="H30" s="476">
        <f t="shared" ca="1" si="3"/>
        <v>6</v>
      </c>
      <c r="I30" s="82">
        <f t="shared" ca="1" si="6"/>
        <v>26</v>
      </c>
      <c r="J30" s="83" t="s">
        <v>42</v>
      </c>
    </row>
    <row r="31" spans="1:10" ht="16.8" x14ac:dyDescent="0.3">
      <c r="A31" s="85" t="s">
        <v>47</v>
      </c>
      <c r="B31" s="550">
        <v>12</v>
      </c>
      <c r="C31" s="86" t="s">
        <v>375</v>
      </c>
      <c r="D31" s="87" t="str">
        <f>VLOOKUP(C31,'Personal File'!$A$11:$C$16,3,FALSE)</f>
        <v>+8</v>
      </c>
      <c r="E31" s="88" t="str">
        <f t="shared" si="0"/>
        <v>Int (+8)</v>
      </c>
      <c r="F31" s="82" t="s">
        <v>23</v>
      </c>
      <c r="G31" s="82">
        <f t="shared" si="2"/>
        <v>20</v>
      </c>
      <c r="H31" s="476">
        <f t="shared" ca="1" si="3"/>
        <v>19</v>
      </c>
      <c r="I31" s="82">
        <f t="shared" ref="I31:I33" ca="1" si="12">SUM(G31:H31)</f>
        <v>39</v>
      </c>
      <c r="J31" s="83" t="s">
        <v>42</v>
      </c>
    </row>
    <row r="32" spans="1:10" ht="16.8" x14ac:dyDescent="0.3">
      <c r="A32" s="85" t="s">
        <v>48</v>
      </c>
      <c r="B32" s="550">
        <v>12</v>
      </c>
      <c r="C32" s="86" t="s">
        <v>375</v>
      </c>
      <c r="D32" s="87" t="str">
        <f>VLOOKUP(C32,'Personal File'!$A$11:$C$16,3,FALSE)</f>
        <v>+8</v>
      </c>
      <c r="E32" s="88" t="str">
        <f t="shared" si="0"/>
        <v>Int (+8)</v>
      </c>
      <c r="F32" s="82" t="s">
        <v>23</v>
      </c>
      <c r="G32" s="82">
        <f t="shared" si="2"/>
        <v>20</v>
      </c>
      <c r="H32" s="476">
        <f t="shared" ca="1" si="3"/>
        <v>14</v>
      </c>
      <c r="I32" s="82">
        <f t="shared" ca="1" si="12"/>
        <v>34</v>
      </c>
      <c r="J32" s="83" t="s">
        <v>42</v>
      </c>
    </row>
    <row r="33" spans="1:10" ht="16.8" x14ac:dyDescent="0.3">
      <c r="A33" s="85" t="s">
        <v>49</v>
      </c>
      <c r="B33" s="550">
        <v>22</v>
      </c>
      <c r="C33" s="86" t="s">
        <v>375</v>
      </c>
      <c r="D33" s="87" t="str">
        <f>VLOOKUP(C33,'Personal File'!$A$11:$C$16,3,FALSE)</f>
        <v>+8</v>
      </c>
      <c r="E33" s="88" t="str">
        <f t="shared" si="0"/>
        <v>Int (+8)</v>
      </c>
      <c r="F33" s="452">
        <f>3+2</f>
        <v>5</v>
      </c>
      <c r="G33" s="82">
        <f t="shared" si="2"/>
        <v>35</v>
      </c>
      <c r="H33" s="476">
        <f t="shared" ca="1" si="3"/>
        <v>8</v>
      </c>
      <c r="I33" s="82">
        <f t="shared" ca="1" si="12"/>
        <v>43</v>
      </c>
      <c r="J33" s="83" t="s">
        <v>42</v>
      </c>
    </row>
    <row r="34" spans="1:10" ht="16.8" x14ac:dyDescent="0.3">
      <c r="A34" s="85" t="s">
        <v>50</v>
      </c>
      <c r="B34" s="550">
        <v>20</v>
      </c>
      <c r="C34" s="86" t="s">
        <v>375</v>
      </c>
      <c r="D34" s="87" t="str">
        <f>VLOOKUP(C34,'Personal File'!$A$11:$C$16,3,FALSE)</f>
        <v>+8</v>
      </c>
      <c r="E34" s="88" t="str">
        <f t="shared" si="0"/>
        <v>Int (+8)</v>
      </c>
      <c r="F34" s="82" t="s">
        <v>29</v>
      </c>
      <c r="G34" s="82">
        <f t="shared" si="2"/>
        <v>30</v>
      </c>
      <c r="H34" s="476">
        <f t="shared" ca="1" si="3"/>
        <v>6</v>
      </c>
      <c r="I34" s="82">
        <f t="shared" ca="1" si="6"/>
        <v>36</v>
      </c>
      <c r="J34" s="83" t="s">
        <v>42</v>
      </c>
    </row>
    <row r="35" spans="1:10" ht="16.8" x14ac:dyDescent="0.3">
      <c r="A35" s="432" t="s">
        <v>51</v>
      </c>
      <c r="B35" s="550">
        <v>3</v>
      </c>
      <c r="C35" s="429" t="s">
        <v>376</v>
      </c>
      <c r="D35" s="430" t="str">
        <f>VLOOKUP(C35,'Personal File'!$A$11:$C$16,3,FALSE)</f>
        <v>+6</v>
      </c>
      <c r="E35" s="431" t="str">
        <f t="shared" si="0"/>
        <v>Wis (+6)</v>
      </c>
      <c r="F35" s="82" t="s">
        <v>29</v>
      </c>
      <c r="G35" s="82">
        <f t="shared" si="2"/>
        <v>11</v>
      </c>
      <c r="H35" s="476">
        <f t="shared" ca="1" si="3"/>
        <v>18</v>
      </c>
      <c r="I35" s="82">
        <f t="shared" ca="1" si="6"/>
        <v>29</v>
      </c>
      <c r="J35" s="83" t="s">
        <v>462</v>
      </c>
    </row>
    <row r="36" spans="1:10" ht="16.8" x14ac:dyDescent="0.3">
      <c r="A36" s="67" t="s">
        <v>52</v>
      </c>
      <c r="B36" s="47">
        <v>0</v>
      </c>
      <c r="C36" s="68" t="s">
        <v>373</v>
      </c>
      <c r="D36" s="69" t="str">
        <f>VLOOKUP(C36,'Personal File'!$A$11:$C$16,3,FALSE)</f>
        <v>+7</v>
      </c>
      <c r="E36" s="53" t="str">
        <f t="shared" si="0"/>
        <v>Dex (+7)</v>
      </c>
      <c r="F36" s="65" t="s">
        <v>23</v>
      </c>
      <c r="G36" s="65">
        <f t="shared" si="2"/>
        <v>7</v>
      </c>
      <c r="H36" s="476">
        <f t="shared" ca="1" si="3"/>
        <v>20</v>
      </c>
      <c r="I36" s="65">
        <f t="shared" ca="1" si="6"/>
        <v>27</v>
      </c>
      <c r="J36" s="66"/>
    </row>
    <row r="37" spans="1:10" ht="16.8" x14ac:dyDescent="0.3">
      <c r="A37" s="67" t="s">
        <v>53</v>
      </c>
      <c r="B37" s="47">
        <v>0</v>
      </c>
      <c r="C37" s="68" t="s">
        <v>373</v>
      </c>
      <c r="D37" s="69" t="str">
        <f>VLOOKUP(C37,'Personal File'!$A$11:$C$16,3,FALSE)</f>
        <v>+7</v>
      </c>
      <c r="E37" s="53" t="str">
        <f t="shared" si="0"/>
        <v>Dex (+7)</v>
      </c>
      <c r="F37" s="65" t="s">
        <v>23</v>
      </c>
      <c r="G37" s="65">
        <f t="shared" si="2"/>
        <v>7</v>
      </c>
      <c r="H37" s="476">
        <f t="shared" ca="1" si="3"/>
        <v>17</v>
      </c>
      <c r="I37" s="65">
        <f t="shared" ca="1" si="6"/>
        <v>24</v>
      </c>
      <c r="J37" s="66"/>
    </row>
    <row r="38" spans="1:10" ht="16.8" x14ac:dyDescent="0.3">
      <c r="A38" s="70" t="s">
        <v>54</v>
      </c>
      <c r="B38" s="47">
        <v>0</v>
      </c>
      <c r="C38" s="71" t="s">
        <v>377</v>
      </c>
      <c r="D38" s="72" t="str">
        <f>VLOOKUP(C38,'Personal File'!$A$11:$C$16,3,FALSE)</f>
        <v>+4</v>
      </c>
      <c r="E38" s="73" t="str">
        <f t="shared" si="0"/>
        <v>Cha (+4)</v>
      </c>
      <c r="F38" s="65" t="s">
        <v>23</v>
      </c>
      <c r="G38" s="65">
        <f t="shared" si="2"/>
        <v>4</v>
      </c>
      <c r="H38" s="476">
        <f t="shared" ca="1" si="3"/>
        <v>1</v>
      </c>
      <c r="I38" s="65">
        <f t="shared" ca="1" si="6"/>
        <v>5</v>
      </c>
      <c r="J38" s="66"/>
    </row>
    <row r="39" spans="1:10" ht="16.8" x14ac:dyDescent="0.3">
      <c r="A39" s="342" t="s">
        <v>476</v>
      </c>
      <c r="B39" s="550">
        <v>5</v>
      </c>
      <c r="C39" s="429" t="s">
        <v>376</v>
      </c>
      <c r="D39" s="430" t="str">
        <f>VLOOKUP(C39,'Personal File'!$A$11:$C$16,3,FALSE)</f>
        <v>+6</v>
      </c>
      <c r="E39" s="431" t="str">
        <f t="shared" si="0"/>
        <v>Wis (+6)</v>
      </c>
      <c r="F39" s="82" t="s">
        <v>23</v>
      </c>
      <c r="G39" s="82">
        <f t="shared" si="2"/>
        <v>11</v>
      </c>
      <c r="H39" s="476">
        <f t="shared" ca="1" si="3"/>
        <v>17</v>
      </c>
      <c r="I39" s="82">
        <f t="shared" ca="1" si="6"/>
        <v>28</v>
      </c>
      <c r="J39" s="83"/>
    </row>
    <row r="40" spans="1:10" ht="16.8" x14ac:dyDescent="0.3">
      <c r="A40" s="479" t="s">
        <v>55</v>
      </c>
      <c r="B40" s="550">
        <v>1</v>
      </c>
      <c r="C40" s="480" t="s">
        <v>373</v>
      </c>
      <c r="D40" s="481" t="str">
        <f>VLOOKUP(C40,'Personal File'!$A$11:$C$16,3,FALSE)</f>
        <v>+7</v>
      </c>
      <c r="E40" s="482" t="str">
        <f t="shared" si="0"/>
        <v>Dex (+7)</v>
      </c>
      <c r="F40" s="82" t="s">
        <v>23</v>
      </c>
      <c r="G40" s="82">
        <f t="shared" si="2"/>
        <v>8</v>
      </c>
      <c r="H40" s="476">
        <f t="shared" ca="1" si="3"/>
        <v>7</v>
      </c>
      <c r="I40" s="82">
        <f t="shared" ca="1" si="6"/>
        <v>15</v>
      </c>
      <c r="J40" s="83" t="s">
        <v>462</v>
      </c>
    </row>
    <row r="41" spans="1:10" ht="16.8" x14ac:dyDescent="0.3">
      <c r="A41" s="61" t="s">
        <v>56</v>
      </c>
      <c r="B41" s="47">
        <v>0</v>
      </c>
      <c r="C41" s="62" t="s">
        <v>375</v>
      </c>
      <c r="D41" s="63" t="str">
        <f>VLOOKUP(C41,'Personal File'!$A$11:$C$16,3,FALSE)</f>
        <v>+8</v>
      </c>
      <c r="E41" s="64" t="str">
        <f t="shared" si="0"/>
        <v>Int (+8)</v>
      </c>
      <c r="F41" s="65" t="s">
        <v>29</v>
      </c>
      <c r="G41" s="65">
        <f t="shared" si="2"/>
        <v>10</v>
      </c>
      <c r="H41" s="476">
        <f t="shared" ca="1" si="3"/>
        <v>8</v>
      </c>
      <c r="I41" s="65">
        <f t="shared" ca="1" si="6"/>
        <v>18</v>
      </c>
      <c r="J41" s="66"/>
    </row>
    <row r="42" spans="1:10" ht="16.8" x14ac:dyDescent="0.3">
      <c r="A42" s="432" t="s">
        <v>57</v>
      </c>
      <c r="B42" s="550">
        <v>5</v>
      </c>
      <c r="C42" s="429" t="s">
        <v>376</v>
      </c>
      <c r="D42" s="430" t="str">
        <f>VLOOKUP(C42,'Personal File'!$A$11:$C$16,3,FALSE)</f>
        <v>+6</v>
      </c>
      <c r="E42" s="431" t="str">
        <f t="shared" si="0"/>
        <v>Wis (+6)</v>
      </c>
      <c r="F42" s="82" t="s">
        <v>23</v>
      </c>
      <c r="G42" s="82">
        <f t="shared" si="2"/>
        <v>11</v>
      </c>
      <c r="H42" s="476">
        <f t="shared" ca="1" si="3"/>
        <v>13</v>
      </c>
      <c r="I42" s="82">
        <f t="shared" ca="1" si="6"/>
        <v>24</v>
      </c>
      <c r="J42" s="83" t="s">
        <v>462</v>
      </c>
    </row>
    <row r="43" spans="1:10" ht="16.8" x14ac:dyDescent="0.3">
      <c r="A43" s="99" t="s">
        <v>58</v>
      </c>
      <c r="B43" s="551">
        <v>0</v>
      </c>
      <c r="C43" s="100" t="s">
        <v>373</v>
      </c>
      <c r="D43" s="101" t="str">
        <f>VLOOKUP(C43,'Personal File'!$A$11:$C$16,3,FALSE)</f>
        <v>+7</v>
      </c>
      <c r="E43" s="102" t="str">
        <f t="shared" si="0"/>
        <v>Dex (+7)</v>
      </c>
      <c r="F43" s="93" t="s">
        <v>23</v>
      </c>
      <c r="G43" s="93">
        <f t="shared" si="2"/>
        <v>7</v>
      </c>
      <c r="H43" s="476">
        <f t="shared" ca="1" si="3"/>
        <v>13</v>
      </c>
      <c r="I43" s="93">
        <f t="shared" ca="1" si="6"/>
        <v>20</v>
      </c>
      <c r="J43" s="94"/>
    </row>
    <row r="44" spans="1:10" ht="16.8" x14ac:dyDescent="0.3">
      <c r="A44" s="89" t="s">
        <v>59</v>
      </c>
      <c r="B44" s="551">
        <v>0</v>
      </c>
      <c r="C44" s="90" t="s">
        <v>375</v>
      </c>
      <c r="D44" s="91" t="str">
        <f>VLOOKUP(C44,'Personal File'!$A$11:$C$16,3,FALSE)</f>
        <v>+8</v>
      </c>
      <c r="E44" s="92" t="str">
        <f t="shared" si="0"/>
        <v>Int (+8)</v>
      </c>
      <c r="F44" s="93" t="s">
        <v>23</v>
      </c>
      <c r="G44" s="93">
        <f t="shared" si="2"/>
        <v>8</v>
      </c>
      <c r="H44" s="476">
        <f t="shared" ca="1" si="3"/>
        <v>1</v>
      </c>
      <c r="I44" s="93">
        <f t="shared" ca="1" si="6"/>
        <v>9</v>
      </c>
      <c r="J44" s="103"/>
    </row>
    <row r="45" spans="1:10" ht="16.8" x14ac:dyDescent="0.3">
      <c r="A45" s="61" t="s">
        <v>60</v>
      </c>
      <c r="B45" s="47">
        <v>0</v>
      </c>
      <c r="C45" s="62" t="s">
        <v>375</v>
      </c>
      <c r="D45" s="63" t="str">
        <f>VLOOKUP(C45,'Personal File'!$A$11:$C$16,3,FALSE)</f>
        <v>+8</v>
      </c>
      <c r="E45" s="64" t="str">
        <f t="shared" si="0"/>
        <v>Int (+8)</v>
      </c>
      <c r="F45" s="65" t="s">
        <v>29</v>
      </c>
      <c r="G45" s="65">
        <f t="shared" si="2"/>
        <v>10</v>
      </c>
      <c r="H45" s="476">
        <f t="shared" ca="1" si="3"/>
        <v>6</v>
      </c>
      <c r="I45" s="65">
        <f t="shared" ca="1" si="6"/>
        <v>16</v>
      </c>
      <c r="J45" s="104"/>
    </row>
    <row r="46" spans="1:10" ht="16.8" x14ac:dyDescent="0.3">
      <c r="A46" s="432" t="s">
        <v>61</v>
      </c>
      <c r="B46" s="550">
        <v>2</v>
      </c>
      <c r="C46" s="429" t="s">
        <v>376</v>
      </c>
      <c r="D46" s="430" t="str">
        <f>VLOOKUP(C46,'Personal File'!$A$11:$C$16,3,FALSE)</f>
        <v>+6</v>
      </c>
      <c r="E46" s="431" t="str">
        <f t="shared" si="0"/>
        <v>Wis (+6)</v>
      </c>
      <c r="F46" s="82" t="s">
        <v>23</v>
      </c>
      <c r="G46" s="82">
        <f t="shared" si="2"/>
        <v>8</v>
      </c>
      <c r="H46" s="476">
        <f t="shared" ca="1" si="3"/>
        <v>2</v>
      </c>
      <c r="I46" s="82">
        <f t="shared" ca="1" si="6"/>
        <v>10</v>
      </c>
      <c r="J46" s="83" t="s">
        <v>462</v>
      </c>
    </row>
    <row r="47" spans="1:10" ht="16.8" x14ac:dyDescent="0.3">
      <c r="A47" s="432" t="s">
        <v>62</v>
      </c>
      <c r="B47" s="550">
        <v>2</v>
      </c>
      <c r="C47" s="429" t="s">
        <v>376</v>
      </c>
      <c r="D47" s="430" t="str">
        <f>VLOOKUP(C47,'Personal File'!$A$11:$C$16,3,FALSE)</f>
        <v>+6</v>
      </c>
      <c r="E47" s="431" t="str">
        <f t="shared" si="0"/>
        <v>Wis (+6)</v>
      </c>
      <c r="F47" s="82" t="s">
        <v>23</v>
      </c>
      <c r="G47" s="82">
        <f t="shared" si="2"/>
        <v>8</v>
      </c>
      <c r="H47" s="476">
        <f t="shared" ca="1" si="3"/>
        <v>5</v>
      </c>
      <c r="I47" s="82">
        <f t="shared" ca="1" si="6"/>
        <v>13</v>
      </c>
      <c r="J47" s="428" t="s">
        <v>475</v>
      </c>
    </row>
    <row r="48" spans="1:10" ht="16.8" x14ac:dyDescent="0.3">
      <c r="A48" s="526" t="s">
        <v>63</v>
      </c>
      <c r="B48" s="550">
        <v>2</v>
      </c>
      <c r="C48" s="527" t="s">
        <v>372</v>
      </c>
      <c r="D48" s="528" t="str">
        <f>VLOOKUP(C48,'Personal File'!$A$11:$C$16,3,FALSE)</f>
        <v>+5</v>
      </c>
      <c r="E48" s="529" t="str">
        <f t="shared" si="0"/>
        <v>Str (+5)</v>
      </c>
      <c r="F48" s="82" t="s">
        <v>23</v>
      </c>
      <c r="G48" s="82">
        <f t="shared" si="2"/>
        <v>7</v>
      </c>
      <c r="H48" s="476">
        <f t="shared" ca="1" si="3"/>
        <v>13</v>
      </c>
      <c r="I48" s="82">
        <f t="shared" ca="1" si="6"/>
        <v>20</v>
      </c>
      <c r="J48" s="83" t="s">
        <v>462</v>
      </c>
    </row>
    <row r="49" spans="1:10" ht="16.8" x14ac:dyDescent="0.3">
      <c r="A49" s="479" t="s">
        <v>64</v>
      </c>
      <c r="B49" s="550">
        <v>2</v>
      </c>
      <c r="C49" s="480" t="s">
        <v>373</v>
      </c>
      <c r="D49" s="481" t="str">
        <f>VLOOKUP(C49,'Personal File'!$A$11:$C$16,3,FALSE)</f>
        <v>+7</v>
      </c>
      <c r="E49" s="482" t="str">
        <f t="shared" si="0"/>
        <v>Dex (+7)</v>
      </c>
      <c r="F49" s="82" t="s">
        <v>23</v>
      </c>
      <c r="G49" s="82">
        <f t="shared" si="2"/>
        <v>9</v>
      </c>
      <c r="H49" s="476">
        <f t="shared" ca="1" si="3"/>
        <v>18</v>
      </c>
      <c r="I49" s="82">
        <f t="shared" ca="1" si="6"/>
        <v>27</v>
      </c>
      <c r="J49" s="83" t="s">
        <v>462</v>
      </c>
    </row>
    <row r="50" spans="1:10" ht="16.8" x14ac:dyDescent="0.3">
      <c r="A50" s="342" t="s">
        <v>65</v>
      </c>
      <c r="B50" s="550">
        <v>2</v>
      </c>
      <c r="C50" s="343" t="s">
        <v>377</v>
      </c>
      <c r="D50" s="344" t="str">
        <f>VLOOKUP(C50,'Personal File'!$A$11:$C$16,3,FALSE)</f>
        <v>+4</v>
      </c>
      <c r="E50" s="345" t="str">
        <f t="shared" si="0"/>
        <v>Cha (+4)</v>
      </c>
      <c r="F50" s="82" t="s">
        <v>29</v>
      </c>
      <c r="G50" s="82">
        <f t="shared" si="2"/>
        <v>8</v>
      </c>
      <c r="H50" s="476">
        <f t="shared" ca="1" si="3"/>
        <v>6</v>
      </c>
      <c r="I50" s="82">
        <f t="shared" ca="1" si="6"/>
        <v>14</v>
      </c>
      <c r="J50" s="428" t="s">
        <v>413</v>
      </c>
    </row>
    <row r="51" spans="1:10" ht="17.399999999999999" thickBot="1" x14ac:dyDescent="0.35">
      <c r="A51" s="105" t="s">
        <v>66</v>
      </c>
      <c r="B51" s="172">
        <v>0</v>
      </c>
      <c r="C51" s="106" t="s">
        <v>373</v>
      </c>
      <c r="D51" s="107" t="str">
        <f>VLOOKUP(C51,'Personal File'!$A$11:$C$16,3,FALSE)</f>
        <v>+7</v>
      </c>
      <c r="E51" s="108" t="str">
        <f t="shared" si="0"/>
        <v>Dex (+7)</v>
      </c>
      <c r="F51" s="109" t="s">
        <v>23</v>
      </c>
      <c r="G51" s="109">
        <f t="shared" si="2"/>
        <v>7</v>
      </c>
      <c r="H51" s="478">
        <f t="shared" ca="1" si="3"/>
        <v>10</v>
      </c>
      <c r="I51" s="109">
        <f t="shared" ca="1" si="6"/>
        <v>17</v>
      </c>
      <c r="J51" s="110"/>
    </row>
    <row r="52" spans="1:10" ht="16.2" thickTop="1" x14ac:dyDescent="0.3">
      <c r="A52" s="111"/>
      <c r="B52" s="112">
        <f>SUM(B6:B51,B40,B42,B46,B47,B48,B49)</f>
        <v>253</v>
      </c>
      <c r="C52" s="113"/>
      <c r="D52" s="113"/>
      <c r="E52" s="112">
        <f>SUM(E53:E74)</f>
        <v>299</v>
      </c>
      <c r="F52" s="114"/>
      <c r="G52" s="114"/>
      <c r="H52" s="114"/>
      <c r="I52" s="114"/>
      <c r="J52" s="111"/>
    </row>
    <row r="53" spans="1:10" x14ac:dyDescent="0.3">
      <c r="A53" s="111"/>
      <c r="B53" s="112"/>
      <c r="C53" s="113"/>
      <c r="D53" s="113"/>
      <c r="E53" s="115">
        <f>4*(4+'Personal File'!$C$14)</f>
        <v>48</v>
      </c>
      <c r="F53" s="116" t="s">
        <v>67</v>
      </c>
      <c r="G53" s="114"/>
      <c r="H53" s="114"/>
      <c r="I53" s="114"/>
      <c r="J53" s="111"/>
    </row>
    <row r="54" spans="1:10" x14ac:dyDescent="0.3">
      <c r="A54" s="111"/>
      <c r="B54" s="117"/>
      <c r="C54" s="113"/>
      <c r="D54" s="113"/>
      <c r="E54" s="115">
        <f>4+'Personal File'!$C$14</f>
        <v>12</v>
      </c>
      <c r="F54" s="116" t="s">
        <v>68</v>
      </c>
      <c r="G54" s="114"/>
      <c r="H54" s="114"/>
      <c r="I54" s="114"/>
      <c r="J54" s="111"/>
    </row>
    <row r="55" spans="1:10" x14ac:dyDescent="0.3">
      <c r="A55" s="111"/>
      <c r="B55" s="117"/>
      <c r="C55" s="113"/>
      <c r="D55" s="113"/>
      <c r="E55" s="115">
        <f>4+'Personal File'!$C$14</f>
        <v>12</v>
      </c>
      <c r="F55" s="116" t="s">
        <v>69</v>
      </c>
      <c r="G55" s="114"/>
      <c r="H55" s="114"/>
      <c r="I55" s="114"/>
      <c r="J55" s="111"/>
    </row>
    <row r="56" spans="1:10" x14ac:dyDescent="0.3">
      <c r="A56" s="111"/>
      <c r="B56" s="117"/>
      <c r="C56" s="113"/>
      <c r="D56" s="113"/>
      <c r="E56" s="115">
        <f>4+'Personal File'!$C$14</f>
        <v>12</v>
      </c>
      <c r="F56" s="116" t="s">
        <v>70</v>
      </c>
      <c r="G56" s="114"/>
      <c r="H56" s="114"/>
      <c r="I56" s="114"/>
      <c r="J56" s="111"/>
    </row>
    <row r="57" spans="1:10" x14ac:dyDescent="0.3">
      <c r="A57" s="111"/>
      <c r="B57" s="117"/>
      <c r="C57" s="113"/>
      <c r="D57" s="113"/>
      <c r="E57" s="115">
        <f>4+'Personal File'!$C$14</f>
        <v>12</v>
      </c>
      <c r="F57" s="116" t="s">
        <v>71</v>
      </c>
      <c r="G57" s="114"/>
      <c r="H57" s="114"/>
      <c r="I57" s="114"/>
      <c r="J57" s="111"/>
    </row>
    <row r="58" spans="1:10" x14ac:dyDescent="0.3">
      <c r="A58" s="111"/>
      <c r="B58" s="117"/>
      <c r="C58" s="113"/>
      <c r="D58" s="113"/>
      <c r="E58" s="115">
        <f>4+'Personal File'!$C$14</f>
        <v>12</v>
      </c>
      <c r="F58" s="116" t="s">
        <v>72</v>
      </c>
      <c r="G58" s="114"/>
      <c r="H58" s="114"/>
      <c r="I58" s="114"/>
      <c r="J58" s="111"/>
    </row>
    <row r="59" spans="1:10" x14ac:dyDescent="0.3">
      <c r="A59" s="111"/>
      <c r="B59" s="117"/>
      <c r="C59" s="113"/>
      <c r="D59" s="113"/>
      <c r="E59" s="115">
        <f>4+'Personal File'!$C$14</f>
        <v>12</v>
      </c>
      <c r="F59" s="116" t="s">
        <v>73</v>
      </c>
      <c r="G59" s="114"/>
      <c r="H59" s="114"/>
      <c r="I59" s="114"/>
      <c r="J59" s="111"/>
    </row>
    <row r="60" spans="1:10" x14ac:dyDescent="0.3">
      <c r="A60" s="111"/>
      <c r="B60" s="111"/>
      <c r="C60" s="114"/>
      <c r="D60" s="114"/>
      <c r="E60" s="115">
        <f>4+'Personal File'!$C$14</f>
        <v>12</v>
      </c>
      <c r="F60" s="116" t="s">
        <v>74</v>
      </c>
      <c r="G60" s="114"/>
      <c r="H60" s="114"/>
      <c r="I60" s="114"/>
      <c r="J60" s="111"/>
    </row>
    <row r="61" spans="1:10" x14ac:dyDescent="0.3">
      <c r="A61" s="111"/>
      <c r="B61" s="111"/>
      <c r="C61" s="114"/>
      <c r="D61" s="114"/>
      <c r="E61" s="115">
        <f>4+'Personal File'!$C$14</f>
        <v>12</v>
      </c>
      <c r="F61" s="116" t="s">
        <v>75</v>
      </c>
      <c r="G61" s="114"/>
      <c r="H61" s="114"/>
      <c r="I61" s="114"/>
      <c r="J61" s="111"/>
    </row>
    <row r="62" spans="1:10" x14ac:dyDescent="0.3">
      <c r="A62" s="111"/>
      <c r="B62" s="111"/>
      <c r="C62" s="114"/>
      <c r="D62" s="114"/>
      <c r="E62" s="115">
        <f>4+'Personal File'!$C$14</f>
        <v>12</v>
      </c>
      <c r="F62" s="116" t="s">
        <v>76</v>
      </c>
      <c r="G62" s="114"/>
      <c r="H62" s="114"/>
      <c r="I62" s="114"/>
      <c r="J62" s="111"/>
    </row>
    <row r="63" spans="1:10" x14ac:dyDescent="0.3">
      <c r="E63" s="115">
        <f>4+'Personal File'!$C$14</f>
        <v>12</v>
      </c>
      <c r="F63" s="116" t="s">
        <v>322</v>
      </c>
    </row>
    <row r="64" spans="1:10" x14ac:dyDescent="0.3">
      <c r="E64" s="115">
        <f>4+'Personal File'!$C$14</f>
        <v>12</v>
      </c>
      <c r="F64" s="116" t="s">
        <v>325</v>
      </c>
    </row>
    <row r="65" spans="5:6" x14ac:dyDescent="0.3">
      <c r="E65" s="115">
        <f>4+'Personal File'!$C$14</f>
        <v>12</v>
      </c>
      <c r="F65" s="116" t="s">
        <v>456</v>
      </c>
    </row>
    <row r="66" spans="5:6" x14ac:dyDescent="0.3">
      <c r="E66" s="115">
        <f>4+'Personal File'!$C$14</f>
        <v>12</v>
      </c>
      <c r="F66" s="116" t="s">
        <v>457</v>
      </c>
    </row>
    <row r="67" spans="5:6" x14ac:dyDescent="0.3">
      <c r="E67" s="115">
        <f>4+'Personal File'!$C$14</f>
        <v>12</v>
      </c>
      <c r="F67" s="116" t="s">
        <v>458</v>
      </c>
    </row>
    <row r="68" spans="5:6" x14ac:dyDescent="0.3">
      <c r="E68" s="115">
        <f>4+'Personal File'!$C$14</f>
        <v>12</v>
      </c>
      <c r="F68" s="116" t="s">
        <v>459</v>
      </c>
    </row>
    <row r="69" spans="5:6" x14ac:dyDescent="0.3">
      <c r="E69" s="115">
        <f>4+'Personal File'!$C$14</f>
        <v>12</v>
      </c>
      <c r="F69" s="116" t="s">
        <v>460</v>
      </c>
    </row>
    <row r="70" spans="5:6" x14ac:dyDescent="0.3">
      <c r="E70" s="115">
        <f>4+'Personal File'!$C$14</f>
        <v>12</v>
      </c>
      <c r="F70" s="116" t="s">
        <v>461</v>
      </c>
    </row>
    <row r="71" spans="5:6" x14ac:dyDescent="0.3">
      <c r="E71" s="115">
        <f>4+'Personal File'!$C$14</f>
        <v>12</v>
      </c>
      <c r="F71" s="116" t="s">
        <v>474</v>
      </c>
    </row>
    <row r="72" spans="5:6" x14ac:dyDescent="0.3">
      <c r="E72" s="115">
        <f>4+'Personal File'!$C$14</f>
        <v>12</v>
      </c>
      <c r="F72" s="116" t="s">
        <v>522</v>
      </c>
    </row>
    <row r="73" spans="5:6" x14ac:dyDescent="0.3">
      <c r="E73" s="115">
        <f>3+'Personal File'!E3</f>
        <v>23</v>
      </c>
      <c r="F73" s="116" t="s">
        <v>399</v>
      </c>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0"/>
  <sheetViews>
    <sheetView showGridLines="0" workbookViewId="0"/>
  </sheetViews>
  <sheetFormatPr defaultRowHeight="15.6" x14ac:dyDescent="0.3"/>
  <cols>
    <col min="1" max="1" width="27.59765625" bestFit="1" customWidth="1"/>
    <col min="2" max="2" width="6.19921875" bestFit="1" customWidth="1"/>
    <col min="3" max="3" width="13.59765625" bestFit="1" customWidth="1"/>
    <col min="4" max="4" width="13.5" customWidth="1"/>
    <col min="5" max="5" width="10.5" bestFit="1" customWidth="1"/>
    <col min="6" max="7" width="13.19921875" bestFit="1" customWidth="1"/>
    <col min="8" max="8" width="21.69921875" bestFit="1" customWidth="1"/>
    <col min="9" max="9" width="5.5" bestFit="1" customWidth="1"/>
  </cols>
  <sheetData>
    <row r="1" spans="1:9" ht="23.4" thickBot="1" x14ac:dyDescent="0.35">
      <c r="A1" s="118" t="s">
        <v>77</v>
      </c>
      <c r="B1" s="119"/>
      <c r="C1" s="119"/>
      <c r="D1" s="119"/>
      <c r="E1" s="119"/>
      <c r="F1" s="119"/>
      <c r="G1" s="119"/>
      <c r="H1" s="119"/>
      <c r="I1" s="120"/>
    </row>
    <row r="2" spans="1:9" ht="16.8" x14ac:dyDescent="0.3">
      <c r="A2" s="121" t="s">
        <v>78</v>
      </c>
      <c r="B2" s="122" t="s">
        <v>79</v>
      </c>
      <c r="C2" s="122" t="s">
        <v>80</v>
      </c>
      <c r="D2" s="164" t="s">
        <v>81</v>
      </c>
      <c r="E2" s="122" t="s">
        <v>82</v>
      </c>
      <c r="F2" s="122" t="s">
        <v>83</v>
      </c>
      <c r="G2" s="122" t="s">
        <v>84</v>
      </c>
      <c r="H2" s="123" t="s">
        <v>85</v>
      </c>
      <c r="I2" s="124" t="s">
        <v>86</v>
      </c>
    </row>
    <row r="3" spans="1:9" ht="16.8" x14ac:dyDescent="0.3">
      <c r="A3" s="125" t="s">
        <v>87</v>
      </c>
      <c r="B3" s="126">
        <v>0</v>
      </c>
      <c r="C3" s="127" t="s">
        <v>88</v>
      </c>
      <c r="D3" s="128" t="s">
        <v>89</v>
      </c>
      <c r="E3" s="129" t="s">
        <v>90</v>
      </c>
      <c r="F3" s="130" t="s">
        <v>91</v>
      </c>
      <c r="G3" s="130" t="s">
        <v>92</v>
      </c>
      <c r="H3" s="130" t="s">
        <v>93</v>
      </c>
      <c r="I3" s="131">
        <v>9</v>
      </c>
    </row>
    <row r="4" spans="1:9" ht="16.8" x14ac:dyDescent="0.3">
      <c r="A4" s="125" t="s">
        <v>94</v>
      </c>
      <c r="B4" s="126">
        <v>0</v>
      </c>
      <c r="C4" s="127" t="s">
        <v>95</v>
      </c>
      <c r="D4" s="128" t="s">
        <v>89</v>
      </c>
      <c r="E4" s="129" t="s">
        <v>90</v>
      </c>
      <c r="F4" s="130" t="s">
        <v>91</v>
      </c>
      <c r="G4" s="130" t="s">
        <v>96</v>
      </c>
      <c r="H4" s="130" t="s">
        <v>97</v>
      </c>
      <c r="I4" s="131">
        <v>215</v>
      </c>
    </row>
    <row r="5" spans="1:9" ht="16.8" x14ac:dyDescent="0.3">
      <c r="A5" s="125" t="s">
        <v>98</v>
      </c>
      <c r="B5" s="126">
        <v>0</v>
      </c>
      <c r="C5" s="127" t="s">
        <v>99</v>
      </c>
      <c r="D5" s="128" t="s">
        <v>89</v>
      </c>
      <c r="E5" s="129" t="s">
        <v>90</v>
      </c>
      <c r="F5" s="130" t="s">
        <v>100</v>
      </c>
      <c r="G5" s="130" t="s">
        <v>96</v>
      </c>
      <c r="H5" s="130" t="s">
        <v>97</v>
      </c>
      <c r="I5" s="131">
        <v>216</v>
      </c>
    </row>
    <row r="6" spans="1:9" ht="16.8" x14ac:dyDescent="0.3">
      <c r="A6" s="125" t="s">
        <v>101</v>
      </c>
      <c r="B6" s="126">
        <v>0</v>
      </c>
      <c r="C6" s="132" t="s">
        <v>99</v>
      </c>
      <c r="D6" s="128" t="s">
        <v>89</v>
      </c>
      <c r="E6" s="130" t="s">
        <v>90</v>
      </c>
      <c r="F6" s="130" t="s">
        <v>102</v>
      </c>
      <c r="G6" s="130" t="s">
        <v>103</v>
      </c>
      <c r="H6" s="130" t="s">
        <v>97</v>
      </c>
      <c r="I6" s="131">
        <v>219</v>
      </c>
    </row>
    <row r="7" spans="1:9" ht="16.8" x14ac:dyDescent="0.3">
      <c r="A7" s="125" t="s">
        <v>104</v>
      </c>
      <c r="B7" s="126">
        <v>0</v>
      </c>
      <c r="C7" s="127" t="s">
        <v>105</v>
      </c>
      <c r="D7" s="128" t="s">
        <v>89</v>
      </c>
      <c r="E7" s="129" t="s">
        <v>90</v>
      </c>
      <c r="F7" s="130" t="s">
        <v>91</v>
      </c>
      <c r="G7" s="130" t="s">
        <v>96</v>
      </c>
      <c r="H7" s="130" t="s">
        <v>97</v>
      </c>
      <c r="I7" s="131">
        <v>219</v>
      </c>
    </row>
    <row r="8" spans="1:9" ht="16.8" x14ac:dyDescent="0.3">
      <c r="A8" s="125" t="s">
        <v>106</v>
      </c>
      <c r="B8" s="126">
        <v>0</v>
      </c>
      <c r="C8" s="127" t="s">
        <v>105</v>
      </c>
      <c r="D8" s="128" t="s">
        <v>89</v>
      </c>
      <c r="E8" s="129" t="s">
        <v>90</v>
      </c>
      <c r="F8" s="130" t="s">
        <v>100</v>
      </c>
      <c r="G8" s="130" t="s">
        <v>107</v>
      </c>
      <c r="H8" s="130" t="s">
        <v>97</v>
      </c>
      <c r="I8" s="133">
        <v>238</v>
      </c>
    </row>
    <row r="9" spans="1:9" ht="16.8" x14ac:dyDescent="0.3">
      <c r="A9" s="125" t="s">
        <v>108</v>
      </c>
      <c r="B9" s="126">
        <v>0</v>
      </c>
      <c r="C9" s="127" t="s">
        <v>109</v>
      </c>
      <c r="D9" s="128" t="s">
        <v>110</v>
      </c>
      <c r="E9" s="129" t="s">
        <v>90</v>
      </c>
      <c r="F9" s="130" t="s">
        <v>100</v>
      </c>
      <c r="G9" s="130" t="s">
        <v>92</v>
      </c>
      <c r="H9" s="130" t="s">
        <v>97</v>
      </c>
      <c r="I9" s="131">
        <v>248</v>
      </c>
    </row>
    <row r="10" spans="1:9" ht="16.8" x14ac:dyDescent="0.3">
      <c r="A10" s="125" t="s">
        <v>111</v>
      </c>
      <c r="B10" s="126">
        <v>0</v>
      </c>
      <c r="C10" s="127" t="s">
        <v>88</v>
      </c>
      <c r="D10" s="128" t="s">
        <v>89</v>
      </c>
      <c r="E10" s="129" t="s">
        <v>90</v>
      </c>
      <c r="F10" s="130" t="s">
        <v>112</v>
      </c>
      <c r="G10" s="130" t="s">
        <v>96</v>
      </c>
      <c r="H10" s="130" t="s">
        <v>97</v>
      </c>
      <c r="I10" s="131">
        <v>253</v>
      </c>
    </row>
    <row r="11" spans="1:9" ht="16.8" x14ac:dyDescent="0.3">
      <c r="A11" s="125" t="s">
        <v>113</v>
      </c>
      <c r="B11" s="126">
        <v>0</v>
      </c>
      <c r="C11" s="127" t="s">
        <v>88</v>
      </c>
      <c r="D11" s="128" t="s">
        <v>114</v>
      </c>
      <c r="E11" s="129" t="s">
        <v>90</v>
      </c>
      <c r="F11" s="130" t="s">
        <v>115</v>
      </c>
      <c r="G11" s="130" t="s">
        <v>92</v>
      </c>
      <c r="H11" s="130" t="s">
        <v>97</v>
      </c>
      <c r="I11" s="131">
        <v>253</v>
      </c>
    </row>
    <row r="12" spans="1:9" ht="16.8" x14ac:dyDescent="0.3">
      <c r="A12" s="125" t="s">
        <v>116</v>
      </c>
      <c r="B12" s="126">
        <v>0</v>
      </c>
      <c r="C12" s="127" t="s">
        <v>117</v>
      </c>
      <c r="D12" s="128" t="s">
        <v>118</v>
      </c>
      <c r="E12" s="129" t="s">
        <v>119</v>
      </c>
      <c r="F12" s="130" t="s">
        <v>100</v>
      </c>
      <c r="G12" s="130" t="s">
        <v>120</v>
      </c>
      <c r="H12" s="130" t="s">
        <v>121</v>
      </c>
      <c r="I12" s="131">
        <v>101</v>
      </c>
    </row>
    <row r="13" spans="1:9" ht="16.8" x14ac:dyDescent="0.3">
      <c r="A13" s="125" t="s">
        <v>122</v>
      </c>
      <c r="B13" s="126">
        <v>0</v>
      </c>
      <c r="C13" s="127" t="s">
        <v>99</v>
      </c>
      <c r="D13" s="128" t="s">
        <v>89</v>
      </c>
      <c r="E13" s="129" t="s">
        <v>90</v>
      </c>
      <c r="F13" s="130" t="s">
        <v>112</v>
      </c>
      <c r="G13" s="130" t="s">
        <v>96</v>
      </c>
      <c r="H13" s="130" t="s">
        <v>97</v>
      </c>
      <c r="I13" s="131">
        <v>267</v>
      </c>
    </row>
    <row r="14" spans="1:9" ht="16.8" x14ac:dyDescent="0.3">
      <c r="A14" s="125" t="s">
        <v>123</v>
      </c>
      <c r="B14" s="126">
        <v>0</v>
      </c>
      <c r="C14" s="127" t="s">
        <v>99</v>
      </c>
      <c r="D14" s="128" t="s">
        <v>114</v>
      </c>
      <c r="E14" s="129" t="s">
        <v>90</v>
      </c>
      <c r="F14" s="130" t="s">
        <v>124</v>
      </c>
      <c r="G14" s="130" t="s">
        <v>92</v>
      </c>
      <c r="H14" s="130" t="s">
        <v>97</v>
      </c>
      <c r="I14" s="131">
        <v>269</v>
      </c>
    </row>
    <row r="15" spans="1:9" ht="16.8" x14ac:dyDescent="0.3">
      <c r="A15" s="125" t="s">
        <v>125</v>
      </c>
      <c r="B15" s="126">
        <v>0</v>
      </c>
      <c r="C15" s="132" t="s">
        <v>126</v>
      </c>
      <c r="D15" s="128" t="s">
        <v>127</v>
      </c>
      <c r="E15" s="129" t="s">
        <v>90</v>
      </c>
      <c r="F15" s="130" t="s">
        <v>100</v>
      </c>
      <c r="G15" s="130" t="s">
        <v>107</v>
      </c>
      <c r="H15" s="130" t="s">
        <v>97</v>
      </c>
      <c r="I15" s="131">
        <v>272</v>
      </c>
    </row>
    <row r="16" spans="1:9" ht="16.8" x14ac:dyDescent="0.3">
      <c r="A16" s="125" t="s">
        <v>128</v>
      </c>
      <c r="B16" s="126">
        <v>0</v>
      </c>
      <c r="C16" s="127" t="s">
        <v>95</v>
      </c>
      <c r="D16" s="128" t="s">
        <v>89</v>
      </c>
      <c r="E16" s="129" t="s">
        <v>90</v>
      </c>
      <c r="F16" s="130" t="s">
        <v>129</v>
      </c>
      <c r="G16" s="130" t="s">
        <v>130</v>
      </c>
      <c r="H16" s="130" t="s">
        <v>131</v>
      </c>
      <c r="I16" s="131">
        <v>128</v>
      </c>
    </row>
    <row r="17" spans="1:9" ht="16.8" x14ac:dyDescent="0.3">
      <c r="A17" s="134" t="s">
        <v>132</v>
      </c>
      <c r="B17" s="135">
        <v>0</v>
      </c>
      <c r="C17" s="136" t="s">
        <v>88</v>
      </c>
      <c r="D17" s="137" t="s">
        <v>118</v>
      </c>
      <c r="E17" s="137" t="s">
        <v>90</v>
      </c>
      <c r="F17" s="138" t="s">
        <v>100</v>
      </c>
      <c r="G17" s="138" t="s">
        <v>107</v>
      </c>
      <c r="H17" s="138" t="s">
        <v>97</v>
      </c>
      <c r="I17" s="139">
        <v>298</v>
      </c>
    </row>
    <row r="18" spans="1:9" ht="16.8" x14ac:dyDescent="0.3">
      <c r="A18" s="125" t="s">
        <v>133</v>
      </c>
      <c r="B18" s="126">
        <v>1</v>
      </c>
      <c r="C18" s="127" t="s">
        <v>134</v>
      </c>
      <c r="D18" s="128" t="s">
        <v>118</v>
      </c>
      <c r="E18" s="129" t="s">
        <v>90</v>
      </c>
      <c r="F18" s="130" t="s">
        <v>135</v>
      </c>
      <c r="G18" s="130" t="s">
        <v>103</v>
      </c>
      <c r="H18" s="130" t="s">
        <v>97</v>
      </c>
      <c r="I18" s="133">
        <v>205</v>
      </c>
    </row>
    <row r="19" spans="1:9" ht="16.8" x14ac:dyDescent="0.3">
      <c r="A19" s="125" t="s">
        <v>136</v>
      </c>
      <c r="B19" s="126">
        <v>1</v>
      </c>
      <c r="C19" s="127" t="s">
        <v>88</v>
      </c>
      <c r="D19" s="128" t="s">
        <v>137</v>
      </c>
      <c r="E19" s="129" t="s">
        <v>90</v>
      </c>
      <c r="F19" s="130" t="s">
        <v>100</v>
      </c>
      <c r="G19" s="130" t="s">
        <v>96</v>
      </c>
      <c r="H19" s="130" t="s">
        <v>97</v>
      </c>
      <c r="I19" s="133">
        <v>205</v>
      </c>
    </row>
    <row r="20" spans="1:9" ht="16.8" x14ac:dyDescent="0.3">
      <c r="A20" s="125" t="s">
        <v>138</v>
      </c>
      <c r="B20" s="126">
        <v>1</v>
      </c>
      <c r="C20" s="127" t="s">
        <v>126</v>
      </c>
      <c r="D20" s="128" t="s">
        <v>139</v>
      </c>
      <c r="E20" s="129" t="s">
        <v>90</v>
      </c>
      <c r="F20" s="130" t="s">
        <v>100</v>
      </c>
      <c r="G20" s="130" t="s">
        <v>140</v>
      </c>
      <c r="H20" s="130" t="s">
        <v>141</v>
      </c>
      <c r="I20" s="133">
        <v>83</v>
      </c>
    </row>
    <row r="21" spans="1:9" ht="16.8" x14ac:dyDescent="0.3">
      <c r="A21" s="125" t="s">
        <v>142</v>
      </c>
      <c r="B21" s="126">
        <v>1</v>
      </c>
      <c r="C21" s="127" t="s">
        <v>134</v>
      </c>
      <c r="D21" s="128" t="s">
        <v>143</v>
      </c>
      <c r="E21" s="129" t="s">
        <v>90</v>
      </c>
      <c r="F21" s="130" t="s">
        <v>91</v>
      </c>
      <c r="G21" s="130" t="s">
        <v>144</v>
      </c>
      <c r="H21" s="130" t="s">
        <v>97</v>
      </c>
      <c r="I21" s="131">
        <v>211</v>
      </c>
    </row>
    <row r="22" spans="1:9" ht="16.8" x14ac:dyDescent="0.3">
      <c r="A22" s="125" t="s">
        <v>145</v>
      </c>
      <c r="B22" s="126">
        <v>1</v>
      </c>
      <c r="C22" s="127" t="s">
        <v>105</v>
      </c>
      <c r="D22" s="128" t="s">
        <v>127</v>
      </c>
      <c r="E22" s="129" t="s">
        <v>90</v>
      </c>
      <c r="F22" s="130" t="s">
        <v>124</v>
      </c>
      <c r="G22" s="130" t="s">
        <v>92</v>
      </c>
      <c r="H22" s="130" t="s">
        <v>97</v>
      </c>
      <c r="I22" s="131">
        <v>212</v>
      </c>
    </row>
    <row r="23" spans="1:9" ht="16.8" x14ac:dyDescent="0.3">
      <c r="A23" s="125" t="s">
        <v>146</v>
      </c>
      <c r="B23" s="126">
        <v>1</v>
      </c>
      <c r="C23" s="140" t="s">
        <v>95</v>
      </c>
      <c r="D23" s="141" t="s">
        <v>118</v>
      </c>
      <c r="E23" s="142" t="s">
        <v>147</v>
      </c>
      <c r="F23" s="130" t="s">
        <v>91</v>
      </c>
      <c r="G23" s="143" t="s">
        <v>130</v>
      </c>
      <c r="H23" s="130" t="s">
        <v>148</v>
      </c>
      <c r="I23" s="66">
        <v>91</v>
      </c>
    </row>
    <row r="24" spans="1:9" ht="16.8" x14ac:dyDescent="0.3">
      <c r="A24" s="125" t="s">
        <v>149</v>
      </c>
      <c r="B24" s="126">
        <v>1</v>
      </c>
      <c r="C24" s="127" t="s">
        <v>99</v>
      </c>
      <c r="D24" s="128" t="s">
        <v>89</v>
      </c>
      <c r="E24" s="129" t="s">
        <v>90</v>
      </c>
      <c r="F24" s="130" t="s">
        <v>100</v>
      </c>
      <c r="G24" s="130" t="s">
        <v>96</v>
      </c>
      <c r="H24" s="130" t="s">
        <v>97</v>
      </c>
      <c r="I24" s="131">
        <v>216</v>
      </c>
    </row>
    <row r="25" spans="1:9" ht="16.8" x14ac:dyDescent="0.3">
      <c r="A25" s="125" t="s">
        <v>150</v>
      </c>
      <c r="B25" s="126">
        <v>1</v>
      </c>
      <c r="C25" s="127" t="s">
        <v>117</v>
      </c>
      <c r="D25" s="128" t="s">
        <v>89</v>
      </c>
      <c r="E25" s="129" t="s">
        <v>90</v>
      </c>
      <c r="F25" s="130" t="s">
        <v>91</v>
      </c>
      <c r="G25" s="130" t="s">
        <v>92</v>
      </c>
      <c r="H25" s="130" t="s">
        <v>97</v>
      </c>
      <c r="I25" s="131">
        <v>217</v>
      </c>
    </row>
    <row r="26" spans="1:9" ht="16.8" x14ac:dyDescent="0.3">
      <c r="A26" s="125" t="s">
        <v>151</v>
      </c>
      <c r="B26" s="126">
        <v>1</v>
      </c>
      <c r="C26" s="127" t="s">
        <v>105</v>
      </c>
      <c r="D26" s="128" t="s">
        <v>118</v>
      </c>
      <c r="E26" s="129" t="s">
        <v>90</v>
      </c>
      <c r="F26" s="130" t="s">
        <v>152</v>
      </c>
      <c r="G26" s="130" t="s">
        <v>92</v>
      </c>
      <c r="H26" s="130" t="s">
        <v>97</v>
      </c>
      <c r="I26" s="131">
        <v>218</v>
      </c>
    </row>
    <row r="27" spans="1:9" ht="16.8" x14ac:dyDescent="0.3">
      <c r="A27" s="125" t="s">
        <v>153</v>
      </c>
      <c r="B27" s="126">
        <v>1</v>
      </c>
      <c r="C27" s="127" t="s">
        <v>105</v>
      </c>
      <c r="D27" s="128" t="s">
        <v>118</v>
      </c>
      <c r="E27" s="129" t="s">
        <v>90</v>
      </c>
      <c r="F27" s="130" t="s">
        <v>102</v>
      </c>
      <c r="G27" s="130" t="s">
        <v>92</v>
      </c>
      <c r="H27" s="130" t="s">
        <v>97</v>
      </c>
      <c r="I27" s="131">
        <v>218</v>
      </c>
    </row>
    <row r="28" spans="1:9" ht="16.8" x14ac:dyDescent="0.3">
      <c r="A28" s="125" t="s">
        <v>154</v>
      </c>
      <c r="B28" s="126">
        <v>1</v>
      </c>
      <c r="C28" s="127" t="s">
        <v>105</v>
      </c>
      <c r="D28" s="128" t="s">
        <v>89</v>
      </c>
      <c r="E28" s="129" t="s">
        <v>90</v>
      </c>
      <c r="F28" s="130" t="s">
        <v>102</v>
      </c>
      <c r="G28" s="130" t="s">
        <v>103</v>
      </c>
      <c r="H28" s="130" t="s">
        <v>97</v>
      </c>
      <c r="I28" s="131">
        <v>220</v>
      </c>
    </row>
    <row r="29" spans="1:9" ht="16.8" x14ac:dyDescent="0.3">
      <c r="A29" s="125" t="s">
        <v>155</v>
      </c>
      <c r="B29" s="126">
        <v>1</v>
      </c>
      <c r="C29" s="347" t="s">
        <v>105</v>
      </c>
      <c r="D29" s="348" t="s">
        <v>127</v>
      </c>
      <c r="E29" s="129" t="s">
        <v>90</v>
      </c>
      <c r="F29" s="349" t="s">
        <v>102</v>
      </c>
      <c r="G29" s="349" t="s">
        <v>103</v>
      </c>
      <c r="H29" s="349" t="s">
        <v>97</v>
      </c>
      <c r="I29" s="131">
        <v>220</v>
      </c>
    </row>
    <row r="30" spans="1:9" ht="16.8" x14ac:dyDescent="0.3">
      <c r="A30" s="125" t="s">
        <v>157</v>
      </c>
      <c r="B30" s="126">
        <v>1</v>
      </c>
      <c r="C30" s="127" t="s">
        <v>109</v>
      </c>
      <c r="D30" s="128" t="s">
        <v>118</v>
      </c>
      <c r="E30" s="129" t="s">
        <v>90</v>
      </c>
      <c r="F30" s="130" t="s">
        <v>124</v>
      </c>
      <c r="G30" s="130" t="s">
        <v>107</v>
      </c>
      <c r="H30" s="130" t="s">
        <v>97</v>
      </c>
      <c r="I30" s="133">
        <v>224</v>
      </c>
    </row>
    <row r="31" spans="1:9" ht="16.8" x14ac:dyDescent="0.3">
      <c r="A31" s="125" t="s">
        <v>158</v>
      </c>
      <c r="B31" s="126">
        <v>1</v>
      </c>
      <c r="C31" s="127" t="s">
        <v>105</v>
      </c>
      <c r="D31" s="128" t="s">
        <v>159</v>
      </c>
      <c r="E31" s="130" t="s">
        <v>90</v>
      </c>
      <c r="F31" s="130" t="s">
        <v>100</v>
      </c>
      <c r="G31" s="130" t="s">
        <v>160</v>
      </c>
      <c r="H31" s="130" t="s">
        <v>161</v>
      </c>
      <c r="I31" s="131">
        <v>96</v>
      </c>
    </row>
    <row r="32" spans="1:9" ht="16.8" x14ac:dyDescent="0.3">
      <c r="A32" s="125" t="s">
        <v>162</v>
      </c>
      <c r="B32" s="126">
        <v>1</v>
      </c>
      <c r="C32" s="127" t="s">
        <v>126</v>
      </c>
      <c r="D32" s="128" t="s">
        <v>89</v>
      </c>
      <c r="E32" s="129" t="s">
        <v>90</v>
      </c>
      <c r="F32" s="130" t="s">
        <v>100</v>
      </c>
      <c r="G32" s="130" t="s">
        <v>120</v>
      </c>
      <c r="H32" s="130" t="s">
        <v>97</v>
      </c>
      <c r="I32" s="131">
        <v>226</v>
      </c>
    </row>
    <row r="33" spans="1:9" ht="16.8" x14ac:dyDescent="0.3">
      <c r="A33" s="125" t="s">
        <v>163</v>
      </c>
      <c r="B33" s="126">
        <v>1</v>
      </c>
      <c r="C33" s="127" t="s">
        <v>88</v>
      </c>
      <c r="D33" s="128" t="s">
        <v>118</v>
      </c>
      <c r="E33" s="129" t="s">
        <v>90</v>
      </c>
      <c r="F33" s="130" t="s">
        <v>152</v>
      </c>
      <c r="G33" s="130" t="s">
        <v>103</v>
      </c>
      <c r="H33" s="130" t="s">
        <v>97</v>
      </c>
      <c r="I33" s="131">
        <v>227</v>
      </c>
    </row>
    <row r="34" spans="1:9" ht="16.8" x14ac:dyDescent="0.3">
      <c r="A34" s="125" t="s">
        <v>164</v>
      </c>
      <c r="B34" s="126">
        <v>1</v>
      </c>
      <c r="C34" s="127" t="s">
        <v>126</v>
      </c>
      <c r="D34" s="128" t="s">
        <v>165</v>
      </c>
      <c r="E34" s="129" t="s">
        <v>90</v>
      </c>
      <c r="F34" s="130" t="s">
        <v>91</v>
      </c>
      <c r="G34" s="130" t="s">
        <v>166</v>
      </c>
      <c r="H34" s="130" t="s">
        <v>161</v>
      </c>
      <c r="I34" s="131">
        <v>99</v>
      </c>
    </row>
    <row r="35" spans="1:9" ht="16.8" x14ac:dyDescent="0.3">
      <c r="A35" s="125" t="s">
        <v>167</v>
      </c>
      <c r="B35" s="126">
        <v>1</v>
      </c>
      <c r="C35" s="127" t="s">
        <v>105</v>
      </c>
      <c r="D35" s="141" t="s">
        <v>168</v>
      </c>
      <c r="E35" s="129" t="s">
        <v>169</v>
      </c>
      <c r="F35" s="143" t="s">
        <v>124</v>
      </c>
      <c r="G35" s="130" t="s">
        <v>144</v>
      </c>
      <c r="H35" s="130" t="s">
        <v>170</v>
      </c>
      <c r="I35" s="66">
        <v>150</v>
      </c>
    </row>
    <row r="36" spans="1:9" ht="16.8" x14ac:dyDescent="0.3">
      <c r="A36" s="125" t="s">
        <v>171</v>
      </c>
      <c r="B36" s="126">
        <v>1</v>
      </c>
      <c r="C36" s="127" t="s">
        <v>109</v>
      </c>
      <c r="D36" s="128" t="s">
        <v>89</v>
      </c>
      <c r="E36" s="130" t="s">
        <v>90</v>
      </c>
      <c r="F36" s="130" t="s">
        <v>152</v>
      </c>
      <c r="G36" s="130" t="s">
        <v>103</v>
      </c>
      <c r="H36" s="130" t="s">
        <v>93</v>
      </c>
      <c r="I36" s="131">
        <v>108</v>
      </c>
    </row>
    <row r="37" spans="1:9" ht="16.8" x14ac:dyDescent="0.3">
      <c r="A37" s="125" t="s">
        <v>172</v>
      </c>
      <c r="B37" s="126">
        <v>1</v>
      </c>
      <c r="C37" s="127" t="s">
        <v>95</v>
      </c>
      <c r="D37" s="128" t="s">
        <v>89</v>
      </c>
      <c r="E37" s="129" t="s">
        <v>119</v>
      </c>
      <c r="F37" s="130" t="s">
        <v>91</v>
      </c>
      <c r="G37" s="130" t="s">
        <v>120</v>
      </c>
      <c r="H37" s="130" t="s">
        <v>170</v>
      </c>
      <c r="I37" s="131">
        <v>151</v>
      </c>
    </row>
    <row r="38" spans="1:9" ht="16.8" x14ac:dyDescent="0.3">
      <c r="A38" s="125" t="s">
        <v>173</v>
      </c>
      <c r="B38" s="126">
        <v>1</v>
      </c>
      <c r="C38" s="144" t="s">
        <v>126</v>
      </c>
      <c r="D38" s="145" t="s">
        <v>118</v>
      </c>
      <c r="E38" s="146" t="s">
        <v>90</v>
      </c>
      <c r="F38" s="146" t="s">
        <v>100</v>
      </c>
      <c r="G38" s="146" t="s">
        <v>92</v>
      </c>
      <c r="H38" s="130" t="s">
        <v>97</v>
      </c>
      <c r="I38" s="131">
        <v>241</v>
      </c>
    </row>
    <row r="39" spans="1:9" ht="16.8" x14ac:dyDescent="0.3">
      <c r="A39" s="125" t="s">
        <v>174</v>
      </c>
      <c r="B39" s="126">
        <v>1</v>
      </c>
      <c r="C39" s="127" t="s">
        <v>134</v>
      </c>
      <c r="D39" s="128" t="s">
        <v>118</v>
      </c>
      <c r="E39" s="129" t="s">
        <v>90</v>
      </c>
      <c r="F39" s="130" t="s">
        <v>115</v>
      </c>
      <c r="G39" s="130" t="s">
        <v>130</v>
      </c>
      <c r="H39" s="130" t="s">
        <v>131</v>
      </c>
      <c r="I39" s="131">
        <v>122</v>
      </c>
    </row>
    <row r="40" spans="1:9" ht="16.8" x14ac:dyDescent="0.3">
      <c r="A40" s="125" t="s">
        <v>175</v>
      </c>
      <c r="B40" s="126">
        <v>1</v>
      </c>
      <c r="C40" s="127" t="s">
        <v>109</v>
      </c>
      <c r="D40" s="128" t="s">
        <v>89</v>
      </c>
      <c r="E40" s="129" t="s">
        <v>90</v>
      </c>
      <c r="F40" s="146" t="s">
        <v>115</v>
      </c>
      <c r="G40" s="130" t="s">
        <v>92</v>
      </c>
      <c r="H40" s="130" t="s">
        <v>176</v>
      </c>
      <c r="I40" s="131">
        <v>100</v>
      </c>
    </row>
    <row r="41" spans="1:9" ht="16.8" x14ac:dyDescent="0.3">
      <c r="A41" s="125" t="s">
        <v>177</v>
      </c>
      <c r="B41" s="126">
        <v>1</v>
      </c>
      <c r="C41" s="127" t="s">
        <v>88</v>
      </c>
      <c r="D41" s="128" t="s">
        <v>118</v>
      </c>
      <c r="E41" s="129" t="s">
        <v>90</v>
      </c>
      <c r="F41" s="130" t="s">
        <v>100</v>
      </c>
      <c r="G41" s="130" t="s">
        <v>178</v>
      </c>
      <c r="H41" s="130" t="s">
        <v>97</v>
      </c>
      <c r="I41" s="131">
        <v>251</v>
      </c>
    </row>
    <row r="42" spans="1:9" ht="16.8" x14ac:dyDescent="0.3">
      <c r="A42" s="125" t="s">
        <v>179</v>
      </c>
      <c r="B42" s="126">
        <v>1</v>
      </c>
      <c r="C42" s="127" t="s">
        <v>88</v>
      </c>
      <c r="D42" s="128" t="s">
        <v>180</v>
      </c>
      <c r="E42" s="129" t="s">
        <v>90</v>
      </c>
      <c r="F42" s="130" t="s">
        <v>100</v>
      </c>
      <c r="G42" s="130" t="s">
        <v>103</v>
      </c>
      <c r="H42" s="130" t="s">
        <v>97</v>
      </c>
      <c r="I42" s="147">
        <v>251</v>
      </c>
    </row>
    <row r="43" spans="1:9" ht="16.8" x14ac:dyDescent="0.3">
      <c r="A43" s="125" t="s">
        <v>181</v>
      </c>
      <c r="B43" s="126">
        <v>1</v>
      </c>
      <c r="C43" s="127" t="s">
        <v>126</v>
      </c>
      <c r="D43" s="145" t="s">
        <v>89</v>
      </c>
      <c r="E43" s="146" t="s">
        <v>90</v>
      </c>
      <c r="F43" s="130" t="s">
        <v>124</v>
      </c>
      <c r="G43" s="130" t="s">
        <v>103</v>
      </c>
      <c r="H43" s="130" t="s">
        <v>93</v>
      </c>
      <c r="I43" s="148">
        <v>148</v>
      </c>
    </row>
    <row r="44" spans="1:9" ht="16.8" x14ac:dyDescent="0.3">
      <c r="A44" s="125" t="s">
        <v>182</v>
      </c>
      <c r="B44" s="126">
        <v>1</v>
      </c>
      <c r="C44" s="127" t="s">
        <v>109</v>
      </c>
      <c r="D44" s="128" t="s">
        <v>118</v>
      </c>
      <c r="E44" s="129" t="s">
        <v>90</v>
      </c>
      <c r="F44" s="130" t="s">
        <v>124</v>
      </c>
      <c r="G44" s="130" t="s">
        <v>103</v>
      </c>
      <c r="H44" s="130" t="s">
        <v>183</v>
      </c>
      <c r="I44" s="131">
        <v>170</v>
      </c>
    </row>
    <row r="45" spans="1:9" ht="16.8" x14ac:dyDescent="0.3">
      <c r="A45" s="125" t="s">
        <v>184</v>
      </c>
      <c r="B45" s="126">
        <v>1</v>
      </c>
      <c r="C45" s="127" t="s">
        <v>95</v>
      </c>
      <c r="D45" s="128" t="s">
        <v>89</v>
      </c>
      <c r="E45" s="129" t="s">
        <v>90</v>
      </c>
      <c r="F45" s="130" t="s">
        <v>185</v>
      </c>
      <c r="G45" s="130" t="s">
        <v>103</v>
      </c>
      <c r="H45" s="130" t="s">
        <v>97</v>
      </c>
      <c r="I45" s="131">
        <v>258</v>
      </c>
    </row>
    <row r="46" spans="1:9" ht="16.8" x14ac:dyDescent="0.3">
      <c r="A46" s="125" t="s">
        <v>186</v>
      </c>
      <c r="B46" s="126">
        <v>1</v>
      </c>
      <c r="C46" s="127" t="s">
        <v>105</v>
      </c>
      <c r="D46" s="128" t="s">
        <v>187</v>
      </c>
      <c r="E46" s="129" t="s">
        <v>147</v>
      </c>
      <c r="F46" s="130" t="s">
        <v>124</v>
      </c>
      <c r="G46" s="130" t="s">
        <v>96</v>
      </c>
      <c r="H46" s="130" t="s">
        <v>183</v>
      </c>
      <c r="I46" s="131">
        <v>171</v>
      </c>
    </row>
    <row r="47" spans="1:9" ht="16.8" x14ac:dyDescent="0.3">
      <c r="A47" s="125" t="s">
        <v>188</v>
      </c>
      <c r="B47" s="126">
        <v>1</v>
      </c>
      <c r="C47" s="127" t="s">
        <v>126</v>
      </c>
      <c r="D47" s="128" t="s">
        <v>127</v>
      </c>
      <c r="E47" s="129" t="s">
        <v>90</v>
      </c>
      <c r="F47" s="130" t="s">
        <v>100</v>
      </c>
      <c r="G47" s="130" t="s">
        <v>103</v>
      </c>
      <c r="H47" s="130" t="s">
        <v>97</v>
      </c>
      <c r="I47" s="133">
        <v>266</v>
      </c>
    </row>
    <row r="48" spans="1:9" ht="16.8" x14ac:dyDescent="0.3">
      <c r="A48" s="125" t="s">
        <v>189</v>
      </c>
      <c r="B48" s="126">
        <v>1</v>
      </c>
      <c r="C48" s="127" t="s">
        <v>126</v>
      </c>
      <c r="D48" s="128" t="s">
        <v>127</v>
      </c>
      <c r="E48" s="129" t="s">
        <v>90</v>
      </c>
      <c r="F48" s="130" t="s">
        <v>100</v>
      </c>
      <c r="G48" s="130" t="s">
        <v>103</v>
      </c>
      <c r="H48" s="130" t="s">
        <v>97</v>
      </c>
      <c r="I48" s="133">
        <v>266</v>
      </c>
    </row>
    <row r="49" spans="1:9" ht="16.8" x14ac:dyDescent="0.3">
      <c r="A49" s="125" t="s">
        <v>190</v>
      </c>
      <c r="B49" s="126">
        <v>1</v>
      </c>
      <c r="C49" s="127" t="s">
        <v>126</v>
      </c>
      <c r="D49" s="145" t="s">
        <v>89</v>
      </c>
      <c r="E49" s="146" t="s">
        <v>90</v>
      </c>
      <c r="F49" s="130" t="s">
        <v>91</v>
      </c>
      <c r="G49" s="130" t="s">
        <v>92</v>
      </c>
      <c r="H49" s="130" t="s">
        <v>97</v>
      </c>
      <c r="I49" s="148">
        <v>271</v>
      </c>
    </row>
    <row r="50" spans="1:9" ht="16.8" x14ac:dyDescent="0.3">
      <c r="A50" s="125" t="s">
        <v>191</v>
      </c>
      <c r="B50" s="126">
        <v>1</v>
      </c>
      <c r="C50" s="140" t="s">
        <v>126</v>
      </c>
      <c r="D50" s="141" t="s">
        <v>118</v>
      </c>
      <c r="E50" s="129" t="s">
        <v>90</v>
      </c>
      <c r="F50" s="143" t="s">
        <v>100</v>
      </c>
      <c r="G50" s="143" t="s">
        <v>92</v>
      </c>
      <c r="H50" s="143" t="s">
        <v>176</v>
      </c>
      <c r="I50" s="131">
        <v>104</v>
      </c>
    </row>
    <row r="51" spans="1:9" ht="16.8" x14ac:dyDescent="0.3">
      <c r="A51" s="125" t="s">
        <v>192</v>
      </c>
      <c r="B51" s="126">
        <v>1</v>
      </c>
      <c r="C51" s="127" t="s">
        <v>126</v>
      </c>
      <c r="D51" s="128" t="s">
        <v>118</v>
      </c>
      <c r="E51" s="129" t="s">
        <v>90</v>
      </c>
      <c r="F51" s="130" t="s">
        <v>100</v>
      </c>
      <c r="G51" s="130" t="s">
        <v>130</v>
      </c>
      <c r="H51" s="130" t="s">
        <v>97</v>
      </c>
      <c r="I51" s="131">
        <v>274</v>
      </c>
    </row>
    <row r="52" spans="1:9" ht="16.8" x14ac:dyDescent="0.3">
      <c r="A52" s="125" t="s">
        <v>193</v>
      </c>
      <c r="B52" s="126">
        <v>1</v>
      </c>
      <c r="C52" s="127" t="s">
        <v>126</v>
      </c>
      <c r="D52" s="128" t="s">
        <v>137</v>
      </c>
      <c r="E52" s="129" t="s">
        <v>90</v>
      </c>
      <c r="F52" s="130" t="s">
        <v>100</v>
      </c>
      <c r="G52" s="130" t="s">
        <v>103</v>
      </c>
      <c r="H52" s="130" t="s">
        <v>97</v>
      </c>
      <c r="I52" s="133">
        <v>278</v>
      </c>
    </row>
    <row r="53" spans="1:9" ht="16.8" x14ac:dyDescent="0.3">
      <c r="A53" s="125" t="s">
        <v>194</v>
      </c>
      <c r="B53" s="126">
        <v>1</v>
      </c>
      <c r="C53" s="127" t="s">
        <v>88</v>
      </c>
      <c r="D53" s="145" t="s">
        <v>89</v>
      </c>
      <c r="E53" s="146" t="s">
        <v>90</v>
      </c>
      <c r="F53" s="146" t="s">
        <v>124</v>
      </c>
      <c r="G53" s="146" t="s">
        <v>130</v>
      </c>
      <c r="H53" s="146" t="s">
        <v>93</v>
      </c>
      <c r="I53" s="131">
        <v>198</v>
      </c>
    </row>
    <row r="54" spans="1:9" ht="16.8" x14ac:dyDescent="0.3">
      <c r="A54" s="125" t="s">
        <v>195</v>
      </c>
      <c r="B54" s="126">
        <v>1</v>
      </c>
      <c r="C54" s="127" t="s">
        <v>95</v>
      </c>
      <c r="D54" s="128" t="s">
        <v>127</v>
      </c>
      <c r="E54" s="129" t="s">
        <v>147</v>
      </c>
      <c r="F54" s="130" t="s">
        <v>91</v>
      </c>
      <c r="G54" s="130" t="s">
        <v>130</v>
      </c>
      <c r="H54" s="130" t="s">
        <v>97</v>
      </c>
      <c r="I54" s="147">
        <v>285</v>
      </c>
    </row>
    <row r="55" spans="1:9" ht="16.8" x14ac:dyDescent="0.3">
      <c r="A55" s="125" t="s">
        <v>196</v>
      </c>
      <c r="B55" s="126">
        <v>1</v>
      </c>
      <c r="C55" s="127" t="s">
        <v>95</v>
      </c>
      <c r="D55" s="128" t="s">
        <v>118</v>
      </c>
      <c r="E55" s="128" t="s">
        <v>90</v>
      </c>
      <c r="F55" s="130" t="s">
        <v>91</v>
      </c>
      <c r="G55" s="130" t="s">
        <v>130</v>
      </c>
      <c r="H55" s="130" t="s">
        <v>97</v>
      </c>
      <c r="I55" s="149">
        <v>288</v>
      </c>
    </row>
    <row r="56" spans="1:9" ht="16.8" x14ac:dyDescent="0.3">
      <c r="A56" s="125" t="s">
        <v>197</v>
      </c>
      <c r="B56" s="126">
        <v>1</v>
      </c>
      <c r="C56" s="127" t="s">
        <v>95</v>
      </c>
      <c r="D56" s="128" t="s">
        <v>127</v>
      </c>
      <c r="E56" s="129" t="s">
        <v>147</v>
      </c>
      <c r="F56" s="130" t="s">
        <v>91</v>
      </c>
      <c r="G56" s="130" t="s">
        <v>130</v>
      </c>
      <c r="H56" s="130" t="s">
        <v>198</v>
      </c>
      <c r="I56" s="147">
        <v>71</v>
      </c>
    </row>
    <row r="57" spans="1:9" ht="16.8" x14ac:dyDescent="0.3">
      <c r="A57" s="125" t="s">
        <v>199</v>
      </c>
      <c r="B57" s="126">
        <v>1</v>
      </c>
      <c r="C57" s="127" t="s">
        <v>95</v>
      </c>
      <c r="D57" s="128" t="s">
        <v>89</v>
      </c>
      <c r="E57" s="129" t="s">
        <v>90</v>
      </c>
      <c r="F57" s="130" t="s">
        <v>100</v>
      </c>
      <c r="G57" s="130" t="s">
        <v>200</v>
      </c>
      <c r="H57" s="130" t="s">
        <v>183</v>
      </c>
      <c r="I57" s="131">
        <v>186</v>
      </c>
    </row>
    <row r="58" spans="1:9" ht="16.8" x14ac:dyDescent="0.3">
      <c r="A58" s="134" t="s">
        <v>201</v>
      </c>
      <c r="B58" s="135">
        <v>1</v>
      </c>
      <c r="C58" s="150" t="s">
        <v>134</v>
      </c>
      <c r="D58" s="151" t="s">
        <v>143</v>
      </c>
      <c r="E58" s="152" t="s">
        <v>90</v>
      </c>
      <c r="F58" s="138" t="s">
        <v>91</v>
      </c>
      <c r="G58" s="152" t="s">
        <v>144</v>
      </c>
      <c r="H58" s="152" t="s">
        <v>161</v>
      </c>
      <c r="I58" s="153">
        <v>111</v>
      </c>
    </row>
    <row r="59" spans="1:9" ht="16.8" x14ac:dyDescent="0.3">
      <c r="A59" s="125" t="s">
        <v>202</v>
      </c>
      <c r="B59" s="126">
        <v>2</v>
      </c>
      <c r="C59" s="127" t="s">
        <v>134</v>
      </c>
      <c r="D59" s="128" t="s">
        <v>118</v>
      </c>
      <c r="E59" s="129" t="s">
        <v>90</v>
      </c>
      <c r="F59" s="130" t="s">
        <v>100</v>
      </c>
      <c r="G59" s="130" t="s">
        <v>103</v>
      </c>
      <c r="H59" s="130" t="s">
        <v>97</v>
      </c>
      <c r="I59" s="133">
        <v>196</v>
      </c>
    </row>
    <row r="60" spans="1:9" ht="16.8" x14ac:dyDescent="0.3">
      <c r="A60" s="125" t="s">
        <v>203</v>
      </c>
      <c r="B60" s="126">
        <v>2</v>
      </c>
      <c r="C60" s="127" t="s">
        <v>105</v>
      </c>
      <c r="D60" s="128" t="s">
        <v>114</v>
      </c>
      <c r="E60" s="129" t="s">
        <v>90</v>
      </c>
      <c r="F60" s="130" t="s">
        <v>124</v>
      </c>
      <c r="G60" s="130" t="s">
        <v>96</v>
      </c>
      <c r="H60" s="130" t="s">
        <v>97</v>
      </c>
      <c r="I60" s="131">
        <v>202</v>
      </c>
    </row>
    <row r="61" spans="1:9" ht="16.8" x14ac:dyDescent="0.3">
      <c r="A61" s="125" t="s">
        <v>204</v>
      </c>
      <c r="B61" s="126">
        <v>2</v>
      </c>
      <c r="C61" s="127" t="s">
        <v>99</v>
      </c>
      <c r="D61" s="128" t="s">
        <v>89</v>
      </c>
      <c r="E61" s="129" t="s">
        <v>90</v>
      </c>
      <c r="F61" s="130" t="s">
        <v>100</v>
      </c>
      <c r="G61" s="130" t="s">
        <v>96</v>
      </c>
      <c r="H61" s="130" t="s">
        <v>97</v>
      </c>
      <c r="I61" s="131">
        <v>216</v>
      </c>
    </row>
    <row r="62" spans="1:9" ht="16.8" x14ac:dyDescent="0.3">
      <c r="A62" s="125" t="s">
        <v>205</v>
      </c>
      <c r="B62" s="126">
        <v>2</v>
      </c>
      <c r="C62" s="127" t="s">
        <v>105</v>
      </c>
      <c r="D62" s="128" t="s">
        <v>89</v>
      </c>
      <c r="E62" s="129" t="s">
        <v>90</v>
      </c>
      <c r="F62" s="130" t="s">
        <v>115</v>
      </c>
      <c r="G62" s="130" t="s">
        <v>103</v>
      </c>
      <c r="H62" s="130" t="s">
        <v>97</v>
      </c>
      <c r="I62" s="131">
        <v>230</v>
      </c>
    </row>
    <row r="63" spans="1:9" ht="16.8" x14ac:dyDescent="0.3">
      <c r="A63" s="125" t="s">
        <v>206</v>
      </c>
      <c r="B63" s="126">
        <v>2</v>
      </c>
      <c r="C63" s="127" t="s">
        <v>109</v>
      </c>
      <c r="D63" s="128" t="s">
        <v>127</v>
      </c>
      <c r="E63" s="129" t="s">
        <v>90</v>
      </c>
      <c r="F63" s="130" t="s">
        <v>115</v>
      </c>
      <c r="G63" s="130" t="s">
        <v>130</v>
      </c>
      <c r="H63" s="130" t="s">
        <v>97</v>
      </c>
      <c r="I63" s="131">
        <v>232</v>
      </c>
    </row>
    <row r="64" spans="1:9" ht="16.8" x14ac:dyDescent="0.3">
      <c r="A64" s="125" t="s">
        <v>207</v>
      </c>
      <c r="B64" s="126">
        <v>2</v>
      </c>
      <c r="C64" s="127" t="s">
        <v>95</v>
      </c>
      <c r="D64" s="128" t="s">
        <v>137</v>
      </c>
      <c r="E64" s="129" t="s">
        <v>208</v>
      </c>
      <c r="F64" s="143" t="s">
        <v>100</v>
      </c>
      <c r="G64" s="130" t="s">
        <v>92</v>
      </c>
      <c r="H64" s="130" t="s">
        <v>209</v>
      </c>
      <c r="I64" s="66">
        <v>70</v>
      </c>
    </row>
    <row r="65" spans="1:9" ht="16.8" x14ac:dyDescent="0.3">
      <c r="A65" s="125" t="s">
        <v>246</v>
      </c>
      <c r="B65" s="126">
        <v>2</v>
      </c>
      <c r="C65" s="127" t="s">
        <v>134</v>
      </c>
      <c r="D65" s="128" t="s">
        <v>180</v>
      </c>
      <c r="E65" s="130" t="s">
        <v>90</v>
      </c>
      <c r="F65" s="130" t="s">
        <v>115</v>
      </c>
      <c r="G65" s="130" t="s">
        <v>130</v>
      </c>
      <c r="H65" s="130" t="s">
        <v>97</v>
      </c>
      <c r="I65" s="131">
        <v>241</v>
      </c>
    </row>
    <row r="66" spans="1:9" ht="16.8" x14ac:dyDescent="0.3">
      <c r="A66" s="125" t="s">
        <v>210</v>
      </c>
      <c r="B66" s="126">
        <v>2</v>
      </c>
      <c r="C66" s="127" t="s">
        <v>105</v>
      </c>
      <c r="D66" s="128" t="s">
        <v>89</v>
      </c>
      <c r="E66" s="129" t="s">
        <v>90</v>
      </c>
      <c r="F66" s="130" t="s">
        <v>100</v>
      </c>
      <c r="G66" s="130" t="s">
        <v>96</v>
      </c>
      <c r="H66" s="130" t="s">
        <v>97</v>
      </c>
      <c r="I66" s="131">
        <v>243</v>
      </c>
    </row>
    <row r="67" spans="1:9" ht="16.8" x14ac:dyDescent="0.3">
      <c r="A67" s="125" t="s">
        <v>211</v>
      </c>
      <c r="B67" s="126">
        <v>2</v>
      </c>
      <c r="C67" s="127" t="s">
        <v>95</v>
      </c>
      <c r="D67" s="128" t="s">
        <v>89</v>
      </c>
      <c r="E67" s="129" t="s">
        <v>90</v>
      </c>
      <c r="F67" s="130" t="s">
        <v>100</v>
      </c>
      <c r="G67" s="130" t="s">
        <v>96</v>
      </c>
      <c r="H67" s="130" t="s">
        <v>97</v>
      </c>
      <c r="I67" s="131">
        <v>272</v>
      </c>
    </row>
    <row r="68" spans="1:9" ht="16.8" x14ac:dyDescent="0.3">
      <c r="A68" s="125" t="s">
        <v>212</v>
      </c>
      <c r="B68" s="126">
        <v>2</v>
      </c>
      <c r="C68" s="127" t="s">
        <v>213</v>
      </c>
      <c r="D68" s="128" t="s">
        <v>89</v>
      </c>
      <c r="E68" s="129" t="s">
        <v>90</v>
      </c>
      <c r="F68" s="130" t="s">
        <v>152</v>
      </c>
      <c r="G68" s="130" t="s">
        <v>103</v>
      </c>
      <c r="H68" s="130" t="s">
        <v>97</v>
      </c>
      <c r="I68" s="131">
        <v>279</v>
      </c>
    </row>
    <row r="69" spans="1:9" ht="16.8" x14ac:dyDescent="0.3">
      <c r="A69" s="125" t="s">
        <v>214</v>
      </c>
      <c r="B69" s="126">
        <v>2</v>
      </c>
      <c r="C69" s="127" t="s">
        <v>109</v>
      </c>
      <c r="D69" s="128" t="s">
        <v>118</v>
      </c>
      <c r="E69" s="129" t="s">
        <v>90</v>
      </c>
      <c r="F69" s="130" t="s">
        <v>115</v>
      </c>
      <c r="G69" s="130" t="s">
        <v>130</v>
      </c>
      <c r="H69" s="130" t="s">
        <v>97</v>
      </c>
      <c r="I69" s="131">
        <v>283</v>
      </c>
    </row>
    <row r="70" spans="1:9" ht="16.8" x14ac:dyDescent="0.3">
      <c r="A70" s="125" t="s">
        <v>215</v>
      </c>
      <c r="B70" s="126">
        <v>2</v>
      </c>
      <c r="C70" s="127" t="s">
        <v>95</v>
      </c>
      <c r="D70" s="128" t="s">
        <v>127</v>
      </c>
      <c r="E70" s="129" t="s">
        <v>147</v>
      </c>
      <c r="F70" s="130" t="s">
        <v>91</v>
      </c>
      <c r="G70" s="130" t="s">
        <v>130</v>
      </c>
      <c r="H70" s="130" t="s">
        <v>97</v>
      </c>
      <c r="I70" s="147">
        <v>286</v>
      </c>
    </row>
    <row r="71" spans="1:9" ht="16.8" x14ac:dyDescent="0.3">
      <c r="A71" s="134" t="s">
        <v>216</v>
      </c>
      <c r="B71" s="135">
        <v>2</v>
      </c>
      <c r="C71" s="150" t="s">
        <v>95</v>
      </c>
      <c r="D71" s="151" t="s">
        <v>118</v>
      </c>
      <c r="E71" s="151" t="s">
        <v>90</v>
      </c>
      <c r="F71" s="152" t="s">
        <v>91</v>
      </c>
      <c r="G71" s="152" t="s">
        <v>130</v>
      </c>
      <c r="H71" s="152" t="s">
        <v>97</v>
      </c>
      <c r="I71" s="154">
        <v>288</v>
      </c>
    </row>
    <row r="72" spans="1:9" ht="16.8" x14ac:dyDescent="0.3">
      <c r="A72" s="125" t="s">
        <v>217</v>
      </c>
      <c r="B72" s="126">
        <v>3</v>
      </c>
      <c r="C72" s="127" t="s">
        <v>109</v>
      </c>
      <c r="D72" s="141" t="s">
        <v>89</v>
      </c>
      <c r="E72" s="129" t="s">
        <v>90</v>
      </c>
      <c r="F72" s="143" t="s">
        <v>115</v>
      </c>
      <c r="G72" s="130" t="s">
        <v>103</v>
      </c>
      <c r="H72" s="130" t="s">
        <v>97</v>
      </c>
      <c r="I72" s="66">
        <v>207</v>
      </c>
    </row>
    <row r="73" spans="1:9" ht="16.8" x14ac:dyDescent="0.3">
      <c r="A73" s="125" t="s">
        <v>218</v>
      </c>
      <c r="B73" s="126">
        <v>3</v>
      </c>
      <c r="C73" s="127" t="s">
        <v>126</v>
      </c>
      <c r="D73" s="128" t="s">
        <v>89</v>
      </c>
      <c r="E73" s="130" t="s">
        <v>90</v>
      </c>
      <c r="F73" s="130" t="s">
        <v>115</v>
      </c>
      <c r="G73" s="130" t="s">
        <v>96</v>
      </c>
      <c r="H73" s="130" t="s">
        <v>97</v>
      </c>
      <c r="I73" s="131">
        <v>223</v>
      </c>
    </row>
    <row r="74" spans="1:9" ht="16.8" x14ac:dyDescent="0.3">
      <c r="A74" s="125" t="s">
        <v>219</v>
      </c>
      <c r="B74" s="126">
        <v>3</v>
      </c>
      <c r="C74" s="127" t="s">
        <v>109</v>
      </c>
      <c r="D74" s="128" t="s">
        <v>137</v>
      </c>
      <c r="E74" s="129" t="s">
        <v>90</v>
      </c>
      <c r="F74" s="130" t="s">
        <v>100</v>
      </c>
      <c r="G74" s="130" t="s">
        <v>130</v>
      </c>
      <c r="H74" s="130" t="s">
        <v>141</v>
      </c>
      <c r="I74" s="131">
        <v>86</v>
      </c>
    </row>
    <row r="75" spans="1:9" ht="16.8" x14ac:dyDescent="0.3">
      <c r="A75" s="125" t="s">
        <v>220</v>
      </c>
      <c r="B75" s="126">
        <v>3</v>
      </c>
      <c r="C75" s="127" t="s">
        <v>88</v>
      </c>
      <c r="D75" s="128" t="s">
        <v>118</v>
      </c>
      <c r="E75" s="129" t="s">
        <v>90</v>
      </c>
      <c r="F75" s="130" t="s">
        <v>124</v>
      </c>
      <c r="G75" s="130" t="s">
        <v>130</v>
      </c>
      <c r="H75" s="130" t="s">
        <v>131</v>
      </c>
      <c r="I75" s="131">
        <v>120</v>
      </c>
    </row>
    <row r="76" spans="1:9" ht="16.8" x14ac:dyDescent="0.3">
      <c r="A76" s="125" t="s">
        <v>221</v>
      </c>
      <c r="B76" s="126">
        <v>3</v>
      </c>
      <c r="C76" s="127" t="s">
        <v>134</v>
      </c>
      <c r="D76" s="128" t="s">
        <v>118</v>
      </c>
      <c r="E76" s="130" t="s">
        <v>90</v>
      </c>
      <c r="F76" s="130" t="s">
        <v>91</v>
      </c>
      <c r="G76" s="130" t="s">
        <v>140</v>
      </c>
      <c r="H76" s="130" t="s">
        <v>161</v>
      </c>
      <c r="I76" s="131">
        <v>100</v>
      </c>
    </row>
    <row r="77" spans="1:9" ht="16.8" x14ac:dyDescent="0.3">
      <c r="A77" s="125" t="s">
        <v>222</v>
      </c>
      <c r="B77" s="126">
        <v>3</v>
      </c>
      <c r="C77" s="127" t="s">
        <v>134</v>
      </c>
      <c r="D77" s="128" t="s">
        <v>143</v>
      </c>
      <c r="E77" s="130" t="s">
        <v>90</v>
      </c>
      <c r="F77" s="130" t="s">
        <v>156</v>
      </c>
      <c r="G77" s="130" t="s">
        <v>27</v>
      </c>
      <c r="H77" s="130" t="s">
        <v>161</v>
      </c>
      <c r="I77" s="131">
        <v>101</v>
      </c>
    </row>
    <row r="78" spans="1:9" ht="16.8" x14ac:dyDescent="0.3">
      <c r="A78" s="125" t="s">
        <v>223</v>
      </c>
      <c r="B78" s="126">
        <v>3</v>
      </c>
      <c r="C78" s="127" t="s">
        <v>88</v>
      </c>
      <c r="D78" s="128" t="s">
        <v>127</v>
      </c>
      <c r="E78" s="129" t="s">
        <v>90</v>
      </c>
      <c r="F78" s="130" t="s">
        <v>100</v>
      </c>
      <c r="G78" s="130" t="s">
        <v>96</v>
      </c>
      <c r="H78" s="130" t="s">
        <v>97</v>
      </c>
      <c r="I78" s="131">
        <v>284</v>
      </c>
    </row>
    <row r="79" spans="1:9" ht="16.8" x14ac:dyDescent="0.3">
      <c r="A79" s="134" t="s">
        <v>224</v>
      </c>
      <c r="B79" s="135">
        <v>3</v>
      </c>
      <c r="C79" s="150" t="s">
        <v>95</v>
      </c>
      <c r="D79" s="151" t="s">
        <v>118</v>
      </c>
      <c r="E79" s="151" t="s">
        <v>90</v>
      </c>
      <c r="F79" s="152" t="s">
        <v>91</v>
      </c>
      <c r="G79" s="152" t="s">
        <v>130</v>
      </c>
      <c r="H79" s="152" t="s">
        <v>97</v>
      </c>
      <c r="I79" s="154">
        <v>288</v>
      </c>
    </row>
    <row r="80" spans="1:9" ht="16.8" x14ac:dyDescent="0.3">
      <c r="A80" s="125" t="s">
        <v>225</v>
      </c>
      <c r="B80" s="126">
        <v>4</v>
      </c>
      <c r="C80" s="127" t="s">
        <v>109</v>
      </c>
      <c r="D80" s="141" t="s">
        <v>143</v>
      </c>
      <c r="E80" s="129" t="s">
        <v>90</v>
      </c>
      <c r="F80" s="143" t="s">
        <v>112</v>
      </c>
      <c r="G80" s="130" t="s">
        <v>96</v>
      </c>
      <c r="H80" s="130" t="s">
        <v>141</v>
      </c>
      <c r="I80" s="66">
        <v>83</v>
      </c>
    </row>
    <row r="81" spans="1:9" ht="16.8" x14ac:dyDescent="0.3">
      <c r="A81" s="125" t="s">
        <v>226</v>
      </c>
      <c r="B81" s="126">
        <v>4</v>
      </c>
      <c r="C81" s="127" t="s">
        <v>109</v>
      </c>
      <c r="D81" s="141" t="s">
        <v>89</v>
      </c>
      <c r="E81" s="129" t="s">
        <v>90</v>
      </c>
      <c r="F81" s="143" t="s">
        <v>100</v>
      </c>
      <c r="G81" s="130" t="s">
        <v>227</v>
      </c>
      <c r="H81" s="130" t="s">
        <v>161</v>
      </c>
      <c r="I81" s="66">
        <v>94</v>
      </c>
    </row>
    <row r="82" spans="1:9" ht="16.8" x14ac:dyDescent="0.3">
      <c r="A82" s="125" t="s">
        <v>228</v>
      </c>
      <c r="B82" s="126">
        <v>4</v>
      </c>
      <c r="C82" s="127" t="s">
        <v>117</v>
      </c>
      <c r="D82" s="141" t="s">
        <v>118</v>
      </c>
      <c r="E82" s="129" t="s">
        <v>90</v>
      </c>
      <c r="F82" s="143" t="s">
        <v>100</v>
      </c>
      <c r="G82" s="130" t="s">
        <v>103</v>
      </c>
      <c r="H82" s="130" t="s">
        <v>97</v>
      </c>
      <c r="I82" s="66">
        <v>217</v>
      </c>
    </row>
    <row r="83" spans="1:9" ht="16.8" x14ac:dyDescent="0.3">
      <c r="A83" s="125" t="s">
        <v>105</v>
      </c>
      <c r="B83" s="126">
        <v>4</v>
      </c>
      <c r="C83" s="127" t="s">
        <v>105</v>
      </c>
      <c r="D83" s="128" t="s">
        <v>137</v>
      </c>
      <c r="E83" s="129" t="s">
        <v>119</v>
      </c>
      <c r="F83" s="130" t="s">
        <v>124</v>
      </c>
      <c r="G83" s="130" t="s">
        <v>96</v>
      </c>
      <c r="H83" s="130" t="s">
        <v>97</v>
      </c>
      <c r="I83" s="131">
        <v>224</v>
      </c>
    </row>
    <row r="84" spans="1:9" ht="16.8" x14ac:dyDescent="0.3">
      <c r="A84" s="125" t="s">
        <v>357</v>
      </c>
      <c r="B84" s="126">
        <v>4</v>
      </c>
      <c r="C84" s="347" t="s">
        <v>109</v>
      </c>
      <c r="D84" s="348" t="s">
        <v>137</v>
      </c>
      <c r="E84" s="129" t="s">
        <v>90</v>
      </c>
      <c r="F84" s="349" t="s">
        <v>102</v>
      </c>
      <c r="G84" s="349" t="s">
        <v>96</v>
      </c>
      <c r="H84" s="349" t="s">
        <v>161</v>
      </c>
      <c r="I84" s="131">
        <v>96</v>
      </c>
    </row>
    <row r="85" spans="1:9" ht="16.8" x14ac:dyDescent="0.3">
      <c r="A85" s="125" t="s">
        <v>229</v>
      </c>
      <c r="B85" s="126">
        <v>4</v>
      </c>
      <c r="C85" s="127" t="s">
        <v>109</v>
      </c>
      <c r="D85" s="128" t="s">
        <v>118</v>
      </c>
      <c r="E85" s="129" t="s">
        <v>147</v>
      </c>
      <c r="F85" s="130" t="s">
        <v>91</v>
      </c>
      <c r="G85" s="130" t="s">
        <v>27</v>
      </c>
      <c r="H85" s="130" t="s">
        <v>141</v>
      </c>
      <c r="I85" s="131">
        <v>85</v>
      </c>
    </row>
    <row r="86" spans="1:9" ht="16.8" x14ac:dyDescent="0.3">
      <c r="A86" s="125" t="s">
        <v>230</v>
      </c>
      <c r="B86" s="126">
        <v>4</v>
      </c>
      <c r="C86" s="127" t="s">
        <v>126</v>
      </c>
      <c r="D86" s="128" t="s">
        <v>127</v>
      </c>
      <c r="E86" s="128" t="s">
        <v>90</v>
      </c>
      <c r="F86" s="130" t="s">
        <v>100</v>
      </c>
      <c r="G86" s="130" t="s">
        <v>92</v>
      </c>
      <c r="H86" s="130" t="s">
        <v>97</v>
      </c>
      <c r="I86" s="149">
        <v>233</v>
      </c>
    </row>
    <row r="87" spans="1:9" ht="16.8" x14ac:dyDescent="0.3">
      <c r="A87" s="134" t="s">
        <v>231</v>
      </c>
      <c r="B87" s="135">
        <v>4</v>
      </c>
      <c r="C87" s="150" t="s">
        <v>95</v>
      </c>
      <c r="D87" s="151" t="s">
        <v>137</v>
      </c>
      <c r="E87" s="155" t="s">
        <v>90</v>
      </c>
      <c r="F87" s="152" t="s">
        <v>100</v>
      </c>
      <c r="G87" s="152" t="s">
        <v>96</v>
      </c>
      <c r="H87" s="152" t="s">
        <v>97</v>
      </c>
      <c r="I87" s="153">
        <v>272</v>
      </c>
    </row>
    <row r="88" spans="1:9" ht="16.8" x14ac:dyDescent="0.3">
      <c r="A88" s="125" t="s">
        <v>232</v>
      </c>
      <c r="B88" s="126">
        <v>5</v>
      </c>
      <c r="C88" s="127" t="s">
        <v>88</v>
      </c>
      <c r="D88" s="128" t="s">
        <v>89</v>
      </c>
      <c r="E88" s="129" t="s">
        <v>90</v>
      </c>
      <c r="F88" s="130" t="s">
        <v>233</v>
      </c>
      <c r="G88" s="130" t="s">
        <v>130</v>
      </c>
      <c r="H88" s="130" t="s">
        <v>141</v>
      </c>
      <c r="I88" s="131">
        <v>81</v>
      </c>
    </row>
    <row r="89" spans="1:9" ht="16.8" x14ac:dyDescent="0.3">
      <c r="A89" s="125" t="s">
        <v>234</v>
      </c>
      <c r="B89" s="126">
        <v>5</v>
      </c>
      <c r="C89" s="127" t="s">
        <v>126</v>
      </c>
      <c r="D89" s="128" t="s">
        <v>89</v>
      </c>
      <c r="E89" s="129" t="s">
        <v>107</v>
      </c>
      <c r="F89" s="130" t="s">
        <v>91</v>
      </c>
      <c r="G89" s="130" t="s">
        <v>96</v>
      </c>
      <c r="H89" s="130" t="s">
        <v>97</v>
      </c>
      <c r="I89" s="131">
        <v>207</v>
      </c>
    </row>
    <row r="90" spans="1:9" ht="16.8" x14ac:dyDescent="0.3">
      <c r="A90" s="125" t="s">
        <v>358</v>
      </c>
      <c r="B90" s="126">
        <v>5</v>
      </c>
      <c r="C90" s="347" t="s">
        <v>105</v>
      </c>
      <c r="D90" s="348" t="s">
        <v>344</v>
      </c>
      <c r="E90" s="349" t="s">
        <v>345</v>
      </c>
      <c r="F90" s="349" t="s">
        <v>208</v>
      </c>
      <c r="G90" s="349" t="s">
        <v>103</v>
      </c>
      <c r="H90" s="349" t="s">
        <v>97</v>
      </c>
      <c r="I90" s="66">
        <v>274</v>
      </c>
    </row>
    <row r="91" spans="1:9" ht="16.8" x14ac:dyDescent="0.3">
      <c r="A91" s="125" t="s">
        <v>235</v>
      </c>
      <c r="B91" s="126">
        <v>5</v>
      </c>
      <c r="C91" s="127" t="s">
        <v>134</v>
      </c>
      <c r="D91" s="128" t="s">
        <v>143</v>
      </c>
      <c r="E91" s="129" t="s">
        <v>90</v>
      </c>
      <c r="F91" s="130" t="s">
        <v>156</v>
      </c>
      <c r="G91" s="130" t="s">
        <v>103</v>
      </c>
      <c r="H91" s="130" t="s">
        <v>161</v>
      </c>
      <c r="I91" s="131">
        <v>94</v>
      </c>
    </row>
    <row r="92" spans="1:9" ht="16.8" x14ac:dyDescent="0.3">
      <c r="A92" s="125" t="s">
        <v>236</v>
      </c>
      <c r="B92" s="126">
        <v>5</v>
      </c>
      <c r="C92" s="127" t="s">
        <v>126</v>
      </c>
      <c r="D92" s="128" t="s">
        <v>118</v>
      </c>
      <c r="E92" s="129" t="s">
        <v>90</v>
      </c>
      <c r="F92" s="130" t="s">
        <v>100</v>
      </c>
      <c r="G92" s="130" t="s">
        <v>130</v>
      </c>
      <c r="H92" s="130" t="s">
        <v>97</v>
      </c>
      <c r="I92" s="131">
        <v>222</v>
      </c>
    </row>
    <row r="93" spans="1:9" ht="16.8" x14ac:dyDescent="0.3">
      <c r="A93" s="125" t="s">
        <v>237</v>
      </c>
      <c r="B93" s="126">
        <v>5</v>
      </c>
      <c r="C93" s="127" t="s">
        <v>109</v>
      </c>
      <c r="D93" s="141" t="s">
        <v>118</v>
      </c>
      <c r="E93" s="130" t="s">
        <v>90</v>
      </c>
      <c r="F93" s="143" t="s">
        <v>115</v>
      </c>
      <c r="G93" s="130" t="s">
        <v>96</v>
      </c>
      <c r="H93" s="130" t="s">
        <v>97</v>
      </c>
      <c r="I93" s="66">
        <v>231</v>
      </c>
    </row>
    <row r="94" spans="1:9" ht="16.8" x14ac:dyDescent="0.3">
      <c r="A94" s="125" t="s">
        <v>238</v>
      </c>
      <c r="B94" s="126">
        <v>5</v>
      </c>
      <c r="C94" s="127" t="s">
        <v>134</v>
      </c>
      <c r="D94" s="128" t="s">
        <v>143</v>
      </c>
      <c r="E94" s="129" t="s">
        <v>90</v>
      </c>
      <c r="F94" s="130" t="s">
        <v>91</v>
      </c>
      <c r="G94" s="130" t="s">
        <v>130</v>
      </c>
      <c r="H94" s="130" t="s">
        <v>97</v>
      </c>
      <c r="I94" s="131">
        <v>211</v>
      </c>
    </row>
    <row r="95" spans="1:9" ht="16.8" x14ac:dyDescent="0.3">
      <c r="A95" s="134" t="s">
        <v>417</v>
      </c>
      <c r="B95" s="135">
        <v>5</v>
      </c>
      <c r="C95" s="150" t="s">
        <v>105</v>
      </c>
      <c r="D95" s="151" t="s">
        <v>137</v>
      </c>
      <c r="E95" s="156" t="s">
        <v>90</v>
      </c>
      <c r="F95" s="152" t="s">
        <v>100</v>
      </c>
      <c r="G95" s="152" t="s">
        <v>103</v>
      </c>
      <c r="H95" s="152" t="s">
        <v>97</v>
      </c>
      <c r="I95" s="153">
        <v>296</v>
      </c>
    </row>
    <row r="96" spans="1:9" ht="16.8" x14ac:dyDescent="0.3">
      <c r="A96" s="125" t="s">
        <v>239</v>
      </c>
      <c r="B96" s="126">
        <v>6</v>
      </c>
      <c r="C96" s="127" t="s">
        <v>88</v>
      </c>
      <c r="D96" s="128" t="s">
        <v>137</v>
      </c>
      <c r="E96" s="129" t="s">
        <v>90</v>
      </c>
      <c r="F96" s="130" t="s">
        <v>100</v>
      </c>
      <c r="G96" s="130" t="s">
        <v>103</v>
      </c>
      <c r="H96" s="130" t="s">
        <v>240</v>
      </c>
      <c r="I96" s="131">
        <v>106</v>
      </c>
    </row>
    <row r="97" spans="1:9" ht="16.8" x14ac:dyDescent="0.3">
      <c r="A97" s="125" t="s">
        <v>241</v>
      </c>
      <c r="B97" s="126">
        <v>6</v>
      </c>
      <c r="C97" s="127" t="s">
        <v>126</v>
      </c>
      <c r="D97" s="128" t="s">
        <v>89</v>
      </c>
      <c r="E97" s="129" t="s">
        <v>90</v>
      </c>
      <c r="F97" s="130" t="s">
        <v>115</v>
      </c>
      <c r="G97" s="130" t="s">
        <v>96</v>
      </c>
      <c r="H97" s="130" t="s">
        <v>97</v>
      </c>
      <c r="I97" s="131">
        <v>221</v>
      </c>
    </row>
    <row r="98" spans="1:9" ht="16.8" x14ac:dyDescent="0.3">
      <c r="A98" s="125" t="s">
        <v>389</v>
      </c>
      <c r="B98" s="126">
        <v>6</v>
      </c>
      <c r="C98" s="347" t="s">
        <v>126</v>
      </c>
      <c r="D98" s="348" t="s">
        <v>137</v>
      </c>
      <c r="E98" s="129" t="s">
        <v>119</v>
      </c>
      <c r="F98" s="349" t="s">
        <v>100</v>
      </c>
      <c r="G98" s="349" t="s">
        <v>140</v>
      </c>
      <c r="H98" s="349" t="s">
        <v>97</v>
      </c>
      <c r="I98" s="131">
        <v>237</v>
      </c>
    </row>
    <row r="99" spans="1:9" ht="16.8" x14ac:dyDescent="0.3">
      <c r="A99" s="134" t="s">
        <v>242</v>
      </c>
      <c r="B99" s="135">
        <v>6</v>
      </c>
      <c r="C99" s="150" t="s">
        <v>88</v>
      </c>
      <c r="D99" s="151" t="s">
        <v>89</v>
      </c>
      <c r="E99" s="155" t="s">
        <v>90</v>
      </c>
      <c r="F99" s="152" t="s">
        <v>100</v>
      </c>
      <c r="G99" s="152" t="s">
        <v>103</v>
      </c>
      <c r="H99" s="152" t="s">
        <v>161</v>
      </c>
      <c r="I99" s="153">
        <v>110</v>
      </c>
    </row>
    <row r="100" spans="1:9" ht="16.8" x14ac:dyDescent="0.3">
      <c r="A100" s="125" t="s">
        <v>418</v>
      </c>
      <c r="B100" s="126">
        <v>7</v>
      </c>
      <c r="C100" s="127" t="s">
        <v>95</v>
      </c>
      <c r="D100" s="128" t="s">
        <v>114</v>
      </c>
      <c r="E100" s="129" t="s">
        <v>90</v>
      </c>
      <c r="F100" s="130" t="s">
        <v>100</v>
      </c>
      <c r="G100" s="130" t="s">
        <v>96</v>
      </c>
      <c r="H100" s="130" t="s">
        <v>93</v>
      </c>
      <c r="I100" s="131">
        <v>159</v>
      </c>
    </row>
    <row r="101" spans="1:9" ht="16.8" x14ac:dyDescent="0.3">
      <c r="A101" s="125" t="s">
        <v>364</v>
      </c>
      <c r="B101" s="126">
        <v>7</v>
      </c>
      <c r="C101" s="127" t="s">
        <v>109</v>
      </c>
      <c r="D101" s="128" t="s">
        <v>114</v>
      </c>
      <c r="E101" s="129" t="s">
        <v>90</v>
      </c>
      <c r="F101" s="130" t="s">
        <v>152</v>
      </c>
      <c r="G101" s="130" t="s">
        <v>96</v>
      </c>
      <c r="H101" s="130" t="s">
        <v>93</v>
      </c>
      <c r="I101" s="131">
        <v>164</v>
      </c>
    </row>
    <row r="102" spans="1:9" ht="16.8" x14ac:dyDescent="0.3">
      <c r="A102" s="125" t="s">
        <v>419</v>
      </c>
      <c r="B102" s="126">
        <v>7</v>
      </c>
      <c r="C102" s="127" t="s">
        <v>95</v>
      </c>
      <c r="D102" s="128" t="s">
        <v>426</v>
      </c>
      <c r="E102" s="129" t="s">
        <v>90</v>
      </c>
      <c r="F102" s="130" t="s">
        <v>100</v>
      </c>
      <c r="G102" s="130" t="s">
        <v>96</v>
      </c>
      <c r="H102" s="130" t="s">
        <v>97</v>
      </c>
      <c r="I102" s="131">
        <v>272</v>
      </c>
    </row>
    <row r="103" spans="1:9" ht="16.8" x14ac:dyDescent="0.3">
      <c r="A103" s="134" t="s">
        <v>420</v>
      </c>
      <c r="B103" s="135">
        <v>7</v>
      </c>
      <c r="C103" s="150" t="s">
        <v>117</v>
      </c>
      <c r="D103" s="151" t="s">
        <v>89</v>
      </c>
      <c r="E103" s="152" t="s">
        <v>90</v>
      </c>
      <c r="F103" s="152" t="s">
        <v>100</v>
      </c>
      <c r="G103" s="138" t="s">
        <v>96</v>
      </c>
      <c r="H103" s="152" t="s">
        <v>93</v>
      </c>
      <c r="I103" s="153">
        <v>241</v>
      </c>
    </row>
    <row r="104" spans="1:9" ht="16.8" x14ac:dyDescent="0.3">
      <c r="A104" s="125" t="s">
        <v>421</v>
      </c>
      <c r="B104" s="126">
        <v>8</v>
      </c>
      <c r="C104" s="127" t="s">
        <v>88</v>
      </c>
      <c r="D104" s="128" t="s">
        <v>89</v>
      </c>
      <c r="E104" s="129" t="s">
        <v>90</v>
      </c>
      <c r="F104" s="130" t="s">
        <v>91</v>
      </c>
      <c r="G104" s="130" t="s">
        <v>130</v>
      </c>
      <c r="H104" s="130" t="s">
        <v>93</v>
      </c>
      <c r="I104" s="131">
        <v>39</v>
      </c>
    </row>
    <row r="105" spans="1:9" ht="16.8" x14ac:dyDescent="0.3">
      <c r="A105" s="125" t="s">
        <v>422</v>
      </c>
      <c r="B105" s="126">
        <v>8</v>
      </c>
      <c r="C105" s="347" t="s">
        <v>105</v>
      </c>
      <c r="D105" s="348" t="s">
        <v>118</v>
      </c>
      <c r="E105" s="129" t="s">
        <v>119</v>
      </c>
      <c r="F105" s="349" t="s">
        <v>435</v>
      </c>
      <c r="G105" s="349" t="s">
        <v>96</v>
      </c>
      <c r="H105" s="349" t="s">
        <v>97</v>
      </c>
      <c r="I105" s="131">
        <v>222</v>
      </c>
    </row>
    <row r="106" spans="1:9" ht="16.8" x14ac:dyDescent="0.3">
      <c r="A106" s="125" t="s">
        <v>444</v>
      </c>
      <c r="B106" s="126">
        <v>8</v>
      </c>
      <c r="C106" s="132" t="s">
        <v>109</v>
      </c>
      <c r="D106" s="348" t="s">
        <v>118</v>
      </c>
      <c r="E106" s="129" t="s">
        <v>90</v>
      </c>
      <c r="F106" s="349" t="s">
        <v>296</v>
      </c>
      <c r="G106" s="349" t="s">
        <v>445</v>
      </c>
      <c r="H106" s="349" t="s">
        <v>446</v>
      </c>
      <c r="I106" s="131">
        <v>118</v>
      </c>
    </row>
    <row r="107" spans="1:9" ht="16.8" x14ac:dyDescent="0.3">
      <c r="A107" s="134" t="s">
        <v>423</v>
      </c>
      <c r="B107" s="135">
        <v>8</v>
      </c>
      <c r="C107" s="150" t="s">
        <v>126</v>
      </c>
      <c r="D107" s="151" t="s">
        <v>118</v>
      </c>
      <c r="E107" s="152" t="s">
        <v>90</v>
      </c>
      <c r="F107" s="152" t="s">
        <v>91</v>
      </c>
      <c r="G107" s="138" t="s">
        <v>103</v>
      </c>
      <c r="H107" s="152" t="s">
        <v>93</v>
      </c>
      <c r="I107" s="153">
        <v>233</v>
      </c>
    </row>
    <row r="108" spans="1:9" ht="16.8" x14ac:dyDescent="0.3">
      <c r="A108" s="125" t="s">
        <v>424</v>
      </c>
      <c r="B108" s="126">
        <v>9</v>
      </c>
      <c r="C108" s="127" t="s">
        <v>134</v>
      </c>
      <c r="D108" s="128" t="s">
        <v>118</v>
      </c>
      <c r="E108" s="129" t="s">
        <v>90</v>
      </c>
      <c r="F108" s="130" t="s">
        <v>440</v>
      </c>
      <c r="G108" s="130" t="s">
        <v>130</v>
      </c>
      <c r="H108" s="130" t="s">
        <v>161</v>
      </c>
      <c r="I108" s="131">
        <v>98</v>
      </c>
    </row>
    <row r="109" spans="1:9" ht="17.399999999999999" thickBot="1" x14ac:dyDescent="0.35">
      <c r="A109" s="157" t="s">
        <v>425</v>
      </c>
      <c r="B109" s="158">
        <v>9</v>
      </c>
      <c r="C109" s="159" t="s">
        <v>95</v>
      </c>
      <c r="D109" s="160" t="s">
        <v>426</v>
      </c>
      <c r="E109" s="161" t="s">
        <v>90</v>
      </c>
      <c r="F109" s="161" t="s">
        <v>115</v>
      </c>
      <c r="G109" s="162" t="s">
        <v>208</v>
      </c>
      <c r="H109" s="161" t="s">
        <v>97</v>
      </c>
      <c r="I109" s="163">
        <v>234</v>
      </c>
    </row>
    <row r="110" spans="1:9" ht="16.2" thickTop="1" x14ac:dyDescent="0.3"/>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8"/>
  <sheetViews>
    <sheetView showGridLines="0" workbookViewId="0"/>
  </sheetViews>
  <sheetFormatPr defaultRowHeight="15.6" x14ac:dyDescent="0.3"/>
  <cols>
    <col min="1" max="1" width="24.69921875" bestFit="1" customWidth="1"/>
    <col min="2" max="2" width="6.19921875" bestFit="1" customWidth="1"/>
    <col min="3" max="3" width="6.5" bestFit="1" customWidth="1"/>
    <col min="4" max="4" width="4.09765625" bestFit="1" customWidth="1"/>
    <col min="5" max="5" width="6.296875" bestFit="1" customWidth="1"/>
    <col min="6" max="6" width="3.5" customWidth="1"/>
    <col min="7" max="7" width="16.3984375" bestFit="1" customWidth="1"/>
    <col min="8" max="8" width="3.59765625" bestFit="1" customWidth="1"/>
    <col min="9" max="9" width="3.3984375" bestFit="1" customWidth="1"/>
    <col min="10" max="10" width="3.8984375" bestFit="1" customWidth="1"/>
    <col min="11" max="11" width="3.69921875" bestFit="1" customWidth="1"/>
    <col min="12" max="17" width="3.59765625" bestFit="1" customWidth="1"/>
    <col min="18" max="18" width="3.5" customWidth="1"/>
    <col min="19" max="19" width="22.296875" bestFit="1" customWidth="1"/>
    <col min="20" max="20" width="6.19921875" bestFit="1" customWidth="1"/>
    <col min="21" max="21" width="6.5" bestFit="1" customWidth="1"/>
    <col min="22" max="22" width="4.09765625" bestFit="1" customWidth="1"/>
    <col min="23" max="23" width="6.296875" bestFit="1" customWidth="1"/>
  </cols>
  <sheetData>
    <row r="1" spans="1:23" ht="23.4" thickBot="1" x14ac:dyDescent="0.35">
      <c r="A1" s="340" t="s">
        <v>243</v>
      </c>
      <c r="B1" s="341"/>
      <c r="C1" s="341"/>
      <c r="D1" s="341"/>
      <c r="E1" s="341"/>
      <c r="G1" s="120"/>
      <c r="H1" s="177" t="s">
        <v>247</v>
      </c>
      <c r="I1" s="178"/>
      <c r="J1" s="119"/>
      <c r="K1" s="179"/>
      <c r="L1" s="119"/>
      <c r="M1" s="119"/>
      <c r="N1" s="119"/>
      <c r="O1" s="179"/>
      <c r="P1" s="179"/>
      <c r="Q1" s="179"/>
      <c r="S1" s="340" t="s">
        <v>324</v>
      </c>
      <c r="T1" s="341"/>
      <c r="U1" s="341"/>
      <c r="V1" s="341"/>
      <c r="W1" s="341"/>
    </row>
    <row r="2" spans="1:23" ht="17.399999999999999" thickTop="1" x14ac:dyDescent="0.3">
      <c r="A2" s="165" t="s">
        <v>359</v>
      </c>
      <c r="B2" s="166" t="s">
        <v>79</v>
      </c>
      <c r="C2" s="166" t="s">
        <v>467</v>
      </c>
      <c r="D2" s="166" t="s">
        <v>244</v>
      </c>
      <c r="E2" s="167" t="s">
        <v>245</v>
      </c>
      <c r="G2" s="120"/>
      <c r="H2" s="180" t="s">
        <v>248</v>
      </c>
      <c r="I2" s="181"/>
      <c r="J2" s="182"/>
      <c r="K2" s="182"/>
      <c r="L2" s="182"/>
      <c r="M2" s="182"/>
      <c r="N2" s="182"/>
      <c r="O2" s="182"/>
      <c r="P2" s="182"/>
      <c r="Q2" s="183"/>
      <c r="S2" s="165" t="s">
        <v>359</v>
      </c>
      <c r="T2" s="166" t="s">
        <v>79</v>
      </c>
      <c r="U2" s="166" t="s">
        <v>467</v>
      </c>
      <c r="V2" s="166" t="s">
        <v>244</v>
      </c>
      <c r="W2" s="167" t="s">
        <v>245</v>
      </c>
    </row>
    <row r="3" spans="1:23" ht="17.399999999999999" thickBot="1" x14ac:dyDescent="0.35">
      <c r="A3" s="168" t="s">
        <v>108</v>
      </c>
      <c r="B3" s="47">
        <v>0</v>
      </c>
      <c r="C3" s="47">
        <v>0</v>
      </c>
      <c r="D3" s="84">
        <f>10+B3+C3+'Personal File'!$C$14</f>
        <v>18</v>
      </c>
      <c r="E3" s="174" t="s">
        <v>342</v>
      </c>
      <c r="G3" s="120"/>
      <c r="H3" s="184" t="s">
        <v>249</v>
      </c>
      <c r="I3" s="185" t="s">
        <v>250</v>
      </c>
      <c r="J3" s="185" t="s">
        <v>251</v>
      </c>
      <c r="K3" s="185" t="s">
        <v>252</v>
      </c>
      <c r="L3" s="185" t="s">
        <v>253</v>
      </c>
      <c r="M3" s="185" t="s">
        <v>254</v>
      </c>
      <c r="N3" s="185" t="s">
        <v>255</v>
      </c>
      <c r="O3" s="185" t="s">
        <v>256</v>
      </c>
      <c r="P3" s="185" t="s">
        <v>257</v>
      </c>
      <c r="Q3" s="186" t="s">
        <v>258</v>
      </c>
      <c r="S3" s="168" t="s">
        <v>108</v>
      </c>
      <c r="T3" s="47">
        <v>0</v>
      </c>
      <c r="U3" s="47">
        <v>0</v>
      </c>
      <c r="V3" s="84">
        <f>10+T3+U3+'Personal File'!$C$14</f>
        <v>18</v>
      </c>
      <c r="W3" s="174" t="s">
        <v>342</v>
      </c>
    </row>
    <row r="4" spans="1:23" ht="17.399999999999999" thickTop="1" x14ac:dyDescent="0.3">
      <c r="A4" s="168" t="s">
        <v>108</v>
      </c>
      <c r="B4" s="47">
        <v>0</v>
      </c>
      <c r="C4" s="47">
        <v>0</v>
      </c>
      <c r="D4" s="84">
        <f>10+B4+C4+'Personal File'!$C$14</f>
        <v>18</v>
      </c>
      <c r="E4" s="174" t="s">
        <v>342</v>
      </c>
      <c r="G4" s="187" t="s">
        <v>259</v>
      </c>
      <c r="H4" s="188">
        <v>4</v>
      </c>
      <c r="I4" s="189">
        <v>5</v>
      </c>
      <c r="J4" s="189">
        <v>5</v>
      </c>
      <c r="K4" s="189">
        <v>5</v>
      </c>
      <c r="L4" s="189">
        <v>5</v>
      </c>
      <c r="M4" s="189">
        <v>5</v>
      </c>
      <c r="N4" s="189">
        <v>5</v>
      </c>
      <c r="O4" s="189">
        <v>5</v>
      </c>
      <c r="P4" s="189">
        <v>4</v>
      </c>
      <c r="Q4" s="433">
        <v>4</v>
      </c>
      <c r="S4" s="168" t="s">
        <v>108</v>
      </c>
      <c r="T4" s="47">
        <v>0</v>
      </c>
      <c r="U4" s="47">
        <v>0</v>
      </c>
      <c r="V4" s="84">
        <f>10+T4+U4+'Personal File'!$C$14</f>
        <v>18</v>
      </c>
      <c r="W4" s="174" t="s">
        <v>342</v>
      </c>
    </row>
    <row r="5" spans="1:23" ht="16.8" x14ac:dyDescent="0.3">
      <c r="A5" s="168" t="s">
        <v>122</v>
      </c>
      <c r="B5" s="47">
        <v>0</v>
      </c>
      <c r="C5" s="47">
        <v>0</v>
      </c>
      <c r="D5" s="84">
        <f>10+B5+C5+'Personal File'!$C$14</f>
        <v>18</v>
      </c>
      <c r="E5" s="174" t="s">
        <v>342</v>
      </c>
      <c r="G5" s="190" t="s">
        <v>260</v>
      </c>
      <c r="H5" s="191">
        <v>0</v>
      </c>
      <c r="I5" s="191">
        <v>2</v>
      </c>
      <c r="J5" s="192">
        <v>2</v>
      </c>
      <c r="K5" s="192">
        <v>2</v>
      </c>
      <c r="L5" s="192">
        <v>1</v>
      </c>
      <c r="M5" s="192">
        <v>1</v>
      </c>
      <c r="N5" s="192">
        <v>0</v>
      </c>
      <c r="O5" s="192">
        <v>0</v>
      </c>
      <c r="P5" s="192">
        <v>0</v>
      </c>
      <c r="Q5" s="434">
        <v>0</v>
      </c>
      <c r="S5" s="168" t="s">
        <v>122</v>
      </c>
      <c r="T5" s="47">
        <v>0</v>
      </c>
      <c r="U5" s="47">
        <v>0</v>
      </c>
      <c r="V5" s="84">
        <f>10+T5+U5+'Personal File'!$C$14</f>
        <v>18</v>
      </c>
      <c r="W5" s="174" t="s">
        <v>342</v>
      </c>
    </row>
    <row r="6" spans="1:23" ht="17.399999999999999" thickBot="1" x14ac:dyDescent="0.35">
      <c r="A6" s="169" t="s">
        <v>123</v>
      </c>
      <c r="B6" s="56">
        <v>0</v>
      </c>
      <c r="C6" s="56">
        <v>0</v>
      </c>
      <c r="D6" s="170">
        <f>10+B6+C6+'Personal File'!$C$14</f>
        <v>18</v>
      </c>
      <c r="E6" s="175" t="s">
        <v>342</v>
      </c>
      <c r="G6" s="193" t="s">
        <v>261</v>
      </c>
      <c r="H6" s="194">
        <f t="shared" ref="H6:Q6" si="0">SUM(H4:H5)</f>
        <v>4</v>
      </c>
      <c r="I6" s="194">
        <f t="shared" si="0"/>
        <v>7</v>
      </c>
      <c r="J6" s="195">
        <f t="shared" si="0"/>
        <v>7</v>
      </c>
      <c r="K6" s="195">
        <f t="shared" si="0"/>
        <v>7</v>
      </c>
      <c r="L6" s="195">
        <f t="shared" si="0"/>
        <v>6</v>
      </c>
      <c r="M6" s="195">
        <f t="shared" si="0"/>
        <v>6</v>
      </c>
      <c r="N6" s="195">
        <f t="shared" si="0"/>
        <v>5</v>
      </c>
      <c r="O6" s="195">
        <f t="shared" ref="O6" si="1">SUM(O4:O5)</f>
        <v>5</v>
      </c>
      <c r="P6" s="195">
        <f t="shared" si="0"/>
        <v>4</v>
      </c>
      <c r="Q6" s="435">
        <f t="shared" si="0"/>
        <v>4</v>
      </c>
      <c r="S6" s="169" t="s">
        <v>123</v>
      </c>
      <c r="T6" s="56">
        <v>0</v>
      </c>
      <c r="U6" s="56">
        <v>0</v>
      </c>
      <c r="V6" s="170">
        <f>10+T6+U6+'Personal File'!$C$14</f>
        <v>18</v>
      </c>
      <c r="W6" s="175" t="s">
        <v>342</v>
      </c>
    </row>
    <row r="7" spans="1:23" ht="17.399999999999999" thickTop="1" x14ac:dyDescent="0.3">
      <c r="A7" s="168" t="s">
        <v>149</v>
      </c>
      <c r="B7" s="47">
        <v>1</v>
      </c>
      <c r="C7" s="47">
        <v>0</v>
      </c>
      <c r="D7" s="84">
        <f>10+B7+C7+'Personal File'!$C$14</f>
        <v>19</v>
      </c>
      <c r="E7" s="174" t="s">
        <v>342</v>
      </c>
      <c r="G7" s="196"/>
      <c r="H7" s="196"/>
      <c r="I7" s="196"/>
      <c r="J7" s="196"/>
      <c r="K7" s="196"/>
      <c r="L7" s="196"/>
      <c r="M7" s="196"/>
      <c r="N7" s="196"/>
      <c r="O7" s="196"/>
      <c r="P7" s="196"/>
      <c r="Q7" s="196"/>
      <c r="S7" s="168" t="s">
        <v>149</v>
      </c>
      <c r="T7" s="47">
        <v>1</v>
      </c>
      <c r="U7" s="47">
        <v>0</v>
      </c>
      <c r="V7" s="84">
        <f>10+T7+U7+'Personal File'!$C$14</f>
        <v>19</v>
      </c>
      <c r="W7" s="174" t="s">
        <v>342</v>
      </c>
    </row>
    <row r="8" spans="1:23" ht="23.4" thickBot="1" x14ac:dyDescent="0.35">
      <c r="A8" s="168" t="s">
        <v>149</v>
      </c>
      <c r="B8" s="47">
        <v>1</v>
      </c>
      <c r="C8" s="47">
        <v>0</v>
      </c>
      <c r="D8" s="84">
        <f>10+B8+C8+'Personal File'!$C$14</f>
        <v>19</v>
      </c>
      <c r="E8" s="174" t="s">
        <v>342</v>
      </c>
      <c r="G8" s="177" t="s">
        <v>390</v>
      </c>
      <c r="H8" s="197"/>
      <c r="I8" s="197"/>
      <c r="J8" s="197"/>
      <c r="K8" s="197"/>
      <c r="L8" s="197"/>
      <c r="M8" s="197"/>
      <c r="N8" s="197"/>
      <c r="O8" s="197"/>
      <c r="P8" s="197"/>
      <c r="Q8" s="197"/>
      <c r="S8" s="168" t="s">
        <v>149</v>
      </c>
      <c r="T8" s="47">
        <v>1</v>
      </c>
      <c r="U8" s="47">
        <v>0</v>
      </c>
      <c r="V8" s="84">
        <f>10+T8+U8+'Personal File'!$C$14</f>
        <v>19</v>
      </c>
      <c r="W8" s="174" t="s">
        <v>342</v>
      </c>
    </row>
    <row r="9" spans="1:23" ht="18" thickTop="1" thickBot="1" x14ac:dyDescent="0.35">
      <c r="A9" s="168" t="s">
        <v>149</v>
      </c>
      <c r="B9" s="47">
        <v>1</v>
      </c>
      <c r="C9" s="47">
        <v>0</v>
      </c>
      <c r="D9" s="84">
        <f>10+B9+C9+'Personal File'!$C$14</f>
        <v>19</v>
      </c>
      <c r="E9" s="174" t="s">
        <v>342</v>
      </c>
      <c r="G9" s="198" t="s">
        <v>323</v>
      </c>
      <c r="H9" s="199">
        <v>0</v>
      </c>
      <c r="I9" s="199" t="s">
        <v>250</v>
      </c>
      <c r="J9" s="200" t="s">
        <v>251</v>
      </c>
      <c r="K9" s="200" t="s">
        <v>252</v>
      </c>
      <c r="L9" s="200" t="s">
        <v>253</v>
      </c>
      <c r="M9" s="200" t="s">
        <v>254</v>
      </c>
      <c r="N9" s="200" t="s">
        <v>255</v>
      </c>
      <c r="O9" s="200" t="s">
        <v>256</v>
      </c>
      <c r="P9" s="200" t="s">
        <v>257</v>
      </c>
      <c r="Q9" s="201" t="s">
        <v>258</v>
      </c>
      <c r="S9" s="168" t="s">
        <v>149</v>
      </c>
      <c r="T9" s="47">
        <v>1</v>
      </c>
      <c r="U9" s="47">
        <v>0</v>
      </c>
      <c r="V9" s="84">
        <f>10+T9+U9+'Personal File'!$C$14</f>
        <v>19</v>
      </c>
      <c r="W9" s="174" t="s">
        <v>342</v>
      </c>
    </row>
    <row r="10" spans="1:23" ht="16.8" x14ac:dyDescent="0.3">
      <c r="A10" s="168" t="s">
        <v>189</v>
      </c>
      <c r="B10" s="47">
        <v>1</v>
      </c>
      <c r="C10" s="47">
        <v>0</v>
      </c>
      <c r="D10" s="84">
        <f>10+B10+C10+'Personal File'!$C$14</f>
        <v>19</v>
      </c>
      <c r="E10" s="174" t="s">
        <v>342</v>
      </c>
      <c r="G10" s="202">
        <v>1</v>
      </c>
      <c r="H10" s="203" t="s">
        <v>343</v>
      </c>
      <c r="I10" s="203">
        <v>8</v>
      </c>
      <c r="J10" s="204"/>
      <c r="K10" s="204"/>
      <c r="L10" s="204"/>
      <c r="M10" s="204"/>
      <c r="N10" s="204"/>
      <c r="O10" s="204"/>
      <c r="P10" s="204"/>
      <c r="Q10" s="205"/>
      <c r="S10" s="168" t="s">
        <v>189</v>
      </c>
      <c r="T10" s="47">
        <v>1</v>
      </c>
      <c r="U10" s="47">
        <v>0</v>
      </c>
      <c r="V10" s="84">
        <f>10+T10+U10+'Personal File'!$C$14</f>
        <v>19</v>
      </c>
      <c r="W10" s="174" t="s">
        <v>342</v>
      </c>
    </row>
    <row r="11" spans="1:23" ht="16.8" x14ac:dyDescent="0.3">
      <c r="A11" s="168" t="s">
        <v>189</v>
      </c>
      <c r="B11" s="47">
        <v>1</v>
      </c>
      <c r="C11" s="47">
        <v>0</v>
      </c>
      <c r="D11" s="84">
        <f>10+B11+C11+'Personal File'!$C$14</f>
        <v>19</v>
      </c>
      <c r="E11" s="174" t="s">
        <v>342</v>
      </c>
      <c r="G11" s="206">
        <v>2</v>
      </c>
      <c r="H11" s="207" t="s">
        <v>343</v>
      </c>
      <c r="I11" s="207">
        <v>10</v>
      </c>
      <c r="J11" s="208"/>
      <c r="K11" s="208"/>
      <c r="L11" s="208"/>
      <c r="M11" s="208"/>
      <c r="N11" s="208"/>
      <c r="O11" s="208"/>
      <c r="P11" s="208"/>
      <c r="Q11" s="209"/>
      <c r="S11" s="168" t="s">
        <v>189</v>
      </c>
      <c r="T11" s="47">
        <v>1</v>
      </c>
      <c r="U11" s="47">
        <v>0</v>
      </c>
      <c r="V11" s="84">
        <f>10+T11+U11+'Personal File'!$C$14</f>
        <v>19</v>
      </c>
      <c r="W11" s="174" t="s">
        <v>342</v>
      </c>
    </row>
    <row r="12" spans="1:23" ht="16.8" x14ac:dyDescent="0.3">
      <c r="A12" s="168" t="s">
        <v>189</v>
      </c>
      <c r="B12" s="47">
        <v>1</v>
      </c>
      <c r="C12" s="47">
        <v>0</v>
      </c>
      <c r="D12" s="84">
        <f>10+B12+C12+'Personal File'!$C$14</f>
        <v>19</v>
      </c>
      <c r="E12" s="174" t="s">
        <v>342</v>
      </c>
      <c r="G12" s="206">
        <v>3</v>
      </c>
      <c r="H12" s="207" t="s">
        <v>343</v>
      </c>
      <c r="I12" s="207">
        <v>11</v>
      </c>
      <c r="J12" s="210">
        <v>2</v>
      </c>
      <c r="K12" s="208"/>
      <c r="L12" s="208"/>
      <c r="M12" s="208"/>
      <c r="N12" s="208"/>
      <c r="O12" s="208"/>
      <c r="P12" s="208"/>
      <c r="Q12" s="209"/>
      <c r="S12" s="168" t="s">
        <v>189</v>
      </c>
      <c r="T12" s="47">
        <v>1</v>
      </c>
      <c r="U12" s="47">
        <v>0</v>
      </c>
      <c r="V12" s="84">
        <f>10+T12+U12+'Personal File'!$C$14</f>
        <v>19</v>
      </c>
      <c r="W12" s="174" t="s">
        <v>342</v>
      </c>
    </row>
    <row r="13" spans="1:23" ht="16.8" x14ac:dyDescent="0.3">
      <c r="A13" s="169" t="s">
        <v>189</v>
      </c>
      <c r="B13" s="56">
        <v>1</v>
      </c>
      <c r="C13" s="56">
        <v>0</v>
      </c>
      <c r="D13" s="170">
        <f>10+B13+C13+'Personal File'!$C$14</f>
        <v>19</v>
      </c>
      <c r="E13" s="175" t="s">
        <v>342</v>
      </c>
      <c r="G13" s="206">
        <v>4</v>
      </c>
      <c r="H13" s="207" t="s">
        <v>343</v>
      </c>
      <c r="I13" s="207">
        <v>11</v>
      </c>
      <c r="J13" s="210">
        <v>4</v>
      </c>
      <c r="K13" s="208"/>
      <c r="L13" s="208"/>
      <c r="M13" s="208"/>
      <c r="N13" s="208"/>
      <c r="O13" s="208"/>
      <c r="P13" s="208"/>
      <c r="Q13" s="209"/>
      <c r="S13" s="169" t="s">
        <v>189</v>
      </c>
      <c r="T13" s="56">
        <v>1</v>
      </c>
      <c r="U13" s="56">
        <v>0</v>
      </c>
      <c r="V13" s="170">
        <f>10+T13+U13+'Personal File'!$C$14</f>
        <v>19</v>
      </c>
      <c r="W13" s="175" t="s">
        <v>342</v>
      </c>
    </row>
    <row r="14" spans="1:23" ht="16.8" x14ac:dyDescent="0.3">
      <c r="A14" s="168" t="s">
        <v>204</v>
      </c>
      <c r="B14" s="47">
        <v>2</v>
      </c>
      <c r="C14" s="47">
        <v>0</v>
      </c>
      <c r="D14" s="84">
        <f>10+B14+C14+'Personal File'!$C$14</f>
        <v>20</v>
      </c>
      <c r="E14" s="174" t="s">
        <v>342</v>
      </c>
      <c r="G14" s="206">
        <v>5</v>
      </c>
      <c r="H14" s="207" t="s">
        <v>343</v>
      </c>
      <c r="I14" s="207">
        <v>11</v>
      </c>
      <c r="J14" s="210">
        <v>4</v>
      </c>
      <c r="K14" s="210">
        <v>2</v>
      </c>
      <c r="L14" s="208"/>
      <c r="M14" s="208"/>
      <c r="N14" s="208"/>
      <c r="O14" s="208"/>
      <c r="P14" s="208"/>
      <c r="Q14" s="209"/>
      <c r="S14" s="168" t="s">
        <v>204</v>
      </c>
      <c r="T14" s="47">
        <v>2</v>
      </c>
      <c r="U14" s="47">
        <v>0</v>
      </c>
      <c r="V14" s="84">
        <f>10+T14+U14+'Personal File'!$C$14</f>
        <v>20</v>
      </c>
      <c r="W14" s="174" t="s">
        <v>342</v>
      </c>
    </row>
    <row r="15" spans="1:23" ht="16.8" x14ac:dyDescent="0.3">
      <c r="A15" s="168" t="s">
        <v>204</v>
      </c>
      <c r="B15" s="47">
        <v>2</v>
      </c>
      <c r="C15" s="47">
        <v>0</v>
      </c>
      <c r="D15" s="84">
        <f>10+B15+C15+'Personal File'!$C$14</f>
        <v>20</v>
      </c>
      <c r="E15" s="174" t="s">
        <v>342</v>
      </c>
      <c r="G15" s="206">
        <v>6</v>
      </c>
      <c r="H15" s="207" t="s">
        <v>343</v>
      </c>
      <c r="I15" s="207">
        <v>11</v>
      </c>
      <c r="J15" s="210">
        <v>4</v>
      </c>
      <c r="K15" s="210">
        <v>4</v>
      </c>
      <c r="L15" s="208"/>
      <c r="M15" s="208"/>
      <c r="N15" s="208"/>
      <c r="O15" s="208"/>
      <c r="P15" s="208"/>
      <c r="Q15" s="209"/>
      <c r="S15" s="168" t="s">
        <v>204</v>
      </c>
      <c r="T15" s="47">
        <v>2</v>
      </c>
      <c r="U15" s="47">
        <v>0</v>
      </c>
      <c r="V15" s="84">
        <f>10+T15+U15+'Personal File'!$C$14</f>
        <v>20</v>
      </c>
      <c r="W15" s="174" t="s">
        <v>342</v>
      </c>
    </row>
    <row r="16" spans="1:23" ht="16.8" x14ac:dyDescent="0.3">
      <c r="A16" s="168" t="s">
        <v>204</v>
      </c>
      <c r="B16" s="47">
        <v>2</v>
      </c>
      <c r="C16" s="47">
        <v>0</v>
      </c>
      <c r="D16" s="84">
        <f>10+B16+C16+'Personal File'!$C$14</f>
        <v>20</v>
      </c>
      <c r="E16" s="174" t="s">
        <v>342</v>
      </c>
      <c r="G16" s="206">
        <v>7</v>
      </c>
      <c r="H16" s="207" t="s">
        <v>343</v>
      </c>
      <c r="I16" s="207">
        <v>11</v>
      </c>
      <c r="J16" s="210">
        <v>4</v>
      </c>
      <c r="K16" s="210">
        <v>4</v>
      </c>
      <c r="L16" s="210">
        <v>2</v>
      </c>
      <c r="M16" s="208"/>
      <c r="N16" s="208"/>
      <c r="O16" s="208"/>
      <c r="P16" s="208"/>
      <c r="Q16" s="209"/>
      <c r="S16" s="168" t="s">
        <v>204</v>
      </c>
      <c r="T16" s="47">
        <v>2</v>
      </c>
      <c r="U16" s="47">
        <v>0</v>
      </c>
      <c r="V16" s="84">
        <f>10+T16+U16+'Personal File'!$C$14</f>
        <v>20</v>
      </c>
      <c r="W16" s="174" t="s">
        <v>342</v>
      </c>
    </row>
    <row r="17" spans="1:23" ht="16.8" x14ac:dyDescent="0.3">
      <c r="A17" s="168" t="s">
        <v>204</v>
      </c>
      <c r="B17" s="47">
        <v>2</v>
      </c>
      <c r="C17" s="47">
        <v>0</v>
      </c>
      <c r="D17" s="84">
        <f>10+B17+C17+'Personal File'!$C$14</f>
        <v>20</v>
      </c>
      <c r="E17" s="174" t="s">
        <v>342</v>
      </c>
      <c r="G17" s="206">
        <v>8</v>
      </c>
      <c r="H17" s="207" t="s">
        <v>343</v>
      </c>
      <c r="I17" s="207">
        <v>11</v>
      </c>
      <c r="J17" s="210">
        <v>4</v>
      </c>
      <c r="K17" s="210">
        <v>4</v>
      </c>
      <c r="L17" s="210">
        <v>4</v>
      </c>
      <c r="M17" s="208"/>
      <c r="N17" s="208"/>
      <c r="O17" s="208"/>
      <c r="P17" s="208"/>
      <c r="Q17" s="209"/>
      <c r="S17" s="168" t="s">
        <v>204</v>
      </c>
      <c r="T17" s="47">
        <v>2</v>
      </c>
      <c r="U17" s="47">
        <v>0</v>
      </c>
      <c r="V17" s="84">
        <f>10+T17+U17+'Personal File'!$C$14</f>
        <v>20</v>
      </c>
      <c r="W17" s="174" t="s">
        <v>342</v>
      </c>
    </row>
    <row r="18" spans="1:23" ht="16.8" x14ac:dyDescent="0.3">
      <c r="A18" s="168" t="s">
        <v>211</v>
      </c>
      <c r="B18" s="47">
        <v>2</v>
      </c>
      <c r="C18" s="47">
        <v>0</v>
      </c>
      <c r="D18" s="84">
        <f>10+B18+C18+'Personal File'!$C$14</f>
        <v>20</v>
      </c>
      <c r="E18" s="174" t="s">
        <v>342</v>
      </c>
      <c r="G18" s="206">
        <v>9</v>
      </c>
      <c r="H18" s="207" t="s">
        <v>343</v>
      </c>
      <c r="I18" s="207">
        <v>11</v>
      </c>
      <c r="J18" s="210">
        <v>4</v>
      </c>
      <c r="K18" s="210">
        <v>4</v>
      </c>
      <c r="L18" s="210">
        <v>4</v>
      </c>
      <c r="M18" s="210">
        <v>2</v>
      </c>
      <c r="N18" s="208"/>
      <c r="O18" s="208"/>
      <c r="P18" s="208"/>
      <c r="Q18" s="209"/>
      <c r="S18" s="168" t="s">
        <v>211</v>
      </c>
      <c r="T18" s="47">
        <v>2</v>
      </c>
      <c r="U18" s="47">
        <v>0</v>
      </c>
      <c r="V18" s="84">
        <f>10+T18+U18+'Personal File'!$C$14</f>
        <v>20</v>
      </c>
      <c r="W18" s="174" t="s">
        <v>342</v>
      </c>
    </row>
    <row r="19" spans="1:23" ht="16.8" x14ac:dyDescent="0.3">
      <c r="A19" s="168" t="s">
        <v>212</v>
      </c>
      <c r="B19" s="47">
        <v>2</v>
      </c>
      <c r="C19" s="47">
        <v>0</v>
      </c>
      <c r="D19" s="84">
        <f>10+B19+C19+'Personal File'!$C$14</f>
        <v>20</v>
      </c>
      <c r="E19" s="174" t="s">
        <v>342</v>
      </c>
      <c r="G19" s="206">
        <v>10</v>
      </c>
      <c r="H19" s="207" t="s">
        <v>343</v>
      </c>
      <c r="I19" s="207">
        <v>11</v>
      </c>
      <c r="J19" s="210">
        <v>4</v>
      </c>
      <c r="K19" s="210">
        <v>4</v>
      </c>
      <c r="L19" s="210">
        <v>4</v>
      </c>
      <c r="M19" s="210">
        <v>4</v>
      </c>
      <c r="N19" s="208"/>
      <c r="O19" s="208"/>
      <c r="P19" s="208"/>
      <c r="Q19" s="209"/>
      <c r="S19" s="168" t="s">
        <v>212</v>
      </c>
      <c r="T19" s="47">
        <v>2</v>
      </c>
      <c r="U19" s="47">
        <v>0</v>
      </c>
      <c r="V19" s="84">
        <f>10+T19+U19+'Personal File'!$C$14</f>
        <v>20</v>
      </c>
      <c r="W19" s="174" t="s">
        <v>342</v>
      </c>
    </row>
    <row r="20" spans="1:23" ht="16.8" x14ac:dyDescent="0.3">
      <c r="A20" s="169" t="s">
        <v>214</v>
      </c>
      <c r="B20" s="56">
        <v>2</v>
      </c>
      <c r="C20" s="56">
        <v>0</v>
      </c>
      <c r="D20" s="170">
        <f>10+B20+C20+'Personal File'!$C$14</f>
        <v>20</v>
      </c>
      <c r="E20" s="175" t="s">
        <v>342</v>
      </c>
      <c r="G20" s="206">
        <v>11</v>
      </c>
      <c r="H20" s="207" t="s">
        <v>343</v>
      </c>
      <c r="I20" s="207">
        <v>11</v>
      </c>
      <c r="J20" s="210">
        <v>4</v>
      </c>
      <c r="K20" s="210">
        <v>4</v>
      </c>
      <c r="L20" s="210">
        <v>4</v>
      </c>
      <c r="M20" s="210">
        <v>4</v>
      </c>
      <c r="N20" s="210">
        <v>2</v>
      </c>
      <c r="O20" s="208"/>
      <c r="P20" s="208"/>
      <c r="Q20" s="209"/>
      <c r="S20" s="169" t="s">
        <v>214</v>
      </c>
      <c r="T20" s="56">
        <v>2</v>
      </c>
      <c r="U20" s="56">
        <v>0</v>
      </c>
      <c r="V20" s="170">
        <f>10+T20+U20+'Personal File'!$C$14</f>
        <v>20</v>
      </c>
      <c r="W20" s="175" t="s">
        <v>342</v>
      </c>
    </row>
    <row r="21" spans="1:23" ht="16.8" x14ac:dyDescent="0.3">
      <c r="A21" s="168" t="s">
        <v>217</v>
      </c>
      <c r="B21" s="47">
        <v>3</v>
      </c>
      <c r="C21" s="47">
        <v>0</v>
      </c>
      <c r="D21" s="84">
        <f>10+B21+C21+'Personal File'!$C$14</f>
        <v>21</v>
      </c>
      <c r="E21" s="174" t="s">
        <v>342</v>
      </c>
      <c r="G21" s="206">
        <v>12</v>
      </c>
      <c r="H21" s="207" t="s">
        <v>343</v>
      </c>
      <c r="I21" s="207">
        <v>11</v>
      </c>
      <c r="J21" s="210">
        <v>4</v>
      </c>
      <c r="K21" s="210">
        <v>4</v>
      </c>
      <c r="L21" s="210">
        <v>4</v>
      </c>
      <c r="M21" s="210">
        <v>4</v>
      </c>
      <c r="N21" s="210">
        <v>4</v>
      </c>
      <c r="O21" s="208"/>
      <c r="P21" s="208"/>
      <c r="Q21" s="209"/>
      <c r="S21" s="168" t="s">
        <v>217</v>
      </c>
      <c r="T21" s="47">
        <v>3</v>
      </c>
      <c r="U21" s="47">
        <v>0</v>
      </c>
      <c r="V21" s="84">
        <f>10+T21+U21+'Personal File'!$C$14</f>
        <v>21</v>
      </c>
      <c r="W21" s="174" t="s">
        <v>342</v>
      </c>
    </row>
    <row r="22" spans="1:23" ht="16.8" x14ac:dyDescent="0.3">
      <c r="A22" s="168" t="s">
        <v>217</v>
      </c>
      <c r="B22" s="47">
        <v>3</v>
      </c>
      <c r="C22" s="47">
        <v>1</v>
      </c>
      <c r="D22" s="84">
        <f>10+B22+C22+'Personal File'!$C$14</f>
        <v>22</v>
      </c>
      <c r="E22" s="174" t="s">
        <v>342</v>
      </c>
      <c r="G22" s="206">
        <v>13</v>
      </c>
      <c r="H22" s="207" t="s">
        <v>343</v>
      </c>
      <c r="I22" s="207">
        <v>11</v>
      </c>
      <c r="J22" s="210">
        <v>4</v>
      </c>
      <c r="K22" s="210">
        <v>4</v>
      </c>
      <c r="L22" s="210">
        <v>4</v>
      </c>
      <c r="M22" s="210">
        <v>4</v>
      </c>
      <c r="N22" s="210">
        <v>4</v>
      </c>
      <c r="O22" s="210">
        <v>2</v>
      </c>
      <c r="P22" s="208"/>
      <c r="Q22" s="209"/>
      <c r="S22" s="168" t="s">
        <v>217</v>
      </c>
      <c r="T22" s="47">
        <v>3</v>
      </c>
      <c r="U22" s="47">
        <v>0</v>
      </c>
      <c r="V22" s="84">
        <f>10+T22+U22+'Personal File'!$C$14</f>
        <v>21</v>
      </c>
      <c r="W22" s="174" t="s">
        <v>342</v>
      </c>
    </row>
    <row r="23" spans="1:23" ht="16.8" x14ac:dyDescent="0.3">
      <c r="A23" s="168" t="s">
        <v>218</v>
      </c>
      <c r="B23" s="47">
        <v>3</v>
      </c>
      <c r="C23" s="47">
        <v>0</v>
      </c>
      <c r="D23" s="84">
        <f>10+B23+C23+'Personal File'!$C$14</f>
        <v>21</v>
      </c>
      <c r="E23" s="174" t="s">
        <v>342</v>
      </c>
      <c r="G23" s="206">
        <v>14</v>
      </c>
      <c r="H23" s="207" t="s">
        <v>343</v>
      </c>
      <c r="I23" s="207">
        <v>11</v>
      </c>
      <c r="J23" s="210">
        <v>4</v>
      </c>
      <c r="K23" s="210">
        <v>4</v>
      </c>
      <c r="L23" s="210">
        <v>4</v>
      </c>
      <c r="M23" s="210">
        <v>4</v>
      </c>
      <c r="N23" s="210">
        <v>4</v>
      </c>
      <c r="O23" s="210">
        <v>4</v>
      </c>
      <c r="P23" s="208"/>
      <c r="Q23" s="209"/>
      <c r="S23" s="168" t="s">
        <v>218</v>
      </c>
      <c r="T23" s="47">
        <v>3</v>
      </c>
      <c r="U23" s="47">
        <v>1</v>
      </c>
      <c r="V23" s="84">
        <f>10+T23+U23+'Personal File'!$C$14</f>
        <v>22</v>
      </c>
      <c r="W23" s="174" t="s">
        <v>342</v>
      </c>
    </row>
    <row r="24" spans="1:23" ht="16.8" x14ac:dyDescent="0.3">
      <c r="A24" s="168" t="s">
        <v>218</v>
      </c>
      <c r="B24" s="47">
        <v>3</v>
      </c>
      <c r="C24" s="47">
        <v>0</v>
      </c>
      <c r="D24" s="84">
        <f>10+B24+C24+'Personal File'!$C$14</f>
        <v>21</v>
      </c>
      <c r="E24" s="174" t="s">
        <v>342</v>
      </c>
      <c r="G24" s="206">
        <v>15</v>
      </c>
      <c r="H24" s="207" t="s">
        <v>343</v>
      </c>
      <c r="I24" s="207">
        <v>11</v>
      </c>
      <c r="J24" s="210">
        <v>4</v>
      </c>
      <c r="K24" s="210">
        <v>4</v>
      </c>
      <c r="L24" s="210">
        <v>4</v>
      </c>
      <c r="M24" s="210">
        <v>4</v>
      </c>
      <c r="N24" s="210">
        <v>4</v>
      </c>
      <c r="O24" s="210">
        <v>4</v>
      </c>
      <c r="P24" s="210">
        <v>2</v>
      </c>
      <c r="Q24" s="209"/>
      <c r="S24" s="168" t="s">
        <v>218</v>
      </c>
      <c r="T24" s="47">
        <v>3</v>
      </c>
      <c r="U24" s="47">
        <v>0</v>
      </c>
      <c r="V24" s="84">
        <f>10+T24+U24+'Personal File'!$C$14</f>
        <v>21</v>
      </c>
      <c r="W24" s="174" t="s">
        <v>342</v>
      </c>
    </row>
    <row r="25" spans="1:23" ht="16.8" x14ac:dyDescent="0.3">
      <c r="A25" s="168" t="s">
        <v>218</v>
      </c>
      <c r="B25" s="47">
        <v>3</v>
      </c>
      <c r="C25" s="47">
        <v>0</v>
      </c>
      <c r="D25" s="84">
        <f>10+B25+C25+'Personal File'!$C$14</f>
        <v>21</v>
      </c>
      <c r="E25" s="174" t="s">
        <v>342</v>
      </c>
      <c r="G25" s="206">
        <v>16</v>
      </c>
      <c r="H25" s="207" t="s">
        <v>343</v>
      </c>
      <c r="I25" s="207">
        <v>11</v>
      </c>
      <c r="J25" s="210">
        <v>4</v>
      </c>
      <c r="K25" s="210">
        <v>4</v>
      </c>
      <c r="L25" s="210">
        <v>4</v>
      </c>
      <c r="M25" s="210">
        <v>4</v>
      </c>
      <c r="N25" s="210">
        <v>4</v>
      </c>
      <c r="O25" s="210">
        <v>4</v>
      </c>
      <c r="P25" s="210">
        <v>4</v>
      </c>
      <c r="Q25" s="209"/>
      <c r="S25" s="168" t="s">
        <v>218</v>
      </c>
      <c r="T25" s="47">
        <v>3</v>
      </c>
      <c r="U25" s="47">
        <v>0</v>
      </c>
      <c r="V25" s="84">
        <f>10+T25+U25+'Personal File'!$C$14</f>
        <v>21</v>
      </c>
      <c r="W25" s="174" t="s">
        <v>342</v>
      </c>
    </row>
    <row r="26" spans="1:23" ht="16.8" x14ac:dyDescent="0.3">
      <c r="A26" s="168" t="s">
        <v>218</v>
      </c>
      <c r="B26" s="47">
        <v>3</v>
      </c>
      <c r="C26" s="47">
        <v>0</v>
      </c>
      <c r="D26" s="84">
        <f>10+B26+C26+'Personal File'!$C$14</f>
        <v>21</v>
      </c>
      <c r="E26" s="174" t="s">
        <v>342</v>
      </c>
      <c r="G26" s="206">
        <v>17</v>
      </c>
      <c r="H26" s="207" t="s">
        <v>343</v>
      </c>
      <c r="I26" s="207">
        <v>11</v>
      </c>
      <c r="J26" s="210">
        <v>4</v>
      </c>
      <c r="K26" s="210">
        <v>4</v>
      </c>
      <c r="L26" s="210">
        <v>4</v>
      </c>
      <c r="M26" s="210">
        <v>4</v>
      </c>
      <c r="N26" s="210">
        <v>4</v>
      </c>
      <c r="O26" s="210">
        <v>4</v>
      </c>
      <c r="P26" s="210">
        <v>4</v>
      </c>
      <c r="Q26" s="214">
        <v>2</v>
      </c>
      <c r="S26" s="168" t="s">
        <v>218</v>
      </c>
      <c r="T26" s="47">
        <v>3</v>
      </c>
      <c r="U26" s="47">
        <v>0</v>
      </c>
      <c r="V26" s="84">
        <f>10+T26+U26+'Personal File'!$C$14</f>
        <v>21</v>
      </c>
      <c r="W26" s="174" t="s">
        <v>342</v>
      </c>
    </row>
    <row r="27" spans="1:23" ht="16.8" x14ac:dyDescent="0.3">
      <c r="A27" s="169" t="s">
        <v>220</v>
      </c>
      <c r="B27" s="56">
        <v>3</v>
      </c>
      <c r="C27" s="56">
        <v>0</v>
      </c>
      <c r="D27" s="170">
        <f>10+B27+C27+'Personal File'!$C$14</f>
        <v>21</v>
      </c>
      <c r="E27" s="175" t="s">
        <v>342</v>
      </c>
      <c r="G27" s="211">
        <v>18</v>
      </c>
      <c r="H27" s="212" t="s">
        <v>343</v>
      </c>
      <c r="I27" s="212">
        <v>11</v>
      </c>
      <c r="J27" s="213">
        <v>4</v>
      </c>
      <c r="K27" s="213">
        <v>4</v>
      </c>
      <c r="L27" s="213">
        <v>4</v>
      </c>
      <c r="M27" s="213">
        <v>4</v>
      </c>
      <c r="N27" s="213">
        <v>4</v>
      </c>
      <c r="O27" s="213">
        <v>4</v>
      </c>
      <c r="P27" s="213">
        <v>4</v>
      </c>
      <c r="Q27" s="436">
        <v>4</v>
      </c>
      <c r="S27" s="169" t="s">
        <v>220</v>
      </c>
      <c r="T27" s="56">
        <v>3</v>
      </c>
      <c r="U27" s="56">
        <v>0</v>
      </c>
      <c r="V27" s="170">
        <f>10+T27+U27+'Personal File'!$C$14</f>
        <v>21</v>
      </c>
      <c r="W27" s="175" t="s">
        <v>342</v>
      </c>
    </row>
    <row r="28" spans="1:23" ht="16.8" x14ac:dyDescent="0.3">
      <c r="A28" s="168" t="s">
        <v>230</v>
      </c>
      <c r="B28" s="47">
        <v>4</v>
      </c>
      <c r="C28" s="47">
        <v>0</v>
      </c>
      <c r="D28" s="84">
        <f>10+B28+C28+'Personal File'!$C$14</f>
        <v>22</v>
      </c>
      <c r="E28" s="174" t="s">
        <v>342</v>
      </c>
      <c r="G28" s="206">
        <v>19</v>
      </c>
      <c r="H28" s="207" t="s">
        <v>343</v>
      </c>
      <c r="I28" s="207">
        <v>11</v>
      </c>
      <c r="J28" s="210">
        <v>4</v>
      </c>
      <c r="K28" s="210">
        <v>4</v>
      </c>
      <c r="L28" s="210">
        <v>4</v>
      </c>
      <c r="M28" s="210">
        <v>4</v>
      </c>
      <c r="N28" s="210">
        <v>4</v>
      </c>
      <c r="O28" s="210">
        <v>4</v>
      </c>
      <c r="P28" s="210">
        <v>4</v>
      </c>
      <c r="Q28" s="214">
        <v>4</v>
      </c>
      <c r="S28" s="168" t="s">
        <v>230</v>
      </c>
      <c r="T28" s="47">
        <v>4</v>
      </c>
      <c r="U28" s="47">
        <v>0</v>
      </c>
      <c r="V28" s="84">
        <f>10+T28+U28+'Personal File'!$C$14</f>
        <v>22</v>
      </c>
      <c r="W28" s="174" t="s">
        <v>342</v>
      </c>
    </row>
    <row r="29" spans="1:23" ht="17.399999999999999" thickBot="1" x14ac:dyDescent="0.35">
      <c r="A29" s="168" t="s">
        <v>230</v>
      </c>
      <c r="B29" s="47">
        <v>4</v>
      </c>
      <c r="C29" s="47">
        <v>0</v>
      </c>
      <c r="D29" s="84">
        <f>10+B29+C29+'Personal File'!$C$14</f>
        <v>22</v>
      </c>
      <c r="E29" s="174" t="s">
        <v>342</v>
      </c>
      <c r="G29" s="215">
        <v>20</v>
      </c>
      <c r="H29" s="216" t="s">
        <v>343</v>
      </c>
      <c r="I29" s="216">
        <v>11</v>
      </c>
      <c r="J29" s="217">
        <v>4</v>
      </c>
      <c r="K29" s="217">
        <v>4</v>
      </c>
      <c r="L29" s="217">
        <v>4</v>
      </c>
      <c r="M29" s="217">
        <v>4</v>
      </c>
      <c r="N29" s="217">
        <v>4</v>
      </c>
      <c r="O29" s="217">
        <v>4</v>
      </c>
      <c r="P29" s="217">
        <v>4</v>
      </c>
      <c r="Q29" s="218">
        <v>4</v>
      </c>
      <c r="S29" s="168" t="s">
        <v>230</v>
      </c>
      <c r="T29" s="47">
        <v>4</v>
      </c>
      <c r="U29" s="47">
        <v>0</v>
      </c>
      <c r="V29" s="84">
        <f>10+T29+U29+'Personal File'!$C$14</f>
        <v>22</v>
      </c>
      <c r="W29" s="174" t="s">
        <v>342</v>
      </c>
    </row>
    <row r="30" spans="1:23" ht="17.399999999999999" thickTop="1" x14ac:dyDescent="0.3">
      <c r="A30" s="168" t="s">
        <v>105</v>
      </c>
      <c r="B30" s="47">
        <v>4</v>
      </c>
      <c r="C30" s="47">
        <v>0</v>
      </c>
      <c r="D30" s="84">
        <f>10+B30+C30+'Personal File'!$C$14</f>
        <v>22</v>
      </c>
      <c r="E30" s="174" t="s">
        <v>342</v>
      </c>
      <c r="S30" s="168" t="s">
        <v>231</v>
      </c>
      <c r="T30" s="47">
        <v>4</v>
      </c>
      <c r="U30" s="47">
        <v>0</v>
      </c>
      <c r="V30" s="84">
        <f>10+T30+U30+'Personal File'!$C$14</f>
        <v>22</v>
      </c>
      <c r="W30" s="174" t="s">
        <v>342</v>
      </c>
    </row>
    <row r="31" spans="1:23" ht="16.8" x14ac:dyDescent="0.3">
      <c r="A31" s="168" t="s">
        <v>231</v>
      </c>
      <c r="B31" s="47">
        <v>4</v>
      </c>
      <c r="C31" s="47">
        <v>0</v>
      </c>
      <c r="D31" s="84">
        <f>10+B31+C31+'Personal File'!$C$14</f>
        <v>22</v>
      </c>
      <c r="E31" s="174" t="s">
        <v>342</v>
      </c>
      <c r="S31" s="168" t="s">
        <v>231</v>
      </c>
      <c r="T31" s="47">
        <v>4</v>
      </c>
      <c r="U31" s="47">
        <v>0</v>
      </c>
      <c r="V31" s="84">
        <f>10+T31+U31+'Personal File'!$C$14</f>
        <v>22</v>
      </c>
      <c r="W31" s="174" t="s">
        <v>342</v>
      </c>
    </row>
    <row r="32" spans="1:23" ht="16.8" x14ac:dyDescent="0.3">
      <c r="A32" s="168" t="s">
        <v>231</v>
      </c>
      <c r="B32" s="47">
        <v>4</v>
      </c>
      <c r="C32" s="47">
        <v>0</v>
      </c>
      <c r="D32" s="84">
        <f>10+B32+C32+'Personal File'!$C$14</f>
        <v>22</v>
      </c>
      <c r="E32" s="174" t="s">
        <v>342</v>
      </c>
      <c r="S32" s="168" t="s">
        <v>231</v>
      </c>
      <c r="T32" s="47">
        <v>4</v>
      </c>
      <c r="U32" s="47">
        <v>0</v>
      </c>
      <c r="V32" s="84">
        <f>10+T32+U32+'Personal File'!$C$14</f>
        <v>22</v>
      </c>
      <c r="W32" s="174" t="s">
        <v>342</v>
      </c>
    </row>
    <row r="33" spans="1:23" ht="16.8" x14ac:dyDescent="0.3">
      <c r="A33" s="169" t="s">
        <v>231</v>
      </c>
      <c r="B33" s="56">
        <v>4</v>
      </c>
      <c r="C33" s="56">
        <v>0</v>
      </c>
      <c r="D33" s="170">
        <f>10+B33+C33+'Personal File'!$C$14</f>
        <v>22</v>
      </c>
      <c r="E33" s="175" t="s">
        <v>342</v>
      </c>
      <c r="S33" s="169" t="s">
        <v>231</v>
      </c>
      <c r="T33" s="56">
        <v>4</v>
      </c>
      <c r="U33" s="56">
        <v>0</v>
      </c>
      <c r="V33" s="170">
        <f>10+T33+U33+'Personal File'!$C$14</f>
        <v>22</v>
      </c>
      <c r="W33" s="175" t="s">
        <v>342</v>
      </c>
    </row>
    <row r="34" spans="1:23" ht="16.8" x14ac:dyDescent="0.3">
      <c r="A34" s="168" t="s">
        <v>236</v>
      </c>
      <c r="B34" s="47">
        <v>5</v>
      </c>
      <c r="C34" s="47">
        <v>0</v>
      </c>
      <c r="D34" s="84">
        <f>10+B34+C34+'Personal File'!$C$14</f>
        <v>23</v>
      </c>
      <c r="E34" s="174" t="s">
        <v>342</v>
      </c>
      <c r="S34" s="168" t="s">
        <v>236</v>
      </c>
      <c r="T34" s="47">
        <v>5</v>
      </c>
      <c r="U34" s="47">
        <v>0</v>
      </c>
      <c r="V34" s="84">
        <f>10+T34+U34+'Personal File'!$C$14</f>
        <v>23</v>
      </c>
      <c r="W34" s="174" t="s">
        <v>342</v>
      </c>
    </row>
    <row r="35" spans="1:23" ht="16.8" x14ac:dyDescent="0.3">
      <c r="A35" s="168" t="s">
        <v>236</v>
      </c>
      <c r="B35" s="47">
        <v>5</v>
      </c>
      <c r="C35" s="47">
        <v>0</v>
      </c>
      <c r="D35" s="84">
        <f>10+B35+C35+'Personal File'!$C$14</f>
        <v>23</v>
      </c>
      <c r="E35" s="174" t="s">
        <v>342</v>
      </c>
      <c r="S35" s="168" t="s">
        <v>236</v>
      </c>
      <c r="T35" s="47">
        <v>5</v>
      </c>
      <c r="U35" s="47">
        <v>0</v>
      </c>
      <c r="V35" s="84">
        <f>10+T35+U35+'Personal File'!$C$14</f>
        <v>23</v>
      </c>
      <c r="W35" s="174" t="s">
        <v>342</v>
      </c>
    </row>
    <row r="36" spans="1:23" ht="16.8" x14ac:dyDescent="0.3">
      <c r="A36" s="168" t="s">
        <v>237</v>
      </c>
      <c r="B36" s="47">
        <v>5</v>
      </c>
      <c r="C36" s="47">
        <v>0</v>
      </c>
      <c r="D36" s="84">
        <f>10+B36+C36+'Personal File'!$C$14</f>
        <v>23</v>
      </c>
      <c r="E36" s="174" t="s">
        <v>342</v>
      </c>
      <c r="S36" s="168" t="s">
        <v>237</v>
      </c>
      <c r="T36" s="47">
        <v>5</v>
      </c>
      <c r="U36" s="47">
        <v>0</v>
      </c>
      <c r="V36" s="84">
        <f>10+T36+U36+'Personal File'!$C$14</f>
        <v>23</v>
      </c>
      <c r="W36" s="174" t="s">
        <v>342</v>
      </c>
    </row>
    <row r="37" spans="1:23" ht="16.8" x14ac:dyDescent="0.3">
      <c r="A37" s="168" t="s">
        <v>237</v>
      </c>
      <c r="B37" s="47">
        <v>5</v>
      </c>
      <c r="C37" s="47">
        <v>0</v>
      </c>
      <c r="D37" s="84">
        <f>10+B37+C37+'Personal File'!$C$14</f>
        <v>23</v>
      </c>
      <c r="E37" s="174" t="s">
        <v>342</v>
      </c>
      <c r="S37" s="168" t="s">
        <v>237</v>
      </c>
      <c r="T37" s="47">
        <v>5</v>
      </c>
      <c r="U37" s="47">
        <v>0</v>
      </c>
      <c r="V37" s="84">
        <f>10+T37+U37+'Personal File'!$C$14</f>
        <v>23</v>
      </c>
      <c r="W37" s="174" t="s">
        <v>342</v>
      </c>
    </row>
    <row r="38" spans="1:23" ht="16.8" x14ac:dyDescent="0.3">
      <c r="A38" s="168" t="s">
        <v>417</v>
      </c>
      <c r="B38" s="47">
        <v>5</v>
      </c>
      <c r="C38" s="47">
        <v>0</v>
      </c>
      <c r="D38" s="84">
        <f>10+B38+C38+'Personal File'!$C$14</f>
        <v>23</v>
      </c>
      <c r="E38" s="174" t="s">
        <v>342</v>
      </c>
      <c r="S38" s="168" t="s">
        <v>417</v>
      </c>
      <c r="T38" s="47">
        <v>5</v>
      </c>
      <c r="U38" s="47">
        <v>0</v>
      </c>
      <c r="V38" s="84">
        <f>10+T38+U38+'Personal File'!$C$14</f>
        <v>23</v>
      </c>
      <c r="W38" s="174" t="s">
        <v>342</v>
      </c>
    </row>
    <row r="39" spans="1:23" ht="16.8" x14ac:dyDescent="0.3">
      <c r="A39" s="169" t="s">
        <v>417</v>
      </c>
      <c r="B39" s="56">
        <v>5</v>
      </c>
      <c r="C39" s="56">
        <v>0</v>
      </c>
      <c r="D39" s="170">
        <f>10+B39+C39+'Personal File'!$C$14</f>
        <v>23</v>
      </c>
      <c r="E39" s="346" t="s">
        <v>342</v>
      </c>
      <c r="S39" s="169" t="s">
        <v>417</v>
      </c>
      <c r="T39" s="56">
        <v>5</v>
      </c>
      <c r="U39" s="56">
        <v>0</v>
      </c>
      <c r="V39" s="170">
        <f>10+T39+U39+'Personal File'!$C$14</f>
        <v>23</v>
      </c>
      <c r="W39" s="346" t="s">
        <v>342</v>
      </c>
    </row>
    <row r="40" spans="1:23" ht="16.8" x14ac:dyDescent="0.3">
      <c r="A40" s="168" t="s">
        <v>239</v>
      </c>
      <c r="B40" s="47">
        <v>6</v>
      </c>
      <c r="C40" s="47">
        <v>0</v>
      </c>
      <c r="D40" s="84">
        <f>10+B40+C40+'Personal File'!$C$14</f>
        <v>24</v>
      </c>
      <c r="E40" s="174" t="s">
        <v>525</v>
      </c>
      <c r="S40" s="168" t="s">
        <v>239</v>
      </c>
      <c r="T40" s="47">
        <v>6</v>
      </c>
      <c r="U40" s="47">
        <v>0</v>
      </c>
      <c r="V40" s="84">
        <f>10+T40+U40+'Personal File'!$C$14</f>
        <v>24</v>
      </c>
      <c r="W40" s="174" t="s">
        <v>342</v>
      </c>
    </row>
    <row r="41" spans="1:23" ht="16.8" x14ac:dyDescent="0.3">
      <c r="A41" s="168" t="s">
        <v>239</v>
      </c>
      <c r="B41" s="47">
        <v>6</v>
      </c>
      <c r="C41" s="47">
        <v>0</v>
      </c>
      <c r="D41" s="84">
        <f>10+B41+C41+'Personal File'!$C$14</f>
        <v>24</v>
      </c>
      <c r="E41" s="174" t="s">
        <v>525</v>
      </c>
      <c r="S41" s="168" t="s">
        <v>239</v>
      </c>
      <c r="T41" s="47">
        <v>6</v>
      </c>
      <c r="U41" s="47">
        <v>0</v>
      </c>
      <c r="V41" s="84">
        <f>10+T41+U41+'Personal File'!$C$14</f>
        <v>24</v>
      </c>
      <c r="W41" s="174" t="s">
        <v>342</v>
      </c>
    </row>
    <row r="42" spans="1:23" ht="16.8" x14ac:dyDescent="0.3">
      <c r="A42" s="168" t="s">
        <v>239</v>
      </c>
      <c r="B42" s="47">
        <v>6</v>
      </c>
      <c r="C42" s="47">
        <v>0</v>
      </c>
      <c r="D42" s="84">
        <f>10+B42+C42+'Personal File'!$C$14</f>
        <v>24</v>
      </c>
      <c r="E42" s="174" t="s">
        <v>342</v>
      </c>
      <c r="S42" s="168" t="s">
        <v>239</v>
      </c>
      <c r="T42" s="47">
        <v>6</v>
      </c>
      <c r="U42" s="47">
        <v>0</v>
      </c>
      <c r="V42" s="84">
        <f>10+T42+U42+'Personal File'!$C$14</f>
        <v>24</v>
      </c>
      <c r="W42" s="174" t="s">
        <v>342</v>
      </c>
    </row>
    <row r="43" spans="1:23" ht="16.8" x14ac:dyDescent="0.3">
      <c r="A43" s="168" t="s">
        <v>239</v>
      </c>
      <c r="B43" s="47">
        <v>6</v>
      </c>
      <c r="C43" s="47">
        <v>0</v>
      </c>
      <c r="D43" s="84">
        <f>10+B43+C43+'Personal File'!$C$14</f>
        <v>24</v>
      </c>
      <c r="E43" s="174" t="s">
        <v>342</v>
      </c>
      <c r="S43" s="168" t="s">
        <v>239</v>
      </c>
      <c r="T43" s="47">
        <v>6</v>
      </c>
      <c r="U43" s="47">
        <v>0</v>
      </c>
      <c r="V43" s="84">
        <f>10+T43+U43+'Personal File'!$C$14</f>
        <v>24</v>
      </c>
      <c r="W43" s="174" t="s">
        <v>342</v>
      </c>
    </row>
    <row r="44" spans="1:23" ht="16.8" x14ac:dyDescent="0.3">
      <c r="A44" s="169" t="s">
        <v>241</v>
      </c>
      <c r="B44" s="56">
        <v>6</v>
      </c>
      <c r="C44" s="56">
        <v>0</v>
      </c>
      <c r="D44" s="170">
        <f>10+B44+C44+'Personal File'!$C$14</f>
        <v>24</v>
      </c>
      <c r="E44" s="346" t="s">
        <v>342</v>
      </c>
      <c r="S44" s="169" t="s">
        <v>241</v>
      </c>
      <c r="T44" s="56">
        <v>6</v>
      </c>
      <c r="U44" s="56">
        <v>0</v>
      </c>
      <c r="V44" s="170">
        <f>10+T44+U44+'Personal File'!$C$14</f>
        <v>24</v>
      </c>
      <c r="W44" s="346" t="s">
        <v>342</v>
      </c>
    </row>
    <row r="45" spans="1:23" ht="16.8" x14ac:dyDescent="0.3">
      <c r="A45" s="168" t="s">
        <v>418</v>
      </c>
      <c r="B45" s="47">
        <v>7</v>
      </c>
      <c r="C45" s="47">
        <v>0</v>
      </c>
      <c r="D45" s="84">
        <f>10+B45+C45+'Personal File'!$C$14</f>
        <v>25</v>
      </c>
      <c r="E45" s="174" t="s">
        <v>525</v>
      </c>
      <c r="S45" s="168" t="s">
        <v>418</v>
      </c>
      <c r="T45" s="47">
        <v>7</v>
      </c>
      <c r="U45" s="47">
        <v>0</v>
      </c>
      <c r="V45" s="84">
        <f>10+T45+U45+'Personal File'!$C$14</f>
        <v>25</v>
      </c>
      <c r="W45" s="174" t="s">
        <v>342</v>
      </c>
    </row>
    <row r="46" spans="1:23" ht="16.8" x14ac:dyDescent="0.3">
      <c r="A46" s="168" t="s">
        <v>418</v>
      </c>
      <c r="B46" s="47">
        <v>7</v>
      </c>
      <c r="C46" s="47">
        <v>0</v>
      </c>
      <c r="D46" s="84">
        <f>10+B46+C46+'Personal File'!$C$14</f>
        <v>25</v>
      </c>
      <c r="E46" s="174" t="s">
        <v>342</v>
      </c>
      <c r="S46" s="168" t="s">
        <v>418</v>
      </c>
      <c r="T46" s="47">
        <v>7</v>
      </c>
      <c r="U46" s="47">
        <v>0</v>
      </c>
      <c r="V46" s="84">
        <f>10+T46+U46+'Personal File'!$C$14</f>
        <v>25</v>
      </c>
      <c r="W46" s="174" t="s">
        <v>342</v>
      </c>
    </row>
    <row r="47" spans="1:23" ht="16.8" x14ac:dyDescent="0.3">
      <c r="A47" s="168" t="s">
        <v>419</v>
      </c>
      <c r="B47" s="47">
        <v>7</v>
      </c>
      <c r="C47" s="47">
        <v>0</v>
      </c>
      <c r="D47" s="84">
        <f>10+B47+C47+'Personal File'!$C$14</f>
        <v>25</v>
      </c>
      <c r="E47" s="174" t="s">
        <v>342</v>
      </c>
      <c r="S47" s="168" t="s">
        <v>419</v>
      </c>
      <c r="T47" s="47">
        <v>7</v>
      </c>
      <c r="U47" s="47">
        <v>0</v>
      </c>
      <c r="V47" s="84">
        <f>10+T47+U47+'Personal File'!$C$14</f>
        <v>25</v>
      </c>
      <c r="W47" s="174" t="s">
        <v>342</v>
      </c>
    </row>
    <row r="48" spans="1:23" ht="16.8" x14ac:dyDescent="0.3">
      <c r="A48" s="168" t="s">
        <v>419</v>
      </c>
      <c r="B48" s="47">
        <v>7</v>
      </c>
      <c r="C48" s="47">
        <v>0</v>
      </c>
      <c r="D48" s="84">
        <f>10+B48+C48+'Personal File'!$C$14</f>
        <v>25</v>
      </c>
      <c r="E48" s="174" t="s">
        <v>342</v>
      </c>
      <c r="S48" s="168" t="s">
        <v>419</v>
      </c>
      <c r="T48" s="47">
        <v>7</v>
      </c>
      <c r="U48" s="47">
        <v>0</v>
      </c>
      <c r="V48" s="84">
        <f>10+T48+U48+'Personal File'!$C$14</f>
        <v>25</v>
      </c>
      <c r="W48" s="174" t="s">
        <v>342</v>
      </c>
    </row>
    <row r="49" spans="1:23" ht="16.8" x14ac:dyDescent="0.3">
      <c r="A49" s="169" t="s">
        <v>419</v>
      </c>
      <c r="B49" s="56">
        <v>7</v>
      </c>
      <c r="C49" s="56">
        <v>0</v>
      </c>
      <c r="D49" s="170">
        <f>10+B49+C49+'Personal File'!$C$14</f>
        <v>25</v>
      </c>
      <c r="E49" s="346" t="s">
        <v>342</v>
      </c>
      <c r="S49" s="169" t="s">
        <v>419</v>
      </c>
      <c r="T49" s="56">
        <v>7</v>
      </c>
      <c r="U49" s="56">
        <v>0</v>
      </c>
      <c r="V49" s="170">
        <f>10+T49+U49+'Personal File'!$C$14</f>
        <v>25</v>
      </c>
      <c r="W49" s="346" t="s">
        <v>342</v>
      </c>
    </row>
    <row r="50" spans="1:23" ht="16.8" x14ac:dyDescent="0.3">
      <c r="A50" s="168" t="s">
        <v>444</v>
      </c>
      <c r="B50" s="47">
        <v>8</v>
      </c>
      <c r="C50" s="47">
        <v>0</v>
      </c>
      <c r="D50" s="84">
        <f>10+B50+C50+'Personal File'!$C$14</f>
        <v>26</v>
      </c>
      <c r="E50" s="174" t="s">
        <v>525</v>
      </c>
      <c r="S50" s="168" t="s">
        <v>444</v>
      </c>
      <c r="T50" s="47">
        <v>8</v>
      </c>
      <c r="U50" s="47">
        <v>0</v>
      </c>
      <c r="V50" s="84">
        <f>10+T50+U50+'Personal File'!$C$14</f>
        <v>26</v>
      </c>
      <c r="W50" s="174" t="s">
        <v>342</v>
      </c>
    </row>
    <row r="51" spans="1:23" ht="16.8" x14ac:dyDescent="0.3">
      <c r="A51" s="168" t="s">
        <v>444</v>
      </c>
      <c r="B51" s="47">
        <v>8</v>
      </c>
      <c r="C51" s="47">
        <v>0</v>
      </c>
      <c r="D51" s="84">
        <f>10+B51+C51+'Personal File'!$C$14</f>
        <v>26</v>
      </c>
      <c r="E51" s="174" t="s">
        <v>525</v>
      </c>
      <c r="S51" s="168" t="s">
        <v>444</v>
      </c>
      <c r="T51" s="47">
        <v>8</v>
      </c>
      <c r="U51" s="47">
        <v>0</v>
      </c>
      <c r="V51" s="84">
        <f>10+T51+U51+'Personal File'!$C$14</f>
        <v>26</v>
      </c>
      <c r="W51" s="174" t="s">
        <v>342</v>
      </c>
    </row>
    <row r="52" spans="1:23" ht="16.8" x14ac:dyDescent="0.3">
      <c r="A52" s="168" t="s">
        <v>422</v>
      </c>
      <c r="B52" s="47">
        <v>8</v>
      </c>
      <c r="C52" s="47">
        <v>0</v>
      </c>
      <c r="D52" s="84">
        <f>10+B52+C52+'Personal File'!$C$14</f>
        <v>26</v>
      </c>
      <c r="E52" s="174" t="s">
        <v>342</v>
      </c>
      <c r="S52" s="168" t="s">
        <v>444</v>
      </c>
      <c r="T52" s="47">
        <v>8</v>
      </c>
      <c r="U52" s="47">
        <v>0</v>
      </c>
      <c r="V52" s="84">
        <f>10+T52+U52+'Personal File'!$C$14</f>
        <v>26</v>
      </c>
      <c r="W52" s="174" t="s">
        <v>342</v>
      </c>
    </row>
    <row r="53" spans="1:23" ht="16.8" x14ac:dyDescent="0.3">
      <c r="A53" s="169" t="s">
        <v>422</v>
      </c>
      <c r="B53" s="56">
        <v>8</v>
      </c>
      <c r="C53" s="56">
        <v>0</v>
      </c>
      <c r="D53" s="170">
        <f>10+B53+C53+'Personal File'!$C$14</f>
        <v>26</v>
      </c>
      <c r="E53" s="346" t="s">
        <v>342</v>
      </c>
      <c r="S53" s="169" t="s">
        <v>444</v>
      </c>
      <c r="T53" s="56">
        <v>8</v>
      </c>
      <c r="U53" s="56">
        <v>0</v>
      </c>
      <c r="V53" s="170">
        <f>10+T53+U53+'Personal File'!$C$14</f>
        <v>26</v>
      </c>
      <c r="W53" s="346" t="s">
        <v>342</v>
      </c>
    </row>
    <row r="54" spans="1:23" ht="16.8" x14ac:dyDescent="0.3">
      <c r="A54" s="168" t="s">
        <v>424</v>
      </c>
      <c r="B54" s="47">
        <v>9</v>
      </c>
      <c r="C54" s="47">
        <v>0</v>
      </c>
      <c r="D54" s="84">
        <f>10+B54+C54+'Personal File'!$C$14</f>
        <v>27</v>
      </c>
      <c r="E54" s="174" t="s">
        <v>342</v>
      </c>
      <c r="S54" s="168" t="s">
        <v>424</v>
      </c>
      <c r="T54" s="47">
        <v>9</v>
      </c>
      <c r="U54" s="47">
        <v>0</v>
      </c>
      <c r="V54" s="84">
        <f>10+T54+U54+'Personal File'!$C$14</f>
        <v>27</v>
      </c>
      <c r="W54" s="174" t="s">
        <v>342</v>
      </c>
    </row>
    <row r="55" spans="1:23" ht="16.8" x14ac:dyDescent="0.3">
      <c r="A55" s="168" t="s">
        <v>424</v>
      </c>
      <c r="B55" s="47">
        <v>9</v>
      </c>
      <c r="C55" s="47">
        <v>0</v>
      </c>
      <c r="D55" s="84">
        <f>10+B55+C55+'Personal File'!$C$14</f>
        <v>27</v>
      </c>
      <c r="E55" s="174" t="s">
        <v>342</v>
      </c>
      <c r="S55" s="168" t="s">
        <v>424</v>
      </c>
      <c r="T55" s="47">
        <v>9</v>
      </c>
      <c r="U55" s="47">
        <v>0</v>
      </c>
      <c r="V55" s="84">
        <f>10+T55+U55+'Personal File'!$C$14</f>
        <v>27</v>
      </c>
      <c r="W55" s="174" t="s">
        <v>342</v>
      </c>
    </row>
    <row r="56" spans="1:23" ht="16.8" x14ac:dyDescent="0.3">
      <c r="A56" s="168" t="s">
        <v>425</v>
      </c>
      <c r="B56" s="47">
        <v>9</v>
      </c>
      <c r="C56" s="47">
        <v>0</v>
      </c>
      <c r="D56" s="84">
        <f>10+B56+C56+'Personal File'!$C$14</f>
        <v>27</v>
      </c>
      <c r="E56" s="174" t="s">
        <v>342</v>
      </c>
      <c r="S56" s="168" t="s">
        <v>425</v>
      </c>
      <c r="T56" s="47">
        <v>9</v>
      </c>
      <c r="U56" s="47">
        <v>0</v>
      </c>
      <c r="V56" s="84">
        <f>10+T56+U56+'Personal File'!$C$14</f>
        <v>27</v>
      </c>
      <c r="W56" s="174" t="s">
        <v>342</v>
      </c>
    </row>
    <row r="57" spans="1:23" ht="17.399999999999999" thickBot="1" x14ac:dyDescent="0.35">
      <c r="A57" s="171" t="s">
        <v>425</v>
      </c>
      <c r="B57" s="172">
        <v>9</v>
      </c>
      <c r="C57" s="172">
        <v>0</v>
      </c>
      <c r="D57" s="173">
        <f>10+B57+C57+'Personal File'!$C$14</f>
        <v>27</v>
      </c>
      <c r="E57" s="176" t="s">
        <v>342</v>
      </c>
      <c r="S57" s="171" t="s">
        <v>425</v>
      </c>
      <c r="T57" s="172">
        <v>9</v>
      </c>
      <c r="U57" s="172">
        <v>0</v>
      </c>
      <c r="V57" s="173">
        <f>10+T57+U57+'Personal File'!$C$14</f>
        <v>27</v>
      </c>
      <c r="W57" s="176" t="s">
        <v>342</v>
      </c>
    </row>
    <row r="58" spans="1:23" ht="16.2" thickTop="1" x14ac:dyDescent="0.3"/>
  </sheetData>
  <sortState xmlns:xlrd2="http://schemas.microsoft.com/office/spreadsheetml/2017/richdata2" ref="A3:E57">
    <sortCondition ref="B3:B57"/>
    <sortCondition ref="A3:A57"/>
  </sortState>
  <conditionalFormatting sqref="E31:E37 E43 E39:E41 E3:E29">
    <cfRule type="cellIs" dxfId="67" priority="61" operator="equal">
      <formula>"þ"</formula>
    </cfRule>
  </conditionalFormatting>
  <conditionalFormatting sqref="E44:E45">
    <cfRule type="cellIs" dxfId="66" priority="38" operator="equal">
      <formula>"þ"</formula>
    </cfRule>
  </conditionalFormatting>
  <conditionalFormatting sqref="E46">
    <cfRule type="cellIs" dxfId="65" priority="54" operator="equal">
      <formula>"þ"</formula>
    </cfRule>
  </conditionalFormatting>
  <conditionalFormatting sqref="E48:E49">
    <cfRule type="cellIs" dxfId="64" priority="37" operator="equal">
      <formula>"þ"</formula>
    </cfRule>
  </conditionalFormatting>
  <conditionalFormatting sqref="E51">
    <cfRule type="cellIs" dxfId="63" priority="36" operator="equal">
      <formula>"þ"</formula>
    </cfRule>
  </conditionalFormatting>
  <conditionalFormatting sqref="E57">
    <cfRule type="cellIs" dxfId="62" priority="35" operator="equal">
      <formula>"þ"</formula>
    </cfRule>
  </conditionalFormatting>
  <conditionalFormatting sqref="E50">
    <cfRule type="cellIs" dxfId="61" priority="34" operator="equal">
      <formula>"þ"</formula>
    </cfRule>
  </conditionalFormatting>
  <conditionalFormatting sqref="E31">
    <cfRule type="cellIs" dxfId="60" priority="44" operator="equal">
      <formula>"þ"</formula>
    </cfRule>
  </conditionalFormatting>
  <conditionalFormatting sqref="E30">
    <cfRule type="cellIs" dxfId="59" priority="43" operator="equal">
      <formula>"þ"</formula>
    </cfRule>
  </conditionalFormatting>
  <conditionalFormatting sqref="E30">
    <cfRule type="cellIs" dxfId="58" priority="42" operator="equal">
      <formula>"þ"</formula>
    </cfRule>
  </conditionalFormatting>
  <conditionalFormatting sqref="E50">
    <cfRule type="cellIs" dxfId="57" priority="40" operator="equal">
      <formula>"þ"</formula>
    </cfRule>
  </conditionalFormatting>
  <conditionalFormatting sqref="W53:W54">
    <cfRule type="cellIs" dxfId="56" priority="20" operator="equal">
      <formula>"þ"</formula>
    </cfRule>
  </conditionalFormatting>
  <conditionalFormatting sqref="E53:E54">
    <cfRule type="cellIs" dxfId="55" priority="33" operator="equal">
      <formula>"þ"</formula>
    </cfRule>
  </conditionalFormatting>
  <conditionalFormatting sqref="E48">
    <cfRule type="cellIs" dxfId="54" priority="32" operator="equal">
      <formula>"þ"</formula>
    </cfRule>
  </conditionalFormatting>
  <conditionalFormatting sqref="W31:W37 W3:W29 W39:W41 W43">
    <cfRule type="cellIs" dxfId="53" priority="31" operator="equal">
      <formula>"þ"</formula>
    </cfRule>
  </conditionalFormatting>
  <conditionalFormatting sqref="W46">
    <cfRule type="cellIs" dxfId="52" priority="30" operator="equal">
      <formula>"þ"</formula>
    </cfRule>
  </conditionalFormatting>
  <conditionalFormatting sqref="W31">
    <cfRule type="cellIs" dxfId="51" priority="29" operator="equal">
      <formula>"þ"</formula>
    </cfRule>
  </conditionalFormatting>
  <conditionalFormatting sqref="W30">
    <cfRule type="cellIs" dxfId="50" priority="28" operator="equal">
      <formula>"þ"</formula>
    </cfRule>
  </conditionalFormatting>
  <conditionalFormatting sqref="W30">
    <cfRule type="cellIs" dxfId="49" priority="27" operator="equal">
      <formula>"þ"</formula>
    </cfRule>
  </conditionalFormatting>
  <conditionalFormatting sqref="W50">
    <cfRule type="cellIs" dxfId="48" priority="26" operator="equal">
      <formula>"þ"</formula>
    </cfRule>
  </conditionalFormatting>
  <conditionalFormatting sqref="W44:W45">
    <cfRule type="cellIs" dxfId="47" priority="25" operator="equal">
      <formula>"þ"</formula>
    </cfRule>
  </conditionalFormatting>
  <conditionalFormatting sqref="W48:W49">
    <cfRule type="cellIs" dxfId="46" priority="24" operator="equal">
      <formula>"þ"</formula>
    </cfRule>
  </conditionalFormatting>
  <conditionalFormatting sqref="W51">
    <cfRule type="cellIs" dxfId="45" priority="23" operator="equal">
      <formula>"þ"</formula>
    </cfRule>
  </conditionalFormatting>
  <conditionalFormatting sqref="W57">
    <cfRule type="cellIs" dxfId="44" priority="22" operator="equal">
      <formula>"þ"</formula>
    </cfRule>
  </conditionalFormatting>
  <conditionalFormatting sqref="W50">
    <cfRule type="cellIs" dxfId="43" priority="21" operator="equal">
      <formula>"þ"</formula>
    </cfRule>
  </conditionalFormatting>
  <conditionalFormatting sqref="W48">
    <cfRule type="cellIs" dxfId="42" priority="19" operator="equal">
      <formula>"þ"</formula>
    </cfRule>
  </conditionalFormatting>
  <conditionalFormatting sqref="E38">
    <cfRule type="cellIs" dxfId="41" priority="17" operator="equal">
      <formula>"þ"</formula>
    </cfRule>
  </conditionalFormatting>
  <conditionalFormatting sqref="W38">
    <cfRule type="cellIs" dxfId="40" priority="16" operator="equal">
      <formula>"þ"</formula>
    </cfRule>
  </conditionalFormatting>
  <conditionalFormatting sqref="W42">
    <cfRule type="cellIs" dxfId="39" priority="15" operator="equal">
      <formula>"þ"</formula>
    </cfRule>
  </conditionalFormatting>
  <conditionalFormatting sqref="E56">
    <cfRule type="cellIs" dxfId="38" priority="14" operator="equal">
      <formula>"þ"</formula>
    </cfRule>
  </conditionalFormatting>
  <conditionalFormatting sqref="W56">
    <cfRule type="cellIs" dxfId="37" priority="13" operator="equal">
      <formula>"þ"</formula>
    </cfRule>
  </conditionalFormatting>
  <conditionalFormatting sqref="W52">
    <cfRule type="cellIs" dxfId="36" priority="11" operator="equal">
      <formula>"þ"</formula>
    </cfRule>
  </conditionalFormatting>
  <conditionalFormatting sqref="E52">
    <cfRule type="cellIs" dxfId="35" priority="9" operator="equal">
      <formula>"þ"</formula>
    </cfRule>
  </conditionalFormatting>
  <conditionalFormatting sqref="E47">
    <cfRule type="cellIs" dxfId="34" priority="8" operator="equal">
      <formula>"þ"</formula>
    </cfRule>
  </conditionalFormatting>
  <conditionalFormatting sqref="E47">
    <cfRule type="cellIs" dxfId="33" priority="7" operator="equal">
      <formula>"þ"</formula>
    </cfRule>
  </conditionalFormatting>
  <conditionalFormatting sqref="W47">
    <cfRule type="cellIs" dxfId="32" priority="6" operator="equal">
      <formula>"þ"</formula>
    </cfRule>
  </conditionalFormatting>
  <conditionalFormatting sqref="W47">
    <cfRule type="cellIs" dxfId="31" priority="5" operator="equal">
      <formula>"þ"</formula>
    </cfRule>
  </conditionalFormatting>
  <conditionalFormatting sqref="E55">
    <cfRule type="cellIs" dxfId="30" priority="4" operator="equal">
      <formula>"þ"</formula>
    </cfRule>
  </conditionalFormatting>
  <conditionalFormatting sqref="W55">
    <cfRule type="cellIs" dxfId="29" priority="3" operator="equal">
      <formula>"þ"</formula>
    </cfRule>
  </conditionalFormatting>
  <conditionalFormatting sqref="E42">
    <cfRule type="cellIs" dxfId="28" priority="1" operator="equal">
      <formula>"þ"</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showGridLines="0" workbookViewId="0"/>
  </sheetViews>
  <sheetFormatPr defaultRowHeight="15.6" x14ac:dyDescent="0.3"/>
  <cols>
    <col min="1" max="1" width="35.8984375" bestFit="1" customWidth="1"/>
    <col min="2" max="2" width="3" customWidth="1"/>
    <col min="3" max="3" width="27.19921875" bestFit="1" customWidth="1"/>
    <col min="4" max="4" width="6.09765625" bestFit="1" customWidth="1"/>
  </cols>
  <sheetData>
    <row r="1" spans="1:5" ht="22.2" thickTop="1" thickBot="1" x14ac:dyDescent="0.35">
      <c r="A1" s="219" t="s">
        <v>262</v>
      </c>
      <c r="B1" s="8"/>
      <c r="C1" s="220" t="s">
        <v>263</v>
      </c>
    </row>
    <row r="2" spans="1:5" ht="16.8" x14ac:dyDescent="0.3">
      <c r="A2" s="461" t="s">
        <v>411</v>
      </c>
      <c r="B2" s="8"/>
      <c r="C2" s="221" t="s">
        <v>404</v>
      </c>
    </row>
    <row r="3" spans="1:5" ht="17.399999999999999" thickBot="1" x14ac:dyDescent="0.35">
      <c r="A3" s="461" t="s">
        <v>346</v>
      </c>
      <c r="B3" s="8"/>
      <c r="C3" s="223" t="s">
        <v>405</v>
      </c>
    </row>
    <row r="4" spans="1:5" ht="18" thickTop="1" thickBot="1" x14ac:dyDescent="0.35">
      <c r="A4" s="461" t="s">
        <v>347</v>
      </c>
      <c r="B4" s="8"/>
      <c r="C4" s="22"/>
    </row>
    <row r="5" spans="1:5" ht="22.2" thickTop="1" thickBot="1" x14ac:dyDescent="0.35">
      <c r="A5" s="461" t="s">
        <v>348</v>
      </c>
      <c r="B5" s="8"/>
      <c r="C5" s="224" t="s">
        <v>265</v>
      </c>
    </row>
    <row r="6" spans="1:5" ht="16.8" x14ac:dyDescent="0.3">
      <c r="A6" s="461" t="s">
        <v>349</v>
      </c>
      <c r="B6" s="8"/>
      <c r="C6" s="222" t="s">
        <v>266</v>
      </c>
    </row>
    <row r="7" spans="1:5" ht="17.399999999999999" thickBot="1" x14ac:dyDescent="0.35">
      <c r="A7" s="462" t="s">
        <v>350</v>
      </c>
      <c r="B7" s="8"/>
      <c r="C7" s="225" t="s">
        <v>267</v>
      </c>
    </row>
    <row r="8" spans="1:5" ht="17.399999999999999" thickTop="1" x14ac:dyDescent="0.3">
      <c r="A8" s="462" t="s">
        <v>412</v>
      </c>
      <c r="B8" s="8"/>
      <c r="C8" s="22"/>
    </row>
    <row r="9" spans="1:5" ht="16.8" x14ac:dyDescent="0.3">
      <c r="A9" s="548" t="s">
        <v>520</v>
      </c>
      <c r="B9" s="8"/>
      <c r="C9" s="22"/>
    </row>
    <row r="10" spans="1:5" ht="21" thickBot="1" x14ac:dyDescent="0.35">
      <c r="A10" s="549" t="s">
        <v>521</v>
      </c>
      <c r="B10" s="8"/>
      <c r="C10" s="22"/>
    </row>
    <row r="11" spans="1:5" ht="18" thickTop="1" thickBot="1" x14ac:dyDescent="0.35">
      <c r="A11" s="22"/>
      <c r="B11" s="22"/>
      <c r="E11" s="34"/>
    </row>
    <row r="12" spans="1:5" ht="22.2" thickTop="1" thickBot="1" x14ac:dyDescent="0.35">
      <c r="A12" s="219" t="s">
        <v>264</v>
      </c>
      <c r="B12" s="22"/>
      <c r="E12" s="34"/>
    </row>
    <row r="13" spans="1:5" ht="16.8" x14ac:dyDescent="0.3">
      <c r="A13" s="437" t="s">
        <v>463</v>
      </c>
      <c r="B13" s="22"/>
      <c r="E13" s="34"/>
    </row>
    <row r="14" spans="1:5" ht="16.8" x14ac:dyDescent="0.3">
      <c r="A14" s="437" t="s">
        <v>427</v>
      </c>
      <c r="B14" s="22"/>
      <c r="E14" s="34"/>
    </row>
    <row r="15" spans="1:5" ht="16.8" x14ac:dyDescent="0.3">
      <c r="A15" s="437" t="s">
        <v>428</v>
      </c>
      <c r="B15" s="22"/>
      <c r="E15" s="34"/>
    </row>
    <row r="16" spans="1:5" ht="16.8" x14ac:dyDescent="0.3">
      <c r="A16" s="437" t="s">
        <v>429</v>
      </c>
      <c r="B16" s="22"/>
      <c r="E16" s="34"/>
    </row>
    <row r="17" spans="1:5" ht="16.8" x14ac:dyDescent="0.3">
      <c r="A17" s="438" t="s">
        <v>353</v>
      </c>
      <c r="B17" s="22"/>
      <c r="E17" s="34"/>
    </row>
    <row r="18" spans="1:5" ht="16.8" x14ac:dyDescent="0.3">
      <c r="A18" s="437" t="s">
        <v>430</v>
      </c>
      <c r="B18" s="22"/>
      <c r="E18" s="34"/>
    </row>
    <row r="19" spans="1:5" ht="16.8" x14ac:dyDescent="0.3">
      <c r="A19" s="463" t="s">
        <v>415</v>
      </c>
    </row>
    <row r="20" spans="1:5" ht="16.8" x14ac:dyDescent="0.3">
      <c r="A20" s="464" t="s">
        <v>351</v>
      </c>
      <c r="B20" s="34"/>
    </row>
    <row r="21" spans="1:5" ht="16.8" x14ac:dyDescent="0.3">
      <c r="A21" s="463" t="s">
        <v>416</v>
      </c>
    </row>
    <row r="22" spans="1:5" ht="16.8" x14ac:dyDescent="0.3">
      <c r="A22" s="465" t="s">
        <v>433</v>
      </c>
      <c r="B22" s="34"/>
    </row>
    <row r="23" spans="1:5" ht="16.8" x14ac:dyDescent="0.3">
      <c r="A23" s="222" t="s">
        <v>439</v>
      </c>
      <c r="B23" s="34"/>
    </row>
    <row r="24" spans="1:5" ht="16.8" x14ac:dyDescent="0.3">
      <c r="A24" s="465" t="s">
        <v>352</v>
      </c>
      <c r="B24" s="34"/>
    </row>
    <row r="25" spans="1:5" ht="17.399999999999999" thickBot="1" x14ac:dyDescent="0.35">
      <c r="A25" s="466" t="s">
        <v>434</v>
      </c>
      <c r="B25" s="34"/>
    </row>
    <row r="26" spans="1:5" ht="16.2" thickTop="1" x14ac:dyDescent="0.3"/>
  </sheetData>
  <sortState xmlns:xlrd2="http://schemas.microsoft.com/office/spreadsheetml/2017/richdata2" ref="A23:B25">
    <sortCondition ref="A23:A25"/>
  </sortState>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2"/>
  <sheetViews>
    <sheetView showGridLines="0" workbookViewId="0"/>
  </sheetViews>
  <sheetFormatPr defaultRowHeight="15.6" x14ac:dyDescent="0.3"/>
  <cols>
    <col min="1" max="1" width="36.5" bestFit="1" customWidth="1"/>
    <col min="2" max="2" width="8.5" bestFit="1" customWidth="1"/>
    <col min="3" max="3" width="5.09765625" bestFit="1" customWidth="1"/>
    <col min="4" max="4" width="6.296875" bestFit="1" customWidth="1"/>
    <col min="5" max="5" width="8.5" bestFit="1" customWidth="1"/>
    <col min="6" max="6" width="9.3984375" bestFit="1" customWidth="1"/>
    <col min="7" max="7" width="4.69921875" bestFit="1" customWidth="1"/>
    <col min="8" max="8" width="7.69921875" customWidth="1"/>
    <col min="9" max="9" width="5.59765625" bestFit="1" customWidth="1"/>
    <col min="10" max="10" width="6.296875" bestFit="1" customWidth="1"/>
    <col min="11" max="11" width="23.09765625" customWidth="1"/>
    <col min="12" max="12" width="2.69921875" customWidth="1"/>
    <col min="13" max="13" width="6.8984375" bestFit="1" customWidth="1"/>
  </cols>
  <sheetData>
    <row r="1" spans="1:13" ht="23.4" thickBot="1" x14ac:dyDescent="0.35">
      <c r="A1" s="226" t="s">
        <v>268</v>
      </c>
      <c r="B1" s="226"/>
      <c r="C1" s="226"/>
      <c r="D1" s="226"/>
      <c r="E1" s="226"/>
      <c r="F1" s="226"/>
      <c r="G1" s="226"/>
      <c r="H1" s="226"/>
      <c r="I1" s="226"/>
      <c r="J1" s="226"/>
      <c r="K1" s="226"/>
      <c r="L1" s="227"/>
      <c r="M1" s="227"/>
    </row>
    <row r="2" spans="1:13" ht="16.8" thickTop="1" thickBot="1" x14ac:dyDescent="0.35">
      <c r="A2" s="228" t="s">
        <v>269</v>
      </c>
      <c r="B2" s="229" t="s">
        <v>270</v>
      </c>
      <c r="C2" s="229" t="s">
        <v>271</v>
      </c>
      <c r="D2" s="229" t="s">
        <v>272</v>
      </c>
      <c r="E2" s="230" t="s">
        <v>273</v>
      </c>
      <c r="F2" s="229" t="s">
        <v>274</v>
      </c>
      <c r="G2" s="229" t="s">
        <v>275</v>
      </c>
      <c r="H2" s="231" t="s">
        <v>276</v>
      </c>
      <c r="I2" s="502" t="s">
        <v>14</v>
      </c>
      <c r="J2" s="497" t="s">
        <v>15</v>
      </c>
      <c r="K2" s="232" t="s">
        <v>16</v>
      </c>
      <c r="L2" s="227"/>
      <c r="M2" s="233" t="s">
        <v>277</v>
      </c>
    </row>
    <row r="3" spans="1:13" x14ac:dyDescent="0.3">
      <c r="A3" s="234" t="s">
        <v>356</v>
      </c>
      <c r="B3" s="235" t="s">
        <v>297</v>
      </c>
      <c r="C3" s="236" t="str">
        <f>CONCATENATE('Personal File'!$C$11,"+2")</f>
        <v>+5+2</v>
      </c>
      <c r="D3" s="237">
        <v>2</v>
      </c>
      <c r="E3" s="237" t="s">
        <v>279</v>
      </c>
      <c r="F3" s="238" t="s">
        <v>280</v>
      </c>
      <c r="G3" s="239">
        <v>1.5</v>
      </c>
      <c r="H3" s="240" t="str">
        <f>CONCATENATE("+",'Personal File'!$B$8+'Personal File'!$C$11+D3)</f>
        <v>+17</v>
      </c>
      <c r="I3" s="509">
        <f t="shared" ref="I3:I7" ca="1" si="0">RANDBETWEEN(1,20)</f>
        <v>13</v>
      </c>
      <c r="J3" s="507">
        <f t="shared" ref="J3:J7" ca="1" si="1">I3+H3</f>
        <v>30</v>
      </c>
      <c r="K3" s="241"/>
      <c r="L3" s="227"/>
      <c r="M3" s="242">
        <v>4000</v>
      </c>
    </row>
    <row r="4" spans="1:13" x14ac:dyDescent="0.3">
      <c r="A4" s="390" t="s">
        <v>468</v>
      </c>
      <c r="B4" s="391" t="s">
        <v>297</v>
      </c>
      <c r="C4" s="392" t="str">
        <f>CONCATENATE('Personal File'!$C$11,"+2")</f>
        <v>+5+2</v>
      </c>
      <c r="D4" s="393">
        <v>2</v>
      </c>
      <c r="E4" s="393" t="s">
        <v>279</v>
      </c>
      <c r="F4" s="394" t="s">
        <v>280</v>
      </c>
      <c r="G4" s="397" t="s">
        <v>288</v>
      </c>
      <c r="H4" s="395" t="str">
        <f>CONCATENATE("+",'Personal File'!$B$8+'Personal File'!$C$11+D4-5)</f>
        <v>+12</v>
      </c>
      <c r="I4" s="510">
        <f t="shared" ca="1" si="0"/>
        <v>12</v>
      </c>
      <c r="J4" s="115">
        <f t="shared" ca="1" si="1"/>
        <v>24</v>
      </c>
      <c r="K4" s="396"/>
      <c r="L4" s="227"/>
      <c r="M4" s="400" t="s">
        <v>288</v>
      </c>
    </row>
    <row r="5" spans="1:13" x14ac:dyDescent="0.3">
      <c r="A5" s="390" t="s">
        <v>482</v>
      </c>
      <c r="B5" s="391" t="s">
        <v>297</v>
      </c>
      <c r="C5" s="392" t="s">
        <v>488</v>
      </c>
      <c r="D5" s="393" t="s">
        <v>489</v>
      </c>
      <c r="E5" s="393" t="s">
        <v>288</v>
      </c>
      <c r="F5" s="394" t="s">
        <v>288</v>
      </c>
      <c r="G5" s="397" t="s">
        <v>288</v>
      </c>
      <c r="H5" s="395" t="s">
        <v>288</v>
      </c>
      <c r="I5" s="510" t="s">
        <v>288</v>
      </c>
      <c r="J5" s="115" t="s">
        <v>288</v>
      </c>
      <c r="K5" s="396"/>
      <c r="L5" s="227"/>
      <c r="M5" s="530">
        <v>10000</v>
      </c>
    </row>
    <row r="6" spans="1:13" x14ac:dyDescent="0.3">
      <c r="A6" s="401" t="s">
        <v>438</v>
      </c>
      <c r="B6" s="402" t="s">
        <v>278</v>
      </c>
      <c r="C6" s="403" t="str">
        <f>CONCATENATE('Personal File'!$C$11,"+1")</f>
        <v>+5+1</v>
      </c>
      <c r="D6" s="404" t="s">
        <v>281</v>
      </c>
      <c r="E6" s="404" t="s">
        <v>282</v>
      </c>
      <c r="F6" s="405" t="s">
        <v>283</v>
      </c>
      <c r="G6" s="406">
        <v>1.5</v>
      </c>
      <c r="H6" s="407" t="str">
        <f>CONCATENATE("+",'Personal File'!$B$8+'Personal File'!$C$11+D6)</f>
        <v>+16</v>
      </c>
      <c r="I6" s="505">
        <f t="shared" ca="1" si="0"/>
        <v>8</v>
      </c>
      <c r="J6" s="500">
        <f t="shared" ca="1" si="1"/>
        <v>24</v>
      </c>
      <c r="K6" s="408"/>
      <c r="L6" s="227"/>
      <c r="M6" s="245">
        <v>2020</v>
      </c>
    </row>
    <row r="7" spans="1:13" x14ac:dyDescent="0.3">
      <c r="A7" s="390" t="s">
        <v>354</v>
      </c>
      <c r="B7" s="391" t="s">
        <v>278</v>
      </c>
      <c r="C7" s="392" t="str">
        <f>CONCATENATE('Personal File'!$C$11,"+1")</f>
        <v>+5+1</v>
      </c>
      <c r="D7" s="393" t="s">
        <v>281</v>
      </c>
      <c r="E7" s="393" t="s">
        <v>282</v>
      </c>
      <c r="F7" s="394" t="s">
        <v>283</v>
      </c>
      <c r="G7" s="397" t="s">
        <v>288</v>
      </c>
      <c r="H7" s="395" t="str">
        <f>CONCATENATE("+",'Personal File'!$B$8+'Personal File'!$C$11+D7-5)</f>
        <v>+11</v>
      </c>
      <c r="I7" s="510">
        <f t="shared" ca="1" si="0"/>
        <v>20</v>
      </c>
      <c r="J7" s="115">
        <f t="shared" ca="1" si="1"/>
        <v>31</v>
      </c>
      <c r="K7" s="396"/>
      <c r="L7" s="227"/>
      <c r="M7" s="400" t="s">
        <v>288</v>
      </c>
    </row>
    <row r="8" spans="1:13" x14ac:dyDescent="0.3">
      <c r="A8" s="532" t="s">
        <v>483</v>
      </c>
      <c r="B8" s="533" t="s">
        <v>288</v>
      </c>
      <c r="C8" s="534" t="s">
        <v>288</v>
      </c>
      <c r="D8" s="535" t="s">
        <v>288</v>
      </c>
      <c r="E8" s="535" t="s">
        <v>288</v>
      </c>
      <c r="F8" s="536" t="s">
        <v>288</v>
      </c>
      <c r="G8" s="537" t="s">
        <v>288</v>
      </c>
      <c r="H8" s="538" t="s">
        <v>288</v>
      </c>
      <c r="I8" s="539" t="s">
        <v>288</v>
      </c>
      <c r="J8" s="537" t="s">
        <v>288</v>
      </c>
      <c r="K8" s="540" t="s">
        <v>490</v>
      </c>
      <c r="L8" s="227"/>
      <c r="M8" s="530">
        <v>6000</v>
      </c>
    </row>
    <row r="9" spans="1:13" x14ac:dyDescent="0.3">
      <c r="A9" s="355" t="s">
        <v>285</v>
      </c>
      <c r="B9" s="356" t="s">
        <v>286</v>
      </c>
      <c r="C9" s="357">
        <v>1</v>
      </c>
      <c r="D9" s="358" t="s">
        <v>23</v>
      </c>
      <c r="E9" s="358" t="s">
        <v>282</v>
      </c>
      <c r="F9" s="359" t="s">
        <v>287</v>
      </c>
      <c r="G9" s="360">
        <v>0</v>
      </c>
      <c r="H9" s="361" t="str">
        <f>CONCATENATE("+",'Personal File'!$B$8+'Personal File'!$C$11+D9)</f>
        <v>+15</v>
      </c>
      <c r="I9" s="504">
        <f ca="1">RANDBETWEEN(1,20)</f>
        <v>9</v>
      </c>
      <c r="J9" s="508">
        <f ca="1">I9+H9</f>
        <v>24</v>
      </c>
      <c r="K9" s="362"/>
      <c r="L9" s="227"/>
      <c r="M9" s="363" t="s">
        <v>288</v>
      </c>
    </row>
    <row r="10" spans="1:13" x14ac:dyDescent="0.3">
      <c r="A10" s="511" t="s">
        <v>289</v>
      </c>
      <c r="B10" s="512" t="s">
        <v>290</v>
      </c>
      <c r="C10" s="513" t="s">
        <v>288</v>
      </c>
      <c r="D10" s="514" t="s">
        <v>23</v>
      </c>
      <c r="E10" s="514" t="s">
        <v>288</v>
      </c>
      <c r="F10" s="515" t="s">
        <v>288</v>
      </c>
      <c r="G10" s="516" t="s">
        <v>288</v>
      </c>
      <c r="H10" s="517" t="str">
        <f>CONCATENATE("+",'Personal File'!$B$8+'Personal File'!$C$11+D10)</f>
        <v>+15</v>
      </c>
      <c r="I10" s="510">
        <f ca="1">RANDBETWEEN(1,20)</f>
        <v>1</v>
      </c>
      <c r="J10" s="518">
        <f ca="1">I10+H10</f>
        <v>16</v>
      </c>
      <c r="K10" s="519"/>
      <c r="L10" s="227"/>
      <c r="M10" s="374" t="s">
        <v>288</v>
      </c>
    </row>
    <row r="11" spans="1:13" ht="16.2" thickBot="1" x14ac:dyDescent="0.35">
      <c r="A11" s="247" t="s">
        <v>469</v>
      </c>
      <c r="B11" s="248" t="s">
        <v>469</v>
      </c>
      <c r="C11" s="520" t="s">
        <v>288</v>
      </c>
      <c r="D11" s="521">
        <v>0</v>
      </c>
      <c r="E11" s="521" t="s">
        <v>288</v>
      </c>
      <c r="F11" s="522" t="s">
        <v>288</v>
      </c>
      <c r="G11" s="523" t="s">
        <v>288</v>
      </c>
      <c r="H11" s="250" t="str">
        <f>CONCATENATE("+",'Personal File'!$B$8+'Personal File'!$C$11+D11)</f>
        <v>+15</v>
      </c>
      <c r="I11" s="525">
        <f ca="1">RANDBETWEEN(1,20)</f>
        <v>3</v>
      </c>
      <c r="J11" s="501">
        <f ca="1">I11+H11</f>
        <v>18</v>
      </c>
      <c r="K11" s="524"/>
      <c r="L11" s="227"/>
      <c r="M11" s="251" t="s">
        <v>288</v>
      </c>
    </row>
    <row r="12" spans="1:13" ht="16.8" thickTop="1" thickBot="1" x14ac:dyDescent="0.35">
      <c r="A12" s="246"/>
      <c r="B12" s="246"/>
      <c r="C12" s="246"/>
      <c r="D12" s="246"/>
      <c r="E12" s="246"/>
      <c r="F12" s="246"/>
      <c r="G12" s="246"/>
      <c r="H12" s="246"/>
      <c r="I12" s="246"/>
      <c r="J12" s="246"/>
      <c r="K12" s="246"/>
      <c r="L12" s="227"/>
      <c r="M12" s="227"/>
    </row>
    <row r="13" spans="1:13" ht="16.8" thickTop="1" thickBot="1" x14ac:dyDescent="0.35">
      <c r="A13" s="228" t="s">
        <v>291</v>
      </c>
      <c r="B13" s="229" t="s">
        <v>292</v>
      </c>
      <c r="C13" s="229" t="s">
        <v>271</v>
      </c>
      <c r="D13" s="229" t="s">
        <v>272</v>
      </c>
      <c r="E13" s="230" t="s">
        <v>273</v>
      </c>
      <c r="F13" s="229" t="s">
        <v>293</v>
      </c>
      <c r="G13" s="229" t="s">
        <v>275</v>
      </c>
      <c r="H13" s="231" t="s">
        <v>276</v>
      </c>
      <c r="I13" s="502" t="s">
        <v>14</v>
      </c>
      <c r="J13" s="497" t="s">
        <v>15</v>
      </c>
      <c r="K13" s="232" t="s">
        <v>16</v>
      </c>
      <c r="L13" s="227"/>
      <c r="M13" s="233" t="s">
        <v>277</v>
      </c>
    </row>
    <row r="14" spans="1:13" x14ac:dyDescent="0.3">
      <c r="A14" s="376" t="s">
        <v>471</v>
      </c>
      <c r="B14" s="377" t="s">
        <v>339</v>
      </c>
      <c r="C14" s="378" t="s">
        <v>363</v>
      </c>
      <c r="D14" s="379" t="s">
        <v>281</v>
      </c>
      <c r="E14" s="379" t="s">
        <v>288</v>
      </c>
      <c r="F14" s="380" t="s">
        <v>288</v>
      </c>
      <c r="G14" s="381" t="s">
        <v>288</v>
      </c>
      <c r="H14" s="495" t="str">
        <f>CONCATENATE("+",'Personal File'!$B$8+'Personal File'!$C$12+D14)</f>
        <v>+18</v>
      </c>
      <c r="I14" s="503">
        <f t="shared" ref="I14:I20" ca="1" si="2">RANDBETWEEN(1,20)</f>
        <v>19</v>
      </c>
      <c r="J14" s="498">
        <f t="shared" ref="J14:J20" ca="1" si="3">I14+H14</f>
        <v>37</v>
      </c>
      <c r="K14" s="382" t="s">
        <v>470</v>
      </c>
      <c r="L14" s="227"/>
      <c r="M14" s="364" t="s">
        <v>288</v>
      </c>
    </row>
    <row r="15" spans="1:13" x14ac:dyDescent="0.3">
      <c r="A15" s="383" t="s">
        <v>218</v>
      </c>
      <c r="B15" s="384" t="s">
        <v>288</v>
      </c>
      <c r="C15" s="385" t="s">
        <v>288</v>
      </c>
      <c r="D15" s="386" t="s">
        <v>23</v>
      </c>
      <c r="E15" s="386" t="s">
        <v>288</v>
      </c>
      <c r="F15" s="387" t="s">
        <v>288</v>
      </c>
      <c r="G15" s="388" t="s">
        <v>288</v>
      </c>
      <c r="H15" s="496" t="str">
        <f>CONCATENATE("+",'Personal File'!E3+D15)</f>
        <v>+20</v>
      </c>
      <c r="I15" s="504">
        <f t="shared" ca="1" si="2"/>
        <v>11</v>
      </c>
      <c r="J15" s="499">
        <f t="shared" ca="1" si="3"/>
        <v>31</v>
      </c>
      <c r="K15" s="389"/>
      <c r="L15" s="227"/>
      <c r="M15" s="363" t="s">
        <v>288</v>
      </c>
    </row>
    <row r="16" spans="1:13" x14ac:dyDescent="0.3">
      <c r="A16" s="383" t="s">
        <v>294</v>
      </c>
      <c r="B16" s="384" t="s">
        <v>290</v>
      </c>
      <c r="C16" s="385" t="s">
        <v>288</v>
      </c>
      <c r="D16" s="386" t="s">
        <v>23</v>
      </c>
      <c r="E16" s="386" t="s">
        <v>288</v>
      </c>
      <c r="F16" s="387" t="s">
        <v>288</v>
      </c>
      <c r="G16" s="388" t="s">
        <v>288</v>
      </c>
      <c r="H16" s="496" t="str">
        <f>CONCATENATE("+",'Personal File'!$B$8+'Personal File'!$C$12+D16)</f>
        <v>+17</v>
      </c>
      <c r="I16" s="504">
        <f t="shared" ca="1" si="2"/>
        <v>10</v>
      </c>
      <c r="J16" s="499">
        <f t="shared" ca="1" si="3"/>
        <v>27</v>
      </c>
      <c r="K16" s="389"/>
      <c r="L16" s="227"/>
      <c r="M16" s="363" t="s">
        <v>288</v>
      </c>
    </row>
    <row r="17" spans="1:13" x14ac:dyDescent="0.3">
      <c r="A17" s="383" t="s">
        <v>295</v>
      </c>
      <c r="B17" s="384" t="s">
        <v>290</v>
      </c>
      <c r="C17" s="385" t="s">
        <v>288</v>
      </c>
      <c r="D17" s="386" t="s">
        <v>23</v>
      </c>
      <c r="E17" s="386" t="s">
        <v>288</v>
      </c>
      <c r="F17" s="387" t="s">
        <v>288</v>
      </c>
      <c r="G17" s="388" t="s">
        <v>288</v>
      </c>
      <c r="H17" s="496" t="str">
        <f>CONCATENATE("+",'Personal File'!$E$3)</f>
        <v>+20</v>
      </c>
      <c r="I17" s="504">
        <f t="shared" ca="1" si="2"/>
        <v>3</v>
      </c>
      <c r="J17" s="499">
        <f t="shared" ca="1" si="3"/>
        <v>23</v>
      </c>
      <c r="K17" s="389"/>
      <c r="L17" s="227"/>
      <c r="M17" s="374" t="s">
        <v>288</v>
      </c>
    </row>
    <row r="18" spans="1:13" x14ac:dyDescent="0.3">
      <c r="A18" s="383" t="s">
        <v>466</v>
      </c>
      <c r="B18" s="384" t="s">
        <v>286</v>
      </c>
      <c r="C18" s="385" t="s">
        <v>465</v>
      </c>
      <c r="D18" s="386" t="s">
        <v>23</v>
      </c>
      <c r="E18" s="386" t="s">
        <v>282</v>
      </c>
      <c r="F18" s="387" t="str">
        <f>CONCATENATE(100+(10*'Personal File'!$E$3),"’")</f>
        <v>300’</v>
      </c>
      <c r="G18" s="388" t="s">
        <v>288</v>
      </c>
      <c r="H18" s="496" t="str">
        <f>CONCATENATE("+",'Personal File'!$B$8+'Personal File'!$C$15+D9)</f>
        <v>+16</v>
      </c>
      <c r="I18" s="504">
        <f t="shared" ca="1" si="2"/>
        <v>7</v>
      </c>
      <c r="J18" s="499">
        <f t="shared" ca="1" si="3"/>
        <v>23</v>
      </c>
      <c r="K18" s="389"/>
      <c r="L18" s="227"/>
      <c r="M18" s="374" t="s">
        <v>288</v>
      </c>
    </row>
    <row r="19" spans="1:13" x14ac:dyDescent="0.3">
      <c r="A19" s="401" t="s">
        <v>355</v>
      </c>
      <c r="B19" s="402" t="s">
        <v>286</v>
      </c>
      <c r="C19" s="403">
        <v>2</v>
      </c>
      <c r="D19" s="404">
        <v>2</v>
      </c>
      <c r="E19" s="404" t="s">
        <v>282</v>
      </c>
      <c r="F19" s="405" t="s">
        <v>296</v>
      </c>
      <c r="G19" s="406">
        <v>4</v>
      </c>
      <c r="H19" s="407" t="str">
        <f>CONCATENATE("+",'Personal File'!$B$8+'Personal File'!$C$12+D19)</f>
        <v>+19</v>
      </c>
      <c r="I19" s="505">
        <f t="shared" ca="1" si="2"/>
        <v>18</v>
      </c>
      <c r="J19" s="500">
        <f t="shared" ca="1" si="3"/>
        <v>37</v>
      </c>
      <c r="K19" s="408" t="s">
        <v>284</v>
      </c>
      <c r="L19" s="227"/>
      <c r="M19" s="245">
        <v>8000</v>
      </c>
    </row>
    <row r="20" spans="1:13" ht="16.2" thickBot="1" x14ac:dyDescent="0.35">
      <c r="A20" s="247" t="s">
        <v>354</v>
      </c>
      <c r="B20" s="248" t="s">
        <v>286</v>
      </c>
      <c r="C20" s="249">
        <v>2</v>
      </c>
      <c r="D20" s="249">
        <v>2</v>
      </c>
      <c r="E20" s="248" t="s">
        <v>282</v>
      </c>
      <c r="F20" s="249" t="s">
        <v>296</v>
      </c>
      <c r="G20" s="398" t="s">
        <v>288</v>
      </c>
      <c r="H20" s="250" t="str">
        <f>CONCATENATE("+",'Personal File'!$B$8+'Personal File'!$C$12+D20-5)</f>
        <v>+14</v>
      </c>
      <c r="I20" s="506">
        <f t="shared" ca="1" si="2"/>
        <v>3</v>
      </c>
      <c r="J20" s="501">
        <f t="shared" ca="1" si="3"/>
        <v>17</v>
      </c>
      <c r="K20" s="410" t="s">
        <v>284</v>
      </c>
      <c r="L20" s="227"/>
      <c r="M20" s="399" t="s">
        <v>288</v>
      </c>
    </row>
    <row r="21" spans="1:13" ht="16.8" thickTop="1" thickBot="1" x14ac:dyDescent="0.35">
      <c r="A21" s="246"/>
      <c r="B21" s="246"/>
      <c r="C21" s="246"/>
      <c r="D21" s="252"/>
      <c r="E21" s="252"/>
      <c r="F21" s="246"/>
      <c r="G21" s="253"/>
      <c r="H21" s="253"/>
      <c r="I21" s="246"/>
      <c r="J21" s="253"/>
      <c r="K21" s="246"/>
      <c r="L21" s="227"/>
      <c r="M21" s="227"/>
    </row>
    <row r="22" spans="1:13" ht="16.8" thickTop="1" thickBot="1" x14ac:dyDescent="0.35">
      <c r="A22" s="228" t="s">
        <v>298</v>
      </c>
      <c r="B22" s="229" t="s">
        <v>299</v>
      </c>
      <c r="C22" s="229" t="s">
        <v>19</v>
      </c>
      <c r="D22" s="229" t="s">
        <v>15</v>
      </c>
      <c r="E22" s="229" t="s">
        <v>300</v>
      </c>
      <c r="F22" s="229" t="s">
        <v>301</v>
      </c>
      <c r="G22" s="229" t="s">
        <v>275</v>
      </c>
      <c r="H22" s="254" t="s">
        <v>16</v>
      </c>
      <c r="I22" s="255"/>
      <c r="J22" s="255"/>
      <c r="K22" s="256"/>
      <c r="L22" s="227"/>
      <c r="M22" s="233" t="s">
        <v>277</v>
      </c>
    </row>
    <row r="23" spans="1:13" x14ac:dyDescent="0.3">
      <c r="A23" s="257" t="s">
        <v>477</v>
      </c>
      <c r="B23" s="258">
        <f>8+5</f>
        <v>13</v>
      </c>
      <c r="C23" s="259">
        <v>6</v>
      </c>
      <c r="D23" s="258">
        <v>0</v>
      </c>
      <c r="E23" s="260">
        <v>0.35</v>
      </c>
      <c r="F23" s="261" t="s">
        <v>3</v>
      </c>
      <c r="G23" s="262">
        <v>25</v>
      </c>
      <c r="H23" s="263" t="s">
        <v>487</v>
      </c>
      <c r="I23" s="264"/>
      <c r="J23" s="264"/>
      <c r="K23" s="265"/>
      <c r="L23" s="227"/>
      <c r="M23" s="242">
        <v>103500</v>
      </c>
    </row>
    <row r="24" spans="1:13" x14ac:dyDescent="0.3">
      <c r="A24" s="453" t="s">
        <v>486</v>
      </c>
      <c r="B24" s="409">
        <v>5</v>
      </c>
      <c r="C24" s="454" t="s">
        <v>288</v>
      </c>
      <c r="D24" s="409" t="s">
        <v>288</v>
      </c>
      <c r="E24" s="455" t="s">
        <v>288</v>
      </c>
      <c r="F24" s="456" t="s">
        <v>288</v>
      </c>
      <c r="G24" s="457">
        <v>1</v>
      </c>
      <c r="H24" s="458"/>
      <c r="I24" s="459"/>
      <c r="J24" s="459"/>
      <c r="K24" s="460"/>
      <c r="L24" s="227"/>
      <c r="M24" s="242">
        <v>25000</v>
      </c>
    </row>
    <row r="25" spans="1:13" x14ac:dyDescent="0.3">
      <c r="A25" s="453" t="s">
        <v>436</v>
      </c>
      <c r="B25" s="409" t="s">
        <v>288</v>
      </c>
      <c r="C25" s="454" t="s">
        <v>288</v>
      </c>
      <c r="D25" s="409" t="s">
        <v>288</v>
      </c>
      <c r="E25" s="455" t="s">
        <v>288</v>
      </c>
      <c r="F25" s="456" t="s">
        <v>288</v>
      </c>
      <c r="G25" s="457">
        <v>0</v>
      </c>
      <c r="H25" s="458"/>
      <c r="I25" s="459"/>
      <c r="J25" s="459"/>
      <c r="K25" s="460"/>
      <c r="L25" s="227"/>
      <c r="M25" s="242">
        <v>500</v>
      </c>
    </row>
    <row r="26" spans="1:13" x14ac:dyDescent="0.3">
      <c r="A26" s="267" t="s">
        <v>437</v>
      </c>
      <c r="B26" s="243">
        <v>5</v>
      </c>
      <c r="C26" s="268" t="s">
        <v>288</v>
      </c>
      <c r="D26" s="243" t="s">
        <v>288</v>
      </c>
      <c r="E26" s="269" t="s">
        <v>288</v>
      </c>
      <c r="F26" s="270" t="s">
        <v>288</v>
      </c>
      <c r="G26" s="244">
        <v>0</v>
      </c>
      <c r="H26" s="271"/>
      <c r="I26" s="272"/>
      <c r="J26" s="272"/>
      <c r="K26" s="273"/>
      <c r="L26" s="227"/>
      <c r="M26" s="242"/>
    </row>
    <row r="27" spans="1:13" x14ac:dyDescent="0.3">
      <c r="A27" s="365" t="s">
        <v>193</v>
      </c>
      <c r="B27" s="366" t="s">
        <v>391</v>
      </c>
      <c r="C27" s="367" t="s">
        <v>288</v>
      </c>
      <c r="D27" s="366" t="s">
        <v>288</v>
      </c>
      <c r="E27" s="368" t="s">
        <v>288</v>
      </c>
      <c r="F27" s="369" t="s">
        <v>288</v>
      </c>
      <c r="G27" s="370" t="s">
        <v>288</v>
      </c>
      <c r="H27" s="371"/>
      <c r="I27" s="372"/>
      <c r="J27" s="372"/>
      <c r="K27" s="373"/>
      <c r="L27" s="227"/>
      <c r="M27" s="374" t="s">
        <v>288</v>
      </c>
    </row>
    <row r="28" spans="1:13" ht="16.2" thickBot="1" x14ac:dyDescent="0.35">
      <c r="A28" s="274" t="s">
        <v>302</v>
      </c>
      <c r="B28" s="275" t="s">
        <v>303</v>
      </c>
      <c r="C28" s="276" t="s">
        <v>288</v>
      </c>
      <c r="D28" s="275" t="s">
        <v>288</v>
      </c>
      <c r="E28" s="277" t="s">
        <v>288</v>
      </c>
      <c r="F28" s="275" t="s">
        <v>288</v>
      </c>
      <c r="G28" s="278">
        <v>0</v>
      </c>
      <c r="H28" s="279"/>
      <c r="I28" s="280"/>
      <c r="J28" s="280"/>
      <c r="K28" s="281"/>
      <c r="L28" s="227"/>
      <c r="M28" s="282" t="s">
        <v>288</v>
      </c>
    </row>
    <row r="29" spans="1:13" ht="16.8" thickTop="1" thickBot="1" x14ac:dyDescent="0.35">
      <c r="A29" s="246"/>
      <c r="B29" s="246"/>
      <c r="C29" s="246"/>
      <c r="D29" s="246"/>
      <c r="E29" s="246"/>
      <c r="F29" s="246"/>
      <c r="G29" s="246"/>
      <c r="H29" s="246"/>
      <c r="I29" s="246"/>
      <c r="J29" s="246"/>
      <c r="K29" s="246"/>
      <c r="L29" s="227"/>
      <c r="M29" s="227"/>
    </row>
    <row r="30" spans="1:13" ht="16.8" thickTop="1" thickBot="1" x14ac:dyDescent="0.35">
      <c r="A30" s="246"/>
      <c r="B30" s="246"/>
      <c r="C30" s="246"/>
      <c r="D30" s="283" t="s">
        <v>304</v>
      </c>
      <c r="E30" s="284"/>
      <c r="F30" s="254" t="s">
        <v>305</v>
      </c>
      <c r="G30" s="229" t="s">
        <v>275</v>
      </c>
      <c r="H30" s="231" t="s">
        <v>276</v>
      </c>
      <c r="I30" s="254" t="s">
        <v>16</v>
      </c>
      <c r="J30" s="255"/>
      <c r="K30" s="256"/>
      <c r="L30" s="227"/>
      <c r="M30" s="233" t="s">
        <v>277</v>
      </c>
    </row>
    <row r="31" spans="1:13" x14ac:dyDescent="0.3">
      <c r="A31" s="246"/>
      <c r="B31" s="246"/>
      <c r="C31" s="246"/>
      <c r="D31" s="285" t="s">
        <v>306</v>
      </c>
      <c r="E31" s="286"/>
      <c r="F31" s="287">
        <v>2</v>
      </c>
      <c r="G31" s="262">
        <f t="shared" ref="G31" si="4">F31*0.1</f>
        <v>0.2</v>
      </c>
      <c r="H31" s="294" t="s">
        <v>4</v>
      </c>
      <c r="I31" s="288"/>
      <c r="J31" s="289"/>
      <c r="K31" s="290"/>
      <c r="L31" s="227"/>
      <c r="M31" s="266">
        <f t="shared" ref="M31:M33" si="5">100*F31</f>
        <v>200</v>
      </c>
    </row>
    <row r="32" spans="1:13" x14ac:dyDescent="0.3">
      <c r="A32" s="246"/>
      <c r="B32" s="246"/>
      <c r="C32" s="246"/>
      <c r="D32" s="291" t="s">
        <v>307</v>
      </c>
      <c r="E32" s="292"/>
      <c r="F32" s="293">
        <v>2</v>
      </c>
      <c r="G32" s="244">
        <f>F32*0.1</f>
        <v>0.2</v>
      </c>
      <c r="H32" s="294" t="s">
        <v>4</v>
      </c>
      <c r="I32" s="295"/>
      <c r="J32" s="296"/>
      <c r="K32" s="297"/>
      <c r="L32" s="227"/>
      <c r="M32" s="242">
        <f t="shared" si="5"/>
        <v>200</v>
      </c>
    </row>
    <row r="33" spans="1:13" x14ac:dyDescent="0.3">
      <c r="A33" s="246"/>
      <c r="B33" s="246"/>
      <c r="C33" s="246"/>
      <c r="D33" s="298" t="s">
        <v>308</v>
      </c>
      <c r="E33" s="292"/>
      <c r="F33" s="293">
        <v>2</v>
      </c>
      <c r="G33" s="244">
        <f t="shared" ref="G33:G34" si="6">F33*0.1</f>
        <v>0.2</v>
      </c>
      <c r="H33" s="294" t="s">
        <v>4</v>
      </c>
      <c r="I33" s="295"/>
      <c r="J33" s="296"/>
      <c r="K33" s="297"/>
      <c r="L33" s="227"/>
      <c r="M33" s="242">
        <f t="shared" si="5"/>
        <v>200</v>
      </c>
    </row>
    <row r="34" spans="1:13" x14ac:dyDescent="0.3">
      <c r="A34" s="246"/>
      <c r="B34" s="246"/>
      <c r="C34" s="246"/>
      <c r="D34" s="299" t="s">
        <v>309</v>
      </c>
      <c r="E34" s="292"/>
      <c r="F34" s="293">
        <v>20</v>
      </c>
      <c r="G34" s="244">
        <f t="shared" si="6"/>
        <v>2</v>
      </c>
      <c r="H34" s="294" t="s">
        <v>4</v>
      </c>
      <c r="I34" s="295"/>
      <c r="J34" s="296"/>
      <c r="K34" s="297"/>
      <c r="L34" s="227"/>
      <c r="M34" s="242">
        <v>0</v>
      </c>
    </row>
    <row r="35" spans="1:13" ht="16.2" thickBot="1" x14ac:dyDescent="0.35">
      <c r="A35" s="246"/>
      <c r="B35" s="246"/>
      <c r="C35" s="246"/>
      <c r="D35" s="300"/>
      <c r="E35" s="301"/>
      <c r="F35" s="302"/>
      <c r="G35" s="303"/>
      <c r="H35" s="304"/>
      <c r="I35" s="305"/>
      <c r="J35" s="306"/>
      <c r="K35" s="307"/>
      <c r="L35" s="227"/>
      <c r="M35" s="251"/>
    </row>
    <row r="36" spans="1:13" ht="16.8" thickTop="1" thickBot="1" x14ac:dyDescent="0.35">
      <c r="A36" s="246"/>
      <c r="B36" s="246"/>
      <c r="C36" s="246"/>
      <c r="D36" s="246"/>
      <c r="E36" s="246"/>
      <c r="F36" s="246"/>
      <c r="G36" s="246"/>
      <c r="H36" s="246"/>
      <c r="I36" s="246"/>
      <c r="J36" s="246"/>
      <c r="K36" s="246"/>
      <c r="L36" s="227"/>
      <c r="M36" s="227"/>
    </row>
    <row r="37" spans="1:13" ht="16.8" thickTop="1" thickBot="1" x14ac:dyDescent="0.35">
      <c r="A37" s="246"/>
      <c r="B37" s="246"/>
      <c r="C37" s="246"/>
      <c r="D37" s="283" t="s">
        <v>310</v>
      </c>
      <c r="E37" s="255"/>
      <c r="F37" s="255"/>
      <c r="G37" s="308" t="s">
        <v>305</v>
      </c>
      <c r="H37" s="308" t="s">
        <v>79</v>
      </c>
      <c r="I37" s="308" t="s">
        <v>311</v>
      </c>
      <c r="J37" s="309" t="s">
        <v>16</v>
      </c>
      <c r="K37" s="256"/>
      <c r="L37" s="227"/>
      <c r="M37" s="233" t="s">
        <v>277</v>
      </c>
    </row>
    <row r="38" spans="1:13" x14ac:dyDescent="0.3">
      <c r="A38" s="246"/>
      <c r="B38" s="246"/>
      <c r="C38" s="246"/>
      <c r="D38" s="310" t="s">
        <v>493</v>
      </c>
      <c r="E38" s="311"/>
      <c r="F38" s="311"/>
      <c r="G38" s="243">
        <v>1</v>
      </c>
      <c r="H38" s="243">
        <v>0</v>
      </c>
      <c r="I38" s="243">
        <v>1</v>
      </c>
      <c r="J38" s="293"/>
      <c r="K38" s="297"/>
      <c r="L38" s="227"/>
      <c r="M38" s="242">
        <f>G38*12</f>
        <v>12</v>
      </c>
    </row>
    <row r="39" spans="1:13" x14ac:dyDescent="0.3">
      <c r="A39" s="246"/>
      <c r="B39" s="246"/>
      <c r="C39" s="246"/>
      <c r="D39" s="310" t="s">
        <v>492</v>
      </c>
      <c r="E39" s="311"/>
      <c r="F39" s="311"/>
      <c r="G39" s="243">
        <v>1</v>
      </c>
      <c r="H39" s="243">
        <v>3</v>
      </c>
      <c r="I39" s="243">
        <v>5</v>
      </c>
      <c r="J39" s="293"/>
      <c r="K39" s="297"/>
      <c r="L39" s="227"/>
      <c r="M39" s="242">
        <v>10900</v>
      </c>
    </row>
    <row r="40" spans="1:13" x14ac:dyDescent="0.3">
      <c r="A40" s="246"/>
      <c r="B40" s="246"/>
      <c r="C40" s="246"/>
      <c r="D40" s="310" t="s">
        <v>494</v>
      </c>
      <c r="E40" s="311"/>
      <c r="F40" s="311"/>
      <c r="G40" s="243">
        <v>1</v>
      </c>
      <c r="H40" s="243">
        <v>0</v>
      </c>
      <c r="I40" s="243">
        <v>1</v>
      </c>
      <c r="J40" s="293"/>
      <c r="K40" s="297"/>
      <c r="L40" s="227"/>
      <c r="M40" s="242">
        <f>G40*12</f>
        <v>12</v>
      </c>
    </row>
    <row r="41" spans="1:13" x14ac:dyDescent="0.3">
      <c r="A41" s="246"/>
      <c r="B41" s="246"/>
      <c r="C41" s="246"/>
      <c r="D41" s="310" t="s">
        <v>495</v>
      </c>
      <c r="E41" s="311"/>
      <c r="F41" s="311"/>
      <c r="G41" s="243">
        <v>2</v>
      </c>
      <c r="H41" s="243">
        <v>5</v>
      </c>
      <c r="I41" s="243">
        <v>9</v>
      </c>
      <c r="J41" s="293"/>
      <c r="K41" s="297"/>
      <c r="L41" s="227"/>
      <c r="M41" s="242">
        <f t="shared" ref="M41" si="7">25*G41*H41*I41</f>
        <v>2250</v>
      </c>
    </row>
    <row r="42" spans="1:13" x14ac:dyDescent="0.3">
      <c r="A42" s="246"/>
      <c r="B42" s="246"/>
      <c r="C42" s="246"/>
      <c r="D42" s="310" t="s">
        <v>496</v>
      </c>
      <c r="E42" s="311"/>
      <c r="F42" s="311"/>
      <c r="G42" s="243">
        <v>1</v>
      </c>
      <c r="H42" s="243">
        <v>0</v>
      </c>
      <c r="I42" s="243">
        <v>1</v>
      </c>
      <c r="J42" s="293"/>
      <c r="K42" s="297"/>
      <c r="L42" s="227"/>
      <c r="M42" s="242">
        <f>G42*12</f>
        <v>12</v>
      </c>
    </row>
    <row r="43" spans="1:13" x14ac:dyDescent="0.3">
      <c r="A43" s="246"/>
      <c r="B43" s="246"/>
      <c r="C43" s="246"/>
      <c r="D43" s="310" t="s">
        <v>497</v>
      </c>
      <c r="E43" s="311"/>
      <c r="F43" s="311"/>
      <c r="G43" s="243">
        <v>1</v>
      </c>
      <c r="H43" s="243">
        <v>0</v>
      </c>
      <c r="I43" s="243">
        <v>1</v>
      </c>
      <c r="J43" s="293"/>
      <c r="K43" s="297"/>
      <c r="L43" s="227"/>
      <c r="M43" s="242">
        <f>G43*12</f>
        <v>12</v>
      </c>
    </row>
    <row r="44" spans="1:13" x14ac:dyDescent="0.3">
      <c r="A44" s="246"/>
      <c r="B44" s="246"/>
      <c r="C44" s="246"/>
      <c r="D44" s="310" t="s">
        <v>498</v>
      </c>
      <c r="E44" s="311"/>
      <c r="F44" s="311"/>
      <c r="G44" s="243">
        <v>1</v>
      </c>
      <c r="H44" s="243">
        <v>1</v>
      </c>
      <c r="I44" s="243">
        <v>1</v>
      </c>
      <c r="J44" s="293"/>
      <c r="K44" s="297"/>
      <c r="L44" s="227"/>
      <c r="M44" s="242">
        <f t="shared" ref="M44:M59" si="8">25*G44*H44*I44</f>
        <v>25</v>
      </c>
    </row>
    <row r="45" spans="1:13" x14ac:dyDescent="0.3">
      <c r="A45" s="246"/>
      <c r="B45" s="246"/>
      <c r="C45" s="246"/>
      <c r="D45" s="310" t="s">
        <v>499</v>
      </c>
      <c r="E45" s="311"/>
      <c r="F45" s="311"/>
      <c r="G45" s="243">
        <v>1</v>
      </c>
      <c r="H45" s="243">
        <v>1</v>
      </c>
      <c r="I45" s="243">
        <v>1</v>
      </c>
      <c r="J45" s="293"/>
      <c r="K45" s="297"/>
      <c r="L45" s="227"/>
      <c r="M45" s="242">
        <f t="shared" si="8"/>
        <v>25</v>
      </c>
    </row>
    <row r="46" spans="1:13" x14ac:dyDescent="0.3">
      <c r="A46" s="246"/>
      <c r="B46" s="246"/>
      <c r="C46" s="246"/>
      <c r="D46" s="310" t="s">
        <v>500</v>
      </c>
      <c r="E46" s="311"/>
      <c r="F46" s="311"/>
      <c r="G46" s="243">
        <v>1</v>
      </c>
      <c r="H46" s="243">
        <v>1</v>
      </c>
      <c r="I46" s="243">
        <v>1</v>
      </c>
      <c r="J46" s="293"/>
      <c r="K46" s="297"/>
      <c r="L46" s="227"/>
      <c r="M46" s="242">
        <f t="shared" si="8"/>
        <v>25</v>
      </c>
    </row>
    <row r="47" spans="1:13" x14ac:dyDescent="0.3">
      <c r="A47" s="246"/>
      <c r="B47" s="246"/>
      <c r="C47" s="246"/>
      <c r="D47" s="310" t="s">
        <v>501</v>
      </c>
      <c r="E47" s="311"/>
      <c r="F47" s="311"/>
      <c r="G47" s="243">
        <v>1</v>
      </c>
      <c r="H47" s="243">
        <v>1</v>
      </c>
      <c r="I47" s="243">
        <v>1</v>
      </c>
      <c r="J47" s="293"/>
      <c r="K47" s="297"/>
      <c r="L47" s="227"/>
      <c r="M47" s="242">
        <f t="shared" si="8"/>
        <v>25</v>
      </c>
    </row>
    <row r="48" spans="1:13" x14ac:dyDescent="0.3">
      <c r="A48" s="246"/>
      <c r="B48" s="246"/>
      <c r="C48" s="246"/>
      <c r="D48" s="310" t="s">
        <v>502</v>
      </c>
      <c r="E48" s="311"/>
      <c r="F48" s="311"/>
      <c r="G48" s="243">
        <v>1</v>
      </c>
      <c r="H48" s="243">
        <v>1</v>
      </c>
      <c r="I48" s="243">
        <v>1</v>
      </c>
      <c r="J48" s="293"/>
      <c r="K48" s="297"/>
      <c r="L48" s="227"/>
      <c r="M48" s="242">
        <f t="shared" si="8"/>
        <v>25</v>
      </c>
    </row>
    <row r="49" spans="1:13" x14ac:dyDescent="0.3">
      <c r="A49" s="246"/>
      <c r="B49" s="246"/>
      <c r="C49" s="246"/>
      <c r="D49" s="310" t="s">
        <v>503</v>
      </c>
      <c r="E49" s="311"/>
      <c r="F49" s="311"/>
      <c r="G49" s="243">
        <v>1</v>
      </c>
      <c r="H49" s="243">
        <v>1</v>
      </c>
      <c r="I49" s="243">
        <v>1</v>
      </c>
      <c r="J49" s="293"/>
      <c r="K49" s="297"/>
      <c r="L49" s="227"/>
      <c r="M49" s="242">
        <f t="shared" si="8"/>
        <v>25</v>
      </c>
    </row>
    <row r="50" spans="1:13" x14ac:dyDescent="0.3">
      <c r="A50" s="246"/>
      <c r="B50" s="246"/>
      <c r="C50" s="246"/>
      <c r="D50" s="310" t="s">
        <v>504</v>
      </c>
      <c r="E50" s="311"/>
      <c r="F50" s="311"/>
      <c r="G50" s="243">
        <v>1</v>
      </c>
      <c r="H50" s="243">
        <v>1</v>
      </c>
      <c r="I50" s="243">
        <v>1</v>
      </c>
      <c r="J50" s="293"/>
      <c r="K50" s="297"/>
      <c r="L50" s="227"/>
      <c r="M50" s="242">
        <f t="shared" si="8"/>
        <v>25</v>
      </c>
    </row>
    <row r="51" spans="1:13" x14ac:dyDescent="0.3">
      <c r="A51" s="246"/>
      <c r="B51" s="246"/>
      <c r="C51" s="246"/>
      <c r="D51" s="310" t="s">
        <v>505</v>
      </c>
      <c r="E51" s="311"/>
      <c r="F51" s="311"/>
      <c r="G51" s="243">
        <v>1</v>
      </c>
      <c r="H51" s="243">
        <v>1</v>
      </c>
      <c r="I51" s="243">
        <v>5</v>
      </c>
      <c r="J51" s="293"/>
      <c r="K51" s="297"/>
      <c r="L51" s="227"/>
      <c r="M51" s="242">
        <f t="shared" si="8"/>
        <v>125</v>
      </c>
    </row>
    <row r="52" spans="1:13" x14ac:dyDescent="0.3">
      <c r="A52" s="246"/>
      <c r="B52" s="246"/>
      <c r="C52" s="246"/>
      <c r="D52" s="310" t="s">
        <v>506</v>
      </c>
      <c r="E52" s="311"/>
      <c r="F52" s="311"/>
      <c r="G52" s="243">
        <v>1</v>
      </c>
      <c r="H52" s="243">
        <v>1</v>
      </c>
      <c r="I52" s="243">
        <v>1</v>
      </c>
      <c r="J52" s="293"/>
      <c r="K52" s="297"/>
      <c r="L52" s="227"/>
      <c r="M52" s="242">
        <f t="shared" si="8"/>
        <v>25</v>
      </c>
    </row>
    <row r="53" spans="1:13" x14ac:dyDescent="0.3">
      <c r="A53" s="246"/>
      <c r="B53" s="246"/>
      <c r="C53" s="246"/>
      <c r="D53" s="310" t="s">
        <v>507</v>
      </c>
      <c r="E53" s="311"/>
      <c r="F53" s="311"/>
      <c r="G53" s="243">
        <v>1</v>
      </c>
      <c r="H53" s="243">
        <v>1</v>
      </c>
      <c r="I53" s="243">
        <v>1</v>
      </c>
      <c r="J53" s="293"/>
      <c r="K53" s="297"/>
      <c r="L53" s="227"/>
      <c r="M53" s="242">
        <f t="shared" si="8"/>
        <v>25</v>
      </c>
    </row>
    <row r="54" spans="1:13" x14ac:dyDescent="0.3">
      <c r="A54" s="246"/>
      <c r="B54" s="246"/>
      <c r="C54" s="246"/>
      <c r="D54" s="310" t="s">
        <v>508</v>
      </c>
      <c r="E54" s="311"/>
      <c r="F54" s="311"/>
      <c r="G54" s="243">
        <v>1</v>
      </c>
      <c r="H54" s="243">
        <v>2</v>
      </c>
      <c r="I54" s="243">
        <v>3</v>
      </c>
      <c r="J54" s="293"/>
      <c r="K54" s="297"/>
      <c r="L54" s="227"/>
      <c r="M54" s="242">
        <f t="shared" si="8"/>
        <v>150</v>
      </c>
    </row>
    <row r="55" spans="1:13" x14ac:dyDescent="0.3">
      <c r="A55" s="246"/>
      <c r="B55" s="246"/>
      <c r="C55" s="246"/>
      <c r="D55" s="310" t="s">
        <v>509</v>
      </c>
      <c r="E55" s="311"/>
      <c r="F55" s="311"/>
      <c r="G55" s="243">
        <v>1</v>
      </c>
      <c r="H55" s="243">
        <v>2</v>
      </c>
      <c r="I55" s="243">
        <v>3</v>
      </c>
      <c r="J55" s="293"/>
      <c r="K55" s="297"/>
      <c r="L55" s="227"/>
      <c r="M55" s="242">
        <f t="shared" si="8"/>
        <v>150</v>
      </c>
    </row>
    <row r="56" spans="1:13" x14ac:dyDescent="0.3">
      <c r="A56" s="246"/>
      <c r="B56" s="246"/>
      <c r="C56" s="246"/>
      <c r="D56" s="310" t="s">
        <v>510</v>
      </c>
      <c r="E56" s="311"/>
      <c r="F56" s="311"/>
      <c r="G56" s="243">
        <v>1</v>
      </c>
      <c r="H56" s="243">
        <v>2</v>
      </c>
      <c r="I56" s="243">
        <v>3</v>
      </c>
      <c r="J56" s="293"/>
      <c r="K56" s="297"/>
      <c r="L56" s="227"/>
      <c r="M56" s="242">
        <f t="shared" si="8"/>
        <v>150</v>
      </c>
    </row>
    <row r="57" spans="1:13" x14ac:dyDescent="0.3">
      <c r="A57" s="246"/>
      <c r="B57" s="246"/>
      <c r="C57" s="246"/>
      <c r="D57" s="310" t="s">
        <v>511</v>
      </c>
      <c r="E57" s="311"/>
      <c r="F57" s="311"/>
      <c r="G57" s="243">
        <v>1</v>
      </c>
      <c r="H57" s="243">
        <v>2</v>
      </c>
      <c r="I57" s="243">
        <v>3</v>
      </c>
      <c r="J57" s="293"/>
      <c r="K57" s="297"/>
      <c r="L57" s="227"/>
      <c r="M57" s="242">
        <f t="shared" si="8"/>
        <v>150</v>
      </c>
    </row>
    <row r="58" spans="1:13" x14ac:dyDescent="0.3">
      <c r="A58" s="246"/>
      <c r="B58" s="246"/>
      <c r="C58" s="246"/>
      <c r="D58" s="310" t="s">
        <v>512</v>
      </c>
      <c r="E58" s="311"/>
      <c r="F58" s="311"/>
      <c r="G58" s="243">
        <v>1</v>
      </c>
      <c r="H58" s="243">
        <v>2</v>
      </c>
      <c r="I58" s="243">
        <v>4</v>
      </c>
      <c r="J58" s="293"/>
      <c r="K58" s="297"/>
      <c r="L58" s="227"/>
      <c r="M58" s="242">
        <f t="shared" si="8"/>
        <v>200</v>
      </c>
    </row>
    <row r="59" spans="1:13" x14ac:dyDescent="0.3">
      <c r="A59" s="246"/>
      <c r="B59" s="246"/>
      <c r="C59" s="246"/>
      <c r="D59" s="310" t="s">
        <v>513</v>
      </c>
      <c r="E59" s="311"/>
      <c r="F59" s="311"/>
      <c r="G59" s="243">
        <v>1</v>
      </c>
      <c r="H59" s="243">
        <v>3</v>
      </c>
      <c r="I59" s="243">
        <v>6</v>
      </c>
      <c r="J59" s="293"/>
      <c r="K59" s="297"/>
      <c r="L59" s="227"/>
      <c r="M59" s="242">
        <f t="shared" si="8"/>
        <v>450</v>
      </c>
    </row>
    <row r="60" spans="1:13" x14ac:dyDescent="0.3">
      <c r="A60" s="246"/>
      <c r="B60" s="246"/>
      <c r="C60" s="246"/>
      <c r="D60" s="545" t="s">
        <v>517</v>
      </c>
      <c r="E60" s="546"/>
      <c r="F60" s="546"/>
      <c r="G60" s="402">
        <v>1</v>
      </c>
      <c r="H60" s="243">
        <v>3</v>
      </c>
      <c r="I60" s="243">
        <v>5</v>
      </c>
      <c r="J60" s="293" t="s">
        <v>518</v>
      </c>
      <c r="K60" s="297"/>
      <c r="L60" s="227"/>
      <c r="M60" s="242">
        <v>5450</v>
      </c>
    </row>
    <row r="61" spans="1:13" ht="16.2" thickBot="1" x14ac:dyDescent="0.35">
      <c r="A61" s="246"/>
      <c r="B61" s="246"/>
      <c r="C61" s="246"/>
      <c r="D61" s="312" t="s">
        <v>514</v>
      </c>
      <c r="E61" s="313"/>
      <c r="F61" s="313"/>
      <c r="G61" s="314">
        <v>1</v>
      </c>
      <c r="H61" s="314">
        <v>2</v>
      </c>
      <c r="I61" s="314">
        <v>4</v>
      </c>
      <c r="J61" s="302" t="s">
        <v>524</v>
      </c>
      <c r="K61" s="307"/>
      <c r="L61" s="227"/>
      <c r="M61" s="251">
        <f>25*G61*H61*I61*LEFT(J61,2)</f>
        <v>7600</v>
      </c>
    </row>
    <row r="62" spans="1:13" ht="16.2" thickTop="1" x14ac:dyDescent="0.3"/>
  </sheetData>
  <sortState xmlns:xlrd2="http://schemas.microsoft.com/office/spreadsheetml/2017/richdata2" ref="D34:M55">
    <sortCondition ref="H34:H55"/>
    <sortCondition ref="D34:D55"/>
  </sortState>
  <conditionalFormatting sqref="I3:I5">
    <cfRule type="cellIs" dxfId="27" priority="26" operator="equal">
      <formula>20</formula>
    </cfRule>
    <cfRule type="cellIs" dxfId="26" priority="27" operator="equal">
      <formula>1</formula>
    </cfRule>
  </conditionalFormatting>
  <conditionalFormatting sqref="I17 I19">
    <cfRule type="cellIs" dxfId="25" priority="24" operator="equal">
      <formula>20</formula>
    </cfRule>
    <cfRule type="cellIs" dxfId="24" priority="25" operator="equal">
      <formula>1</formula>
    </cfRule>
  </conditionalFormatting>
  <conditionalFormatting sqref="I20">
    <cfRule type="cellIs" dxfId="23" priority="22" operator="equal">
      <formula>20</formula>
    </cfRule>
    <cfRule type="cellIs" dxfId="22" priority="23" operator="equal">
      <formula>1</formula>
    </cfRule>
  </conditionalFormatting>
  <conditionalFormatting sqref="I9:I10">
    <cfRule type="cellIs" dxfId="21" priority="20" operator="equal">
      <formula>20</formula>
    </cfRule>
    <cfRule type="cellIs" dxfId="20" priority="21" operator="equal">
      <formula>1</formula>
    </cfRule>
  </conditionalFormatting>
  <conditionalFormatting sqref="I11">
    <cfRule type="cellIs" dxfId="19" priority="18" operator="equal">
      <formula>20</formula>
    </cfRule>
    <cfRule type="cellIs" dxfId="18" priority="19" operator="equal">
      <formula>1</formula>
    </cfRule>
  </conditionalFormatting>
  <conditionalFormatting sqref="I6">
    <cfRule type="cellIs" dxfId="17" priority="16" operator="equal">
      <formula>20</formula>
    </cfRule>
    <cfRule type="cellIs" dxfId="16" priority="17" operator="equal">
      <formula>1</formula>
    </cfRule>
  </conditionalFormatting>
  <conditionalFormatting sqref="G38:G61">
    <cfRule type="cellIs" dxfId="15" priority="15" operator="equal">
      <formula>0</formula>
    </cfRule>
  </conditionalFormatting>
  <conditionalFormatting sqref="I14 I16">
    <cfRule type="cellIs" dxfId="14" priority="10" operator="equal">
      <formula>20</formula>
    </cfRule>
    <cfRule type="cellIs" dxfId="13" priority="11" operator="equal">
      <formula>1</formula>
    </cfRule>
  </conditionalFormatting>
  <conditionalFormatting sqref="I15">
    <cfRule type="cellIs" dxfId="12" priority="8" operator="equal">
      <formula>20</formula>
    </cfRule>
    <cfRule type="cellIs" dxfId="11" priority="9" operator="equal">
      <formula>1</formula>
    </cfRule>
  </conditionalFormatting>
  <conditionalFormatting sqref="I6 I19 I9:I10">
    <cfRule type="cellIs" dxfId="10" priority="7" operator="equal">
      <formula>19</formula>
    </cfRule>
  </conditionalFormatting>
  <conditionalFormatting sqref="I18">
    <cfRule type="cellIs" dxfId="9" priority="5" operator="equal">
      <formula>20</formula>
    </cfRule>
    <cfRule type="cellIs" dxfId="8" priority="6" operator="equal">
      <formula>1</formula>
    </cfRule>
  </conditionalFormatting>
  <conditionalFormatting sqref="I7">
    <cfRule type="cellIs" dxfId="7" priority="3" operator="equal">
      <formula>20</formula>
    </cfRule>
    <cfRule type="cellIs" dxfId="6" priority="4" operator="equal">
      <formula>1</formula>
    </cfRule>
  </conditionalFormatting>
  <conditionalFormatting sqref="I8">
    <cfRule type="cellIs" dxfId="5" priority="1" operator="equal">
      <formula>20</formula>
    </cfRule>
    <cfRule type="cellIs" dxfId="4" priority="2" operator="equal">
      <formula>1</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7"/>
  <sheetViews>
    <sheetView showGridLines="0" workbookViewId="0"/>
  </sheetViews>
  <sheetFormatPr defaultRowHeight="15.6" x14ac:dyDescent="0.3"/>
  <cols>
    <col min="1" max="1" width="30.8984375" bestFit="1" customWidth="1"/>
    <col min="2" max="2" width="5.8984375" bestFit="1" customWidth="1"/>
    <col min="3" max="3" width="5.3984375" bestFit="1" customWidth="1"/>
    <col min="4" max="5" width="25.5" customWidth="1"/>
    <col min="6" max="6" width="2.796875" customWidth="1"/>
    <col min="7" max="7" width="9.796875" bestFit="1" customWidth="1"/>
  </cols>
  <sheetData>
    <row r="1" spans="1:7" ht="23.4" thickBot="1" x14ac:dyDescent="0.35">
      <c r="A1" s="226" t="s">
        <v>312</v>
      </c>
      <c r="B1" s="226"/>
      <c r="C1" s="316"/>
      <c r="D1" s="226"/>
      <c r="E1" s="226"/>
      <c r="F1" s="227"/>
      <c r="G1" s="227"/>
    </row>
    <row r="2" spans="1:7" ht="16.2" thickTop="1" x14ac:dyDescent="0.3">
      <c r="A2" s="469" t="s">
        <v>313</v>
      </c>
      <c r="B2" s="469" t="s">
        <v>305</v>
      </c>
      <c r="C2" s="470" t="s">
        <v>275</v>
      </c>
      <c r="D2" s="471" t="s">
        <v>314</v>
      </c>
      <c r="E2" s="472" t="s">
        <v>16</v>
      </c>
      <c r="F2" s="227"/>
      <c r="G2" s="473" t="s">
        <v>277</v>
      </c>
    </row>
    <row r="3" spans="1:7" x14ac:dyDescent="0.3">
      <c r="A3" s="352" t="s">
        <v>453</v>
      </c>
      <c r="B3" s="336">
        <v>2</v>
      </c>
      <c r="C3" s="324">
        <f>0.5*B3</f>
        <v>1</v>
      </c>
      <c r="D3" s="474"/>
      <c r="E3" s="326"/>
      <c r="F3" s="227"/>
      <c r="G3" s="413">
        <v>0</v>
      </c>
    </row>
    <row r="4" spans="1:7" x14ac:dyDescent="0.3">
      <c r="A4" s="352" t="s">
        <v>361</v>
      </c>
      <c r="B4" s="353">
        <v>1</v>
      </c>
      <c r="C4" s="324" t="s">
        <v>362</v>
      </c>
      <c r="D4" s="354"/>
      <c r="E4" s="326"/>
      <c r="F4" s="227"/>
      <c r="G4" s="328" t="s">
        <v>288</v>
      </c>
    </row>
    <row r="5" spans="1:7" x14ac:dyDescent="0.3">
      <c r="A5" s="352" t="s">
        <v>515</v>
      </c>
      <c r="B5" s="353">
        <v>1</v>
      </c>
      <c r="C5" s="324">
        <v>2</v>
      </c>
      <c r="D5" s="354"/>
      <c r="E5" s="326"/>
      <c r="F5" s="227"/>
      <c r="G5" s="413">
        <f>8000+32000</f>
        <v>40000</v>
      </c>
    </row>
    <row r="6" spans="1:7" x14ac:dyDescent="0.3">
      <c r="A6" s="322" t="s">
        <v>335</v>
      </c>
      <c r="B6" s="323">
        <v>1</v>
      </c>
      <c r="C6" s="324">
        <v>0</v>
      </c>
      <c r="D6" s="474" t="s">
        <v>336</v>
      </c>
      <c r="E6" s="326"/>
      <c r="F6" s="227"/>
      <c r="G6" s="413">
        <v>1000</v>
      </c>
    </row>
    <row r="7" spans="1:7" x14ac:dyDescent="0.3">
      <c r="A7" s="322" t="s">
        <v>516</v>
      </c>
      <c r="B7" s="323">
        <v>1</v>
      </c>
      <c r="C7" s="324">
        <v>1</v>
      </c>
      <c r="D7" s="474"/>
      <c r="E7" s="326"/>
      <c r="F7" s="227"/>
      <c r="G7" s="413">
        <v>50000</v>
      </c>
    </row>
    <row r="8" spans="1:7" ht="16.2" x14ac:dyDescent="0.3">
      <c r="A8" s="322" t="s">
        <v>337</v>
      </c>
      <c r="B8" s="323">
        <v>1</v>
      </c>
      <c r="C8" s="324">
        <v>0.5</v>
      </c>
      <c r="D8" s="474" t="s">
        <v>338</v>
      </c>
      <c r="E8" s="326"/>
      <c r="F8" s="227"/>
      <c r="G8" s="413">
        <v>6000</v>
      </c>
    </row>
    <row r="9" spans="1:7" x14ac:dyDescent="0.3">
      <c r="A9" s="352" t="s">
        <v>479</v>
      </c>
      <c r="B9" s="336">
        <v>1</v>
      </c>
      <c r="C9" s="324">
        <v>1</v>
      </c>
      <c r="D9" s="354"/>
      <c r="E9" s="326"/>
      <c r="F9" s="227"/>
      <c r="G9" s="413">
        <v>36000</v>
      </c>
    </row>
    <row r="10" spans="1:7" x14ac:dyDescent="0.3">
      <c r="A10" s="322" t="s">
        <v>326</v>
      </c>
      <c r="B10" s="323">
        <v>1</v>
      </c>
      <c r="C10" s="324">
        <v>0</v>
      </c>
      <c r="D10" s="354"/>
      <c r="E10" s="326"/>
      <c r="F10" s="227"/>
      <c r="G10" s="413">
        <v>4000</v>
      </c>
    </row>
    <row r="11" spans="1:7" x14ac:dyDescent="0.3">
      <c r="A11" s="322" t="s">
        <v>481</v>
      </c>
      <c r="B11" s="323">
        <v>1</v>
      </c>
      <c r="C11" s="324">
        <v>1</v>
      </c>
      <c r="D11" s="354"/>
      <c r="E11" s="326"/>
      <c r="F11" s="227"/>
      <c r="G11" s="413">
        <v>750</v>
      </c>
    </row>
    <row r="12" spans="1:7" x14ac:dyDescent="0.3">
      <c r="A12" s="322" t="s">
        <v>327</v>
      </c>
      <c r="B12" s="323">
        <v>1</v>
      </c>
      <c r="C12" s="324">
        <v>0</v>
      </c>
      <c r="D12" s="474" t="s">
        <v>328</v>
      </c>
      <c r="E12" s="326"/>
      <c r="F12" s="227"/>
      <c r="G12" s="413">
        <f>8000*B12</f>
        <v>8000</v>
      </c>
    </row>
    <row r="13" spans="1:7" x14ac:dyDescent="0.3">
      <c r="A13" s="322" t="s">
        <v>478</v>
      </c>
      <c r="B13" s="323">
        <v>1</v>
      </c>
      <c r="C13" s="324">
        <v>0</v>
      </c>
      <c r="D13" s="474"/>
      <c r="E13" s="326"/>
      <c r="F13" s="227"/>
      <c r="G13" s="413">
        <v>4000</v>
      </c>
    </row>
    <row r="14" spans="1:7" x14ac:dyDescent="0.3">
      <c r="A14" s="559" t="s">
        <v>442</v>
      </c>
      <c r="B14" s="560">
        <v>0</v>
      </c>
      <c r="C14" s="561">
        <v>1</v>
      </c>
      <c r="D14" s="562"/>
      <c r="E14" s="563"/>
      <c r="F14" s="227"/>
      <c r="G14" s="564" t="s">
        <v>526</v>
      </c>
    </row>
    <row r="15" spans="1:7" x14ac:dyDescent="0.3">
      <c r="A15" s="352" t="s">
        <v>443</v>
      </c>
      <c r="B15" s="353">
        <v>1</v>
      </c>
      <c r="C15" s="324">
        <v>0</v>
      </c>
      <c r="D15" s="354" t="s">
        <v>491</v>
      </c>
      <c r="E15" s="326"/>
      <c r="G15" s="413">
        <v>2200</v>
      </c>
    </row>
    <row r="16" spans="1:7" x14ac:dyDescent="0.3">
      <c r="A16" s="322" t="s">
        <v>480</v>
      </c>
      <c r="B16" s="531">
        <v>1</v>
      </c>
      <c r="C16" s="324">
        <v>0</v>
      </c>
      <c r="D16" s="325"/>
      <c r="E16" s="326"/>
      <c r="F16" s="227"/>
      <c r="G16" s="413">
        <v>180000</v>
      </c>
    </row>
    <row r="17" spans="1:7" x14ac:dyDescent="0.3">
      <c r="A17" s="352" t="s">
        <v>315</v>
      </c>
      <c r="B17" s="336">
        <v>2</v>
      </c>
      <c r="C17" s="337">
        <f>0.5*B17</f>
        <v>1</v>
      </c>
      <c r="D17" s="350"/>
      <c r="E17" s="351"/>
      <c r="F17" s="227"/>
      <c r="G17" s="488">
        <v>0</v>
      </c>
    </row>
    <row r="18" spans="1:7" ht="16.2" thickBot="1" x14ac:dyDescent="0.35">
      <c r="A18" s="329" t="s">
        <v>441</v>
      </c>
      <c r="B18" s="330">
        <v>1</v>
      </c>
      <c r="C18" s="331">
        <v>0</v>
      </c>
      <c r="D18" s="332"/>
      <c r="E18" s="333"/>
      <c r="F18" s="227"/>
      <c r="G18" s="425">
        <v>9000</v>
      </c>
    </row>
    <row r="19" spans="1:7" ht="24" thickTop="1" thickBot="1" x14ac:dyDescent="0.35">
      <c r="A19" s="226" t="s">
        <v>316</v>
      </c>
      <c r="B19" s="226"/>
      <c r="C19" s="334"/>
      <c r="D19" s="226"/>
      <c r="E19" s="335"/>
      <c r="F19" s="227"/>
      <c r="G19" s="227"/>
    </row>
    <row r="20" spans="1:7" ht="16.8" thickTop="1" thickBot="1" x14ac:dyDescent="0.35">
      <c r="A20" s="317" t="s">
        <v>313</v>
      </c>
      <c r="B20" s="317" t="s">
        <v>305</v>
      </c>
      <c r="C20" s="318" t="s">
        <v>275</v>
      </c>
      <c r="D20" s="319" t="s">
        <v>314</v>
      </c>
      <c r="E20" s="320" t="s">
        <v>16</v>
      </c>
      <c r="G20" s="321" t="s">
        <v>277</v>
      </c>
    </row>
    <row r="21" spans="1:7" x14ac:dyDescent="0.3">
      <c r="A21" s="322" t="s">
        <v>329</v>
      </c>
      <c r="B21" s="336">
        <v>1</v>
      </c>
      <c r="C21" s="324">
        <v>3</v>
      </c>
      <c r="D21" s="338" t="s">
        <v>331</v>
      </c>
      <c r="E21" s="412" t="s">
        <v>341</v>
      </c>
      <c r="F21" s="227"/>
      <c r="G21" s="327">
        <v>2800</v>
      </c>
    </row>
    <row r="22" spans="1:7" x14ac:dyDescent="0.3">
      <c r="A22" s="322" t="s">
        <v>333</v>
      </c>
      <c r="B22" s="336">
        <v>1</v>
      </c>
      <c r="C22" s="324">
        <v>1</v>
      </c>
      <c r="D22" s="325" t="s">
        <v>334</v>
      </c>
      <c r="E22" s="326"/>
      <c r="F22" s="227"/>
      <c r="G22" s="327">
        <v>9000</v>
      </c>
    </row>
    <row r="23" spans="1:7" x14ac:dyDescent="0.3">
      <c r="A23" s="322" t="s">
        <v>450</v>
      </c>
      <c r="B23" s="336">
        <v>1</v>
      </c>
      <c r="C23" s="324">
        <v>0</v>
      </c>
      <c r="D23" s="325"/>
      <c r="E23" s="326"/>
      <c r="F23" s="227"/>
      <c r="G23" s="327">
        <v>0</v>
      </c>
    </row>
    <row r="24" spans="1:7" x14ac:dyDescent="0.3">
      <c r="A24" s="322" t="s">
        <v>318</v>
      </c>
      <c r="B24" s="336">
        <v>1</v>
      </c>
      <c r="C24" s="324">
        <v>10</v>
      </c>
      <c r="D24" s="325"/>
      <c r="E24" s="326"/>
      <c r="F24" s="227"/>
      <c r="G24" s="327">
        <v>1</v>
      </c>
    </row>
    <row r="25" spans="1:7" x14ac:dyDescent="0.3">
      <c r="A25" s="322" t="s">
        <v>452</v>
      </c>
      <c r="B25" s="336">
        <v>1</v>
      </c>
      <c r="C25" s="324">
        <v>0</v>
      </c>
      <c r="D25" s="325"/>
      <c r="E25" s="326"/>
      <c r="F25" s="227"/>
      <c r="G25" s="327">
        <v>1</v>
      </c>
    </row>
    <row r="26" spans="1:7" x14ac:dyDescent="0.3">
      <c r="A26" s="322" t="s">
        <v>451</v>
      </c>
      <c r="B26" s="336">
        <v>1</v>
      </c>
      <c r="C26" s="324">
        <v>0</v>
      </c>
      <c r="D26" s="325"/>
      <c r="E26" s="326"/>
      <c r="F26" s="227"/>
      <c r="G26" s="327">
        <v>8</v>
      </c>
    </row>
    <row r="27" spans="1:7" x14ac:dyDescent="0.3">
      <c r="A27" s="322" t="s">
        <v>454</v>
      </c>
      <c r="B27" s="336">
        <v>1</v>
      </c>
      <c r="C27" s="324">
        <v>0.5</v>
      </c>
      <c r="D27" s="338"/>
      <c r="E27" s="326"/>
      <c r="F27" s="227"/>
      <c r="G27" s="327">
        <v>1</v>
      </c>
    </row>
    <row r="28" spans="1:7" x14ac:dyDescent="0.3">
      <c r="A28" s="322" t="s">
        <v>317</v>
      </c>
      <c r="B28" s="336">
        <v>1</v>
      </c>
      <c r="C28" s="324">
        <f>B28</f>
        <v>1</v>
      </c>
      <c r="D28" s="325"/>
      <c r="E28" s="326"/>
      <c r="F28" s="227"/>
      <c r="G28" s="327">
        <v>2</v>
      </c>
    </row>
    <row r="29" spans="1:7" x14ac:dyDescent="0.3">
      <c r="A29" s="322" t="s">
        <v>330</v>
      </c>
      <c r="B29" s="336">
        <v>1</v>
      </c>
      <c r="C29" s="324">
        <v>1</v>
      </c>
      <c r="D29" s="325" t="s">
        <v>332</v>
      </c>
      <c r="E29" s="326"/>
      <c r="F29" s="227"/>
      <c r="G29" s="327">
        <v>1500</v>
      </c>
    </row>
    <row r="30" spans="1:7" x14ac:dyDescent="0.3">
      <c r="A30" s="322" t="s">
        <v>319</v>
      </c>
      <c r="B30" s="336">
        <v>10</v>
      </c>
      <c r="C30" s="324">
        <f>B30</f>
        <v>10</v>
      </c>
      <c r="D30" s="325"/>
      <c r="E30" s="326"/>
      <c r="F30" s="227"/>
      <c r="G30" s="327">
        <f>0.05*B30</f>
        <v>0.5</v>
      </c>
    </row>
    <row r="31" spans="1:7" x14ac:dyDescent="0.3">
      <c r="A31" s="483" t="s">
        <v>320</v>
      </c>
      <c r="B31" s="484">
        <v>1</v>
      </c>
      <c r="C31" s="337">
        <v>4</v>
      </c>
      <c r="D31" s="485"/>
      <c r="E31" s="351"/>
      <c r="F31" s="227"/>
      <c r="G31" s="486">
        <v>1</v>
      </c>
    </row>
    <row r="32" spans="1:7" ht="16.2" thickBot="1" x14ac:dyDescent="0.35">
      <c r="A32" s="329" t="s">
        <v>464</v>
      </c>
      <c r="B32" s="339">
        <v>600</v>
      </c>
      <c r="C32" s="331">
        <f>B32/100</f>
        <v>6</v>
      </c>
      <c r="D32" s="332"/>
      <c r="E32" s="333"/>
      <c r="F32" s="227"/>
      <c r="G32" s="425">
        <f>B32</f>
        <v>600</v>
      </c>
    </row>
    <row r="33" spans="1:7" ht="22.8" thickTop="1" thickBot="1" x14ac:dyDescent="0.35">
      <c r="A33" s="552"/>
      <c r="B33" s="552"/>
      <c r="C33" s="552"/>
      <c r="D33" s="553" t="s">
        <v>523</v>
      </c>
      <c r="E33" s="554"/>
      <c r="F33" s="246"/>
      <c r="G33" s="246">
        <v>2000</v>
      </c>
    </row>
    <row r="34" spans="1:7" ht="16.8" thickTop="1" thickBot="1" x14ac:dyDescent="0.35">
      <c r="A34" s="317" t="s">
        <v>313</v>
      </c>
      <c r="B34" s="317" t="s">
        <v>305</v>
      </c>
      <c r="C34" s="318" t="s">
        <v>275</v>
      </c>
      <c r="D34" s="319" t="s">
        <v>314</v>
      </c>
      <c r="E34" s="320" t="s">
        <v>16</v>
      </c>
      <c r="F34" s="246"/>
      <c r="G34" s="321" t="s">
        <v>277</v>
      </c>
    </row>
    <row r="35" spans="1:7" x14ac:dyDescent="0.3">
      <c r="A35" s="417" t="s">
        <v>395</v>
      </c>
      <c r="B35" s="418" t="s">
        <v>394</v>
      </c>
      <c r="C35" s="419">
        <v>8</v>
      </c>
      <c r="D35" s="420"/>
      <c r="E35" s="411"/>
      <c r="F35" s="246"/>
      <c r="G35" s="327" t="s">
        <v>414</v>
      </c>
    </row>
    <row r="36" spans="1:7" x14ac:dyDescent="0.3">
      <c r="A36" s="417" t="s">
        <v>472</v>
      </c>
      <c r="B36" s="418">
        <v>1</v>
      </c>
      <c r="C36" s="419">
        <v>1</v>
      </c>
      <c r="D36" s="420" t="s">
        <v>473</v>
      </c>
      <c r="E36" s="411"/>
      <c r="F36" s="246"/>
      <c r="G36" s="327" t="s">
        <v>484</v>
      </c>
    </row>
    <row r="37" spans="1:7" x14ac:dyDescent="0.3">
      <c r="A37" s="417" t="s">
        <v>485</v>
      </c>
      <c r="B37" s="418">
        <v>0</v>
      </c>
      <c r="C37" s="419" t="s">
        <v>288</v>
      </c>
      <c r="D37" s="420"/>
      <c r="E37" s="411"/>
      <c r="F37" s="246"/>
      <c r="G37" s="413">
        <v>30000</v>
      </c>
    </row>
    <row r="38" spans="1:7" x14ac:dyDescent="0.3">
      <c r="A38" s="417" t="s">
        <v>393</v>
      </c>
      <c r="B38" s="418" t="s">
        <v>394</v>
      </c>
      <c r="C38" s="419">
        <v>16</v>
      </c>
      <c r="D38" s="420"/>
      <c r="E38" s="411"/>
      <c r="F38" s="246"/>
      <c r="G38" s="327" t="s">
        <v>414</v>
      </c>
    </row>
    <row r="39" spans="1:7" x14ac:dyDescent="0.3">
      <c r="A39" s="417" t="s">
        <v>392</v>
      </c>
      <c r="B39" s="418" t="s">
        <v>394</v>
      </c>
      <c r="C39" s="419">
        <v>22</v>
      </c>
      <c r="D39" s="420"/>
      <c r="E39" s="411"/>
      <c r="F39" s="246"/>
      <c r="G39" s="327" t="s">
        <v>414</v>
      </c>
    </row>
    <row r="40" spans="1:7" x14ac:dyDescent="0.3">
      <c r="A40" s="421" t="s">
        <v>397</v>
      </c>
      <c r="B40" s="418" t="s">
        <v>394</v>
      </c>
      <c r="C40" s="337">
        <v>10</v>
      </c>
      <c r="D40" s="350"/>
      <c r="E40" s="351"/>
      <c r="F40" s="246"/>
      <c r="G40" s="413" t="s">
        <v>414</v>
      </c>
    </row>
    <row r="41" spans="1:7" x14ac:dyDescent="0.3">
      <c r="A41" s="421" t="s">
        <v>396</v>
      </c>
      <c r="B41" s="418" t="s">
        <v>394</v>
      </c>
      <c r="C41" s="337">
        <v>1</v>
      </c>
      <c r="D41" s="350"/>
      <c r="E41" s="351"/>
      <c r="F41" s="246"/>
      <c r="G41" s="413" t="s">
        <v>414</v>
      </c>
    </row>
    <row r="42" spans="1:7" x14ac:dyDescent="0.3">
      <c r="A42" s="421" t="s">
        <v>398</v>
      </c>
      <c r="B42" s="487" t="s">
        <v>394</v>
      </c>
      <c r="C42" s="337">
        <v>12</v>
      </c>
      <c r="D42" s="350"/>
      <c r="E42" s="351"/>
      <c r="F42" s="246"/>
      <c r="G42" s="488">
        <v>0</v>
      </c>
    </row>
    <row r="43" spans="1:7" ht="16.2" thickBot="1" x14ac:dyDescent="0.35">
      <c r="A43" s="422" t="s">
        <v>464</v>
      </c>
      <c r="B43" s="423">
        <v>0</v>
      </c>
      <c r="C43" s="331">
        <f>B43/100</f>
        <v>0</v>
      </c>
      <c r="D43" s="424"/>
      <c r="E43" s="333"/>
      <c r="F43" s="246"/>
      <c r="G43" s="425">
        <f>B43</f>
        <v>0</v>
      </c>
    </row>
    <row r="44" spans="1:7" ht="16.2" thickTop="1" x14ac:dyDescent="0.3">
      <c r="A44" s="111" t="s">
        <v>449</v>
      </c>
      <c r="B44" s="468">
        <f>C44/500</f>
        <v>0.14000000000000001</v>
      </c>
      <c r="C44" s="253">
        <f>SUM(C35:C43)</f>
        <v>70</v>
      </c>
      <c r="D44" s="227"/>
      <c r="E44" s="227"/>
      <c r="F44" s="227"/>
      <c r="G44" s="227"/>
    </row>
    <row r="45" spans="1:7" x14ac:dyDescent="0.3">
      <c r="A45" s="246"/>
      <c r="B45" s="246"/>
      <c r="C45" s="253"/>
      <c r="D45" s="227"/>
      <c r="E45" s="111" t="s">
        <v>448</v>
      </c>
      <c r="F45" s="227"/>
      <c r="G45" s="315">
        <f>SUM(G3:G43)</f>
        <v>386864.5</v>
      </c>
    </row>
    <row r="46" spans="1:7" x14ac:dyDescent="0.3">
      <c r="E46" s="111" t="s">
        <v>321</v>
      </c>
      <c r="F46" s="227"/>
      <c r="G46" s="315">
        <f>SUM(Martial!M3:M59,Equipment!G3:G43)</f>
        <v>561282.5</v>
      </c>
    </row>
    <row r="47" spans="1:7" x14ac:dyDescent="0.3">
      <c r="E47" s="111" t="s">
        <v>447</v>
      </c>
      <c r="F47" s="246"/>
      <c r="G47" s="315">
        <v>580000</v>
      </c>
    </row>
  </sheetData>
  <sortState xmlns:xlrd2="http://schemas.microsoft.com/office/spreadsheetml/2017/richdata2" ref="A3:G18">
    <sortCondition ref="A3:A18"/>
  </sortState>
  <conditionalFormatting sqref="G46">
    <cfRule type="cellIs" dxfId="3" priority="5" operator="lessThan">
      <formula>0</formula>
    </cfRule>
  </conditionalFormatting>
  <conditionalFormatting sqref="G47">
    <cfRule type="cellIs" dxfId="2" priority="4" operator="lessThan">
      <formula>0</formula>
    </cfRule>
  </conditionalFormatting>
  <conditionalFormatting sqref="G45">
    <cfRule type="cellIs" dxfId="1" priority="3" operator="lessThan">
      <formula>0</formula>
    </cfRule>
  </conditionalFormatting>
  <conditionalFormatting sqref="B44">
    <cfRule type="cellIs" dxfId="0" priority="1" operator="greaterThan">
      <formula>0.99</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Personal File</vt:lpstr>
      <vt:lpstr>Skills</vt:lpstr>
      <vt:lpstr>Prayerbook</vt:lpstr>
      <vt:lpstr>Prayers</vt:lpstr>
      <vt:lpstr>Feats</vt:lpstr>
      <vt:lpstr>Martial</vt:lpstr>
      <vt:lpstr>Equipment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Álvarez</dc:creator>
  <cp:lastModifiedBy>Alexis Álvarez</cp:lastModifiedBy>
  <dcterms:created xsi:type="dcterms:W3CDTF">2017-07-27T14:49:21Z</dcterms:created>
  <dcterms:modified xsi:type="dcterms:W3CDTF">2023-02-25T22:02:59Z</dcterms:modified>
</cp:coreProperties>
</file>