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mc:AlternateContent xmlns:mc="http://schemas.openxmlformats.org/markup-compatibility/2006">
    <mc:Choice Requires="x15">
      <x15ac:absPath xmlns:x15ac="http://schemas.microsoft.com/office/spreadsheetml/2010/11/ac" url="C:\A\Juegos\NLM\PCs\"/>
    </mc:Choice>
  </mc:AlternateContent>
  <xr:revisionPtr revIDLastSave="0" documentId="13_ncr:1_{9FCEDD4F-5367-48F6-82C1-1E400968EAC2}"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6"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File'!$A$1:$H$27</definedName>
    <definedName name="_xlnm.Print_Area" localSheetId="1">Skills!$A$1:$K$29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6" l="1"/>
  <c r="H15" i="6"/>
  <c r="I14" i="6"/>
  <c r="J14" i="6" l="1"/>
  <c r="B17" i="4" l="1"/>
  <c r="B16" i="4"/>
  <c r="B15" i="4"/>
  <c r="B14" i="4"/>
  <c r="B13" i="4"/>
  <c r="B12" i="4"/>
  <c r="C46" i="19"/>
  <c r="B46" i="19" s="1"/>
  <c r="G3" i="19" l="1"/>
  <c r="B4" i="15" l="1"/>
  <c r="B9" i="4"/>
  <c r="K18" i="6"/>
  <c r="I18" i="6"/>
  <c r="K4" i="6"/>
  <c r="I4" i="6"/>
  <c r="C7" i="19" l="1"/>
  <c r="M16" i="6" l="1"/>
  <c r="K19" i="6"/>
  <c r="I19" i="6"/>
  <c r="M26" i="6" l="1"/>
  <c r="B26" i="6"/>
  <c r="B3" i="15" l="1"/>
  <c r="F3" i="15"/>
  <c r="H3" i="15"/>
  <c r="F4" i="15"/>
  <c r="H4" i="15"/>
  <c r="B5" i="15"/>
  <c r="F5" i="15"/>
  <c r="H5" i="15"/>
  <c r="H6" i="15"/>
  <c r="H7" i="15"/>
  <c r="H8" i="15"/>
  <c r="H9" i="15"/>
  <c r="H10" i="15"/>
  <c r="H11" i="15"/>
  <c r="H12" i="15"/>
  <c r="H13" i="15"/>
  <c r="H14" i="15"/>
  <c r="H15" i="15"/>
  <c r="H16" i="15"/>
  <c r="H17" i="15"/>
  <c r="H18" i="15"/>
  <c r="H19" i="15"/>
  <c r="H20" i="15"/>
  <c r="H21" i="15"/>
  <c r="H22" i="15"/>
  <c r="H23" i="15"/>
  <c r="H24" i="15"/>
  <c r="H25" i="15"/>
  <c r="H26" i="15"/>
  <c r="F27" i="15"/>
  <c r="H27" i="15"/>
  <c r="H28" i="15"/>
  <c r="H29" i="15"/>
  <c r="K20" i="6" l="1"/>
  <c r="I20" i="6"/>
  <c r="G35" i="19" l="1"/>
  <c r="C35" i="19"/>
  <c r="E13" i="4" s="1"/>
  <c r="C34" i="19"/>
  <c r="G47" i="19" l="1"/>
  <c r="B44" i="15"/>
  <c r="H39" i="15"/>
  <c r="H32" i="15"/>
  <c r="K22" i="6" l="1"/>
  <c r="K21" i="6"/>
  <c r="K17" i="6"/>
  <c r="K16" i="6"/>
  <c r="K3" i="6"/>
  <c r="K5" i="6"/>
  <c r="K9" i="6"/>
  <c r="C9" i="19" l="1"/>
  <c r="I8" i="6" l="1"/>
  <c r="F38" i="15" l="1"/>
  <c r="H42" i="15" l="1"/>
  <c r="H41" i="15"/>
  <c r="H40" i="15"/>
  <c r="H37" i="15"/>
  <c r="H36" i="15"/>
  <c r="H35" i="15"/>
  <c r="H34" i="15"/>
  <c r="H33" i="15"/>
  <c r="H31" i="15"/>
  <c r="H30" i="15"/>
  <c r="E11" i="4" l="1"/>
  <c r="M38" i="6" l="1"/>
  <c r="M43" i="6" l="1"/>
  <c r="I15" i="6" l="1"/>
  <c r="J15" i="6" l="1"/>
  <c r="I9" i="6" l="1"/>
  <c r="I17" i="6" l="1"/>
  <c r="M44" i="6" l="1"/>
  <c r="M42" i="6"/>
  <c r="M41" i="6"/>
  <c r="M40" i="6"/>
  <c r="G48" i="19" s="1"/>
  <c r="M39" i="6"/>
  <c r="M37" i="6"/>
  <c r="M36" i="6"/>
  <c r="I10" i="6" l="1"/>
  <c r="H38" i="15" l="1"/>
  <c r="I13" i="6" l="1"/>
  <c r="I21" i="6" l="1"/>
  <c r="I3" i="6" l="1"/>
  <c r="I5" i="6"/>
  <c r="I16" i="6" l="1"/>
  <c r="I22" i="6" l="1"/>
  <c r="C17" i="4" l="1"/>
  <c r="C16" i="4"/>
  <c r="C15" i="4"/>
  <c r="E64" i="15" s="1"/>
  <c r="C14" i="4"/>
  <c r="C13" i="4"/>
  <c r="C12" i="4"/>
  <c r="C4" i="6" s="1"/>
  <c r="E15" i="4" l="1"/>
  <c r="H19" i="6"/>
  <c r="J19" i="6" s="1"/>
  <c r="D18" i="15"/>
  <c r="D13" i="15"/>
  <c r="D19" i="15"/>
  <c r="D15" i="15"/>
  <c r="D8" i="15"/>
  <c r="D22" i="15"/>
  <c r="D14" i="15"/>
  <c r="D24" i="15"/>
  <c r="D25" i="15"/>
  <c r="E62" i="15"/>
  <c r="D11" i="15"/>
  <c r="D6" i="15"/>
  <c r="D12" i="15"/>
  <c r="D26" i="15"/>
  <c r="D17" i="15"/>
  <c r="E14" i="4"/>
  <c r="D10" i="15"/>
  <c r="D3" i="15"/>
  <c r="D9" i="15"/>
  <c r="D23" i="15"/>
  <c r="D4" i="15"/>
  <c r="D7" i="15"/>
  <c r="D16" i="15"/>
  <c r="D28" i="15"/>
  <c r="D21" i="15"/>
  <c r="D29" i="15"/>
  <c r="D5" i="15"/>
  <c r="D27" i="15"/>
  <c r="D20" i="15"/>
  <c r="H20" i="6"/>
  <c r="J20" i="6" s="1"/>
  <c r="E17" i="4"/>
  <c r="E16" i="4" s="1"/>
  <c r="C3" i="6"/>
  <c r="C5" i="6"/>
  <c r="E63" i="15"/>
  <c r="E61" i="15"/>
  <c r="E53" i="15"/>
  <c r="E52" i="15"/>
  <c r="E59" i="15"/>
  <c r="E58" i="15"/>
  <c r="E60" i="15"/>
  <c r="E54" i="15"/>
  <c r="E57" i="15"/>
  <c r="E56" i="15"/>
  <c r="E55" i="15"/>
  <c r="H9" i="6"/>
  <c r="J9" i="6" s="1"/>
  <c r="H10" i="6"/>
  <c r="J10" i="6" s="1"/>
  <c r="E45" i="15"/>
  <c r="E48" i="15"/>
  <c r="E51" i="15"/>
  <c r="E46" i="15"/>
  <c r="E47" i="15"/>
  <c r="E50" i="15"/>
  <c r="E49" i="15"/>
  <c r="H3" i="6"/>
  <c r="H13" i="6"/>
  <c r="J13" i="6" s="1"/>
  <c r="H16" i="6"/>
  <c r="H17" i="6" s="1"/>
  <c r="H21" i="6"/>
  <c r="J21" i="6" s="1"/>
  <c r="H22" i="6"/>
  <c r="J22" i="6" s="1"/>
  <c r="B10" i="4"/>
  <c r="H43" i="15"/>
  <c r="E44" i="15" l="1"/>
  <c r="J17" i="6"/>
  <c r="H18" i="6"/>
  <c r="J18" i="6" s="1"/>
  <c r="J3" i="6"/>
  <c r="H4" i="6"/>
  <c r="E22" i="15"/>
  <c r="G22" i="15"/>
  <c r="I22" i="15" s="1"/>
  <c r="G8" i="15"/>
  <c r="I8" i="15" s="1"/>
  <c r="E8" i="15"/>
  <c r="E15" i="15"/>
  <c r="G15" i="15"/>
  <c r="I15" i="15" s="1"/>
  <c r="G19" i="15"/>
  <c r="I19" i="15" s="1"/>
  <c r="E19" i="15"/>
  <c r="E13" i="15"/>
  <c r="G13" i="15"/>
  <c r="I13" i="15" s="1"/>
  <c r="E18" i="15"/>
  <c r="G18" i="15"/>
  <c r="I18" i="15" s="1"/>
  <c r="E12" i="15"/>
  <c r="G12" i="15"/>
  <c r="I12" i="15" s="1"/>
  <c r="E6" i="15"/>
  <c r="G6" i="15"/>
  <c r="I6" i="15" s="1"/>
  <c r="G11" i="15"/>
  <c r="I11" i="15" s="1"/>
  <c r="E11" i="15"/>
  <c r="E25" i="15"/>
  <c r="G25" i="15"/>
  <c r="I25" i="15" s="1"/>
  <c r="G24" i="15"/>
  <c r="I24" i="15" s="1"/>
  <c r="E24" i="15"/>
  <c r="E26" i="15"/>
  <c r="G26" i="15"/>
  <c r="I26" i="15" s="1"/>
  <c r="E17" i="15"/>
  <c r="G17" i="15"/>
  <c r="I17" i="15" s="1"/>
  <c r="E14" i="15"/>
  <c r="G14" i="15"/>
  <c r="I14" i="15" s="1"/>
  <c r="E3" i="15"/>
  <c r="G3" i="15"/>
  <c r="I3" i="15" s="1"/>
  <c r="E10" i="15"/>
  <c r="G10" i="15"/>
  <c r="I10" i="15" s="1"/>
  <c r="E23" i="15"/>
  <c r="G23" i="15"/>
  <c r="I23" i="15" s="1"/>
  <c r="E9" i="15"/>
  <c r="G9" i="15"/>
  <c r="I9" i="15" s="1"/>
  <c r="E29" i="15"/>
  <c r="G29" i="15"/>
  <c r="I29" i="15" s="1"/>
  <c r="E28" i="15"/>
  <c r="G28" i="15"/>
  <c r="I28" i="15" s="1"/>
  <c r="G16" i="15"/>
  <c r="I16" i="15" s="1"/>
  <c r="E16" i="15"/>
  <c r="E7" i="15"/>
  <c r="G7" i="15"/>
  <c r="I7" i="15" s="1"/>
  <c r="E21" i="15"/>
  <c r="G21" i="15"/>
  <c r="I21" i="15" s="1"/>
  <c r="E4" i="15"/>
  <c r="G4" i="15"/>
  <c r="I4" i="15" s="1"/>
  <c r="E20" i="15"/>
  <c r="G20" i="15"/>
  <c r="I20" i="15" s="1"/>
  <c r="E27" i="15"/>
  <c r="G27" i="15"/>
  <c r="I27" i="15" s="1"/>
  <c r="E5" i="15"/>
  <c r="G5" i="15"/>
  <c r="I5" i="15" s="1"/>
  <c r="J16" i="6"/>
  <c r="H5" i="6" l="1"/>
  <c r="H8" i="6" s="1"/>
  <c r="J8" i="6" s="1"/>
  <c r="J4" i="6"/>
  <c r="D37" i="15"/>
  <c r="D39" i="15"/>
  <c r="D36" i="15"/>
  <c r="D31" i="15"/>
  <c r="D41" i="15"/>
  <c r="D38" i="15"/>
  <c r="D40" i="15"/>
  <c r="D33" i="15"/>
  <c r="D42" i="15"/>
  <c r="D35" i="15"/>
  <c r="D43" i="15"/>
  <c r="D34" i="15"/>
  <c r="D32" i="15"/>
  <c r="D30" i="15"/>
  <c r="J5" i="6" l="1"/>
  <c r="E43" i="15"/>
  <c r="G43" i="15"/>
  <c r="E35" i="15"/>
  <c r="G35" i="15"/>
  <c r="E33" i="15"/>
  <c r="G33" i="15"/>
  <c r="E31" i="15"/>
  <c r="G31" i="15"/>
  <c r="E30" i="15"/>
  <c r="G30" i="15"/>
  <c r="E34" i="15"/>
  <c r="G34" i="15"/>
  <c r="E40" i="15"/>
  <c r="G40" i="15"/>
  <c r="E41" i="15"/>
  <c r="G41" i="15"/>
  <c r="E36" i="15"/>
  <c r="G36" i="15"/>
  <c r="E37" i="15"/>
  <c r="G37" i="15"/>
  <c r="E32" i="15"/>
  <c r="G32" i="15"/>
  <c r="E42" i="15"/>
  <c r="G42" i="15"/>
  <c r="E38" i="15"/>
  <c r="G38" i="15"/>
  <c r="E39" i="15"/>
  <c r="G39" i="15"/>
  <c r="I39" i="15" l="1"/>
  <c r="I37" i="15"/>
  <c r="I36" i="15"/>
  <c r="I40" i="15"/>
  <c r="I31" i="15"/>
  <c r="I35" i="15"/>
  <c r="I42" i="15"/>
  <c r="I38" i="15"/>
  <c r="I32" i="15"/>
  <c r="I30" i="15"/>
  <c r="I34" i="15"/>
  <c r="I41" i="15"/>
  <c r="I33" i="15"/>
  <c r="I4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A69CB2F6-D812-40C4-B702-CEB121C08CF4}">
      <text>
        <r>
          <rPr>
            <i/>
            <sz val="12"/>
            <color indexed="81"/>
            <rFont val="Times New Roman"/>
            <family val="1"/>
          </rPr>
          <t>divine favor +3
lion’s roar +1</t>
        </r>
      </text>
    </comment>
    <comment ref="E12" authorId="0" shapeId="0" xr:uid="{78EDA816-864A-4736-81AF-118303E4F3AB}">
      <text>
        <r>
          <rPr>
            <sz val="12"/>
            <color indexed="81"/>
            <rFont val="Times New Roman"/>
            <family val="1"/>
          </rPr>
          <t>See PHB 162</t>
        </r>
      </text>
    </comment>
    <comment ref="B13" authorId="0" shapeId="0" xr:uid="{7D511491-4313-4E0F-87F8-20A1E36835CD}">
      <text>
        <r>
          <rPr>
            <sz val="12"/>
            <color indexed="81"/>
            <rFont val="Times New Roman"/>
            <family val="1"/>
          </rPr>
          <t>Gloves of Dexterity +6</t>
        </r>
      </text>
    </comment>
    <comment ref="B14" authorId="0" shapeId="0" xr:uid="{EB64A026-3156-4D9D-894A-DC66BF2C0A52}">
      <text>
        <r>
          <rPr>
            <i/>
            <sz val="12"/>
            <color indexed="81"/>
            <rFont val="Times New Roman"/>
            <family val="1"/>
          </rPr>
          <t>cloudkill -1</t>
        </r>
      </text>
    </comment>
    <comment ref="E14" authorId="0" shapeId="0" xr:uid="{00000000-0006-0000-0000-000004000000}">
      <text>
        <r>
          <rPr>
            <sz val="12"/>
            <color indexed="81"/>
            <rFont val="Times New Roman"/>
            <family val="1"/>
          </rPr>
          <t>[(20 * 6 Rogue) * 75%]
 + (20 * 1 Con)</t>
        </r>
      </text>
    </comment>
    <comment ref="E15" authorId="0" shapeId="0" xr:uid="{00000000-0006-0000-0000-000005000000}">
      <text>
        <r>
          <rPr>
            <sz val="12"/>
            <color indexed="81"/>
            <rFont val="Times New Roman"/>
            <family val="1"/>
          </rPr>
          <t xml:space="preserve">Small +1
</t>
        </r>
        <r>
          <rPr>
            <i/>
            <sz val="12"/>
            <color indexed="81"/>
            <rFont val="Times New Roman"/>
            <family val="1"/>
          </rPr>
          <t>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3D5940F7-D515-41A2-8941-815E44221D72}">
      <text>
        <r>
          <rPr>
            <sz val="12"/>
            <color indexed="81"/>
            <rFont val="Times New Roman"/>
            <family val="1"/>
          </rPr>
          <t>Cloak of Resistance +3</t>
        </r>
      </text>
    </comment>
    <comment ref="F4" authorId="0" shapeId="0" xr:uid="{B84C23D1-841B-4827-BD23-19A8187AEA19}">
      <text>
        <r>
          <rPr>
            <sz val="12"/>
            <color indexed="81"/>
            <rFont val="Times New Roman"/>
            <family val="1"/>
          </rPr>
          <t>Cloak of Resistance +3
Lightning Reflexes +2</t>
        </r>
      </text>
    </comment>
    <comment ref="F5" authorId="0" shapeId="0" xr:uid="{8F238856-9321-4A89-9FBE-7D68549E8E5B}">
      <text>
        <r>
          <rPr>
            <sz val="12"/>
            <color indexed="81"/>
            <rFont val="Times New Roman"/>
            <family val="1"/>
          </rPr>
          <t>Cloak of Resistance +3</t>
        </r>
      </text>
    </comment>
    <comment ref="F9" authorId="0" shapeId="0" xr:uid="{129E8A20-9391-4F02-9529-C6B476A14B25}">
      <text>
        <r>
          <rPr>
            <sz val="12"/>
            <color indexed="81"/>
            <rFont val="Times New Roman"/>
            <family val="1"/>
          </rPr>
          <t>Athletic +2</t>
        </r>
      </text>
    </comment>
    <comment ref="F14" authorId="0" shapeId="0" xr:uid="{DED1D904-C985-4817-9DF2-3E0664E1972A}">
      <text>
        <r>
          <rPr>
            <sz val="12"/>
            <color indexed="81"/>
            <rFont val="Times New Roman"/>
            <family val="1"/>
          </rPr>
          <t>Nimble Fingers +2</t>
        </r>
      </text>
    </comment>
    <comment ref="F21" authorId="0" shapeId="0" xr:uid="{A07668EB-510C-4FE1-B2DA-FDA5208D638D}">
      <text>
        <r>
          <rPr>
            <sz val="12"/>
            <color indexed="81"/>
            <rFont val="Times New Roman"/>
            <family val="1"/>
          </rPr>
          <t>Halfling +4</t>
        </r>
      </text>
    </comment>
    <comment ref="F23" authorId="0" shapeId="0" xr:uid="{7BE155A4-3301-4C5F-855D-3ECD06395BE5}">
      <text>
        <r>
          <rPr>
            <sz val="12"/>
            <color indexed="81"/>
            <rFont val="Times New Roman"/>
            <family val="1"/>
          </rPr>
          <t>Acrobatic +2</t>
        </r>
      </text>
    </comment>
    <comment ref="F27" authorId="0" shapeId="0" xr:uid="{E8F12DE0-FE88-42CF-AF60-A277C6FBB925}">
      <text>
        <r>
          <rPr>
            <sz val="12"/>
            <color indexed="81"/>
            <rFont val="Times New Roman"/>
            <family val="1"/>
          </rPr>
          <t>Alertness +2
Tallfellow +2</t>
        </r>
      </text>
    </comment>
    <comment ref="F29" authorId="0" shapeId="0" xr:uid="{F6205CDA-0F6B-4FCC-91DF-3FD71A208D66}">
      <text>
        <r>
          <rPr>
            <sz val="12"/>
            <color indexed="81"/>
            <rFont val="Times New Roman"/>
            <family val="1"/>
          </rPr>
          <t>Nimble Fingers +2</t>
        </r>
      </text>
    </comment>
    <comment ref="F33" authorId="0" shapeId="0" xr:uid="{1BBDF986-7057-4381-9D4E-D5214999BA23}">
      <text>
        <r>
          <rPr>
            <sz val="12"/>
            <color indexed="81"/>
            <rFont val="Times New Roman"/>
            <family val="1"/>
          </rPr>
          <t>Tallfellow +2</t>
        </r>
      </text>
    </comment>
    <comment ref="F38" authorId="0" shapeId="0" xr:uid="{C824424A-DF21-4562-9FC3-757AF1006288}">
      <text>
        <r>
          <rPr>
            <sz val="12"/>
            <color indexed="81"/>
            <rFont val="Times New Roman"/>
            <family val="1"/>
          </rPr>
          <t>Alertness +2
Tallfellow +2</t>
        </r>
      </text>
    </comment>
    <comment ref="F40" authorId="0" shapeId="0" xr:uid="{552F0758-CA20-4BF0-B0BC-FFEF7C0B96F8}">
      <text>
        <r>
          <rPr>
            <sz val="12"/>
            <color indexed="81"/>
            <rFont val="Times New Roman"/>
            <family val="1"/>
          </rPr>
          <t>Athletic +2</t>
        </r>
      </text>
    </comment>
    <comment ref="F41" authorId="0" shapeId="0" xr:uid="{E8E7FE51-DAC2-4BDF-A9C1-AB6CDBC4D13C}">
      <text>
        <r>
          <rPr>
            <sz val="12"/>
            <color indexed="81"/>
            <rFont val="Times New Roman"/>
            <family val="1"/>
          </rPr>
          <t>Acrobatic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2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2" authorId="0" shapeId="0" xr:uid="{00000000-0006-0000-0400-000003000000}">
      <text>
        <r>
          <rPr>
            <sz val="12"/>
            <color indexed="81"/>
            <rFont val="Times New Roman"/>
            <family val="1"/>
          </rPr>
          <t xml:space="preserve">You have excellent body awareness and coordination.
</t>
        </r>
        <r>
          <rPr>
            <b/>
            <sz val="12"/>
            <color indexed="81"/>
            <rFont val="Times New Roman"/>
            <family val="1"/>
          </rPr>
          <t xml:space="preserve">Benefit: </t>
        </r>
        <r>
          <rPr>
            <sz val="12"/>
            <color indexed="81"/>
            <rFont val="Times New Roman"/>
            <family val="1"/>
          </rPr>
          <t>You get a +2 bonus on all Jump checks and Tumble checks.
PHB 93</t>
        </r>
      </text>
    </comment>
    <comment ref="A3" authorId="0" shapeId="0" xr:uid="{00000000-0006-0000-0400-000004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3" authorId="0" shapeId="0" xr:uid="{DC97E4F1-D5B5-4C37-B2CB-1442C31256FD}">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C4" authorId="0" shapeId="0" xr:uid="{EA272425-16BA-4C13-98A1-02EEC7980DE4}">
      <text>
        <r>
          <rPr>
            <sz val="12"/>
            <color indexed="81"/>
            <rFont val="Times New Roman"/>
            <family val="1"/>
          </rPr>
          <t xml:space="preserve">You have a knack for athletic endeavors.
</t>
        </r>
        <r>
          <rPr>
            <b/>
            <sz val="12"/>
            <color indexed="81"/>
            <rFont val="Times New Roman"/>
            <family val="1"/>
          </rPr>
          <t xml:space="preserve">Benefit: </t>
        </r>
        <r>
          <rPr>
            <sz val="12"/>
            <color indexed="81"/>
            <rFont val="Times New Roman"/>
            <family val="1"/>
          </rPr>
          <t>You get a +2 bonus on all Climb checks and Swim checks.
PHB 93</t>
        </r>
      </text>
    </comment>
    <comment ref="C5" authorId="0" shapeId="0" xr:uid="{00000000-0006-0000-0400-00000900000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C6" authorId="0" shapeId="0" xr:uid="{00000000-0006-0000-0400-00000B000000}">
      <text>
        <r>
          <rPr>
            <sz val="12"/>
            <color indexed="81"/>
            <rFont val="Times New Roman"/>
            <family val="1"/>
          </rPr>
          <t xml:space="preserve">You have faster than normal reflexes.
</t>
        </r>
        <r>
          <rPr>
            <b/>
            <sz val="12"/>
            <color indexed="81"/>
            <rFont val="Times New Roman"/>
            <family val="1"/>
          </rPr>
          <t xml:space="preserve">Benefit:  </t>
        </r>
        <r>
          <rPr>
            <sz val="12"/>
            <color indexed="81"/>
            <rFont val="Times New Roman"/>
            <family val="1"/>
          </rPr>
          <t>You get a +2 bonus on all Reflex saving throws.
PHB 97</t>
        </r>
      </text>
    </comment>
    <comment ref="A7" authorId="0" shapeId="0" xr:uid="{F74CCDB1-E8E8-45D1-BE79-C99348D8A88D}">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7" authorId="0" shapeId="0" xr:uid="{A429F104-294F-4A5B-87C2-D4F3D7DE745E}">
      <text>
        <r>
          <rPr>
            <sz val="12"/>
            <color indexed="81"/>
            <rFont val="Times New Roman"/>
            <family val="1"/>
          </rPr>
          <t xml:space="preserve">You are adept at manipulating small, delicate objects.
</t>
        </r>
        <r>
          <rPr>
            <b/>
            <sz val="12"/>
            <color indexed="81"/>
            <rFont val="Times New Roman"/>
            <family val="1"/>
          </rPr>
          <t xml:space="preserve">Benefit: </t>
        </r>
        <r>
          <rPr>
            <sz val="12"/>
            <color indexed="81"/>
            <rFont val="Times New Roman"/>
            <family val="1"/>
          </rPr>
          <t>You get a +2 bonus on all Disable Device checks and Open Lock checks.
PHB 98</t>
        </r>
      </text>
    </comment>
    <comment ref="A8" authorId="0" shapeId="0" xr:uid="{0A8A4E81-B92F-4952-A664-427E8BAE9D85}">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 ref="C8" authorId="0" shapeId="0" xr:uid="{2DD02D3A-8CBC-4B20-85A9-49C00379F371}">
      <text>
        <r>
          <rPr>
            <sz val="12"/>
            <color indexed="81"/>
            <rFont val="Times New Roman"/>
            <family val="1"/>
          </rPr>
          <t xml:space="preserve">You have learned how to stalk and surprise creatures whose senses are very different from those of a humanoid.
</t>
        </r>
        <r>
          <rPr>
            <b/>
            <sz val="12"/>
            <color indexed="81"/>
            <rFont val="Times New Roman"/>
            <family val="1"/>
          </rPr>
          <t xml:space="preserve">Benefit:  </t>
        </r>
        <r>
          <rPr>
            <sz val="12"/>
            <color indexed="81"/>
            <rFont val="Times New Roman"/>
            <family val="1"/>
          </rPr>
          <t xml:space="preserve">When you hide, creatures with blindsense, blindsight, scent, or tremorsense must make a Listen check or a Spot check (whichever DC is higher) to notice you, just as sighted creatures would make Spot checks to detect you.  You cannot hide in plain sight unless you have that ability as a class feature.  In addition, you can flank creatures that have the all-around vision special quality.
</t>
        </r>
        <r>
          <rPr>
            <b/>
            <sz val="12"/>
            <color indexed="81"/>
            <rFont val="Times New Roman"/>
            <family val="1"/>
          </rPr>
          <t xml:space="preserve">Normal:  </t>
        </r>
        <r>
          <rPr>
            <sz val="12"/>
            <color indexed="81"/>
            <rFont val="Times New Roman"/>
            <family val="1"/>
          </rPr>
          <t>Creatures with these senses do not need to make Spot or Listen checks to notice other creatures within range.  Creatures with all-around vision can’t be flanked.
Lords of Madness 179</t>
        </r>
      </text>
    </comment>
    <comment ref="A9" authorId="0" shapeId="0" xr:uid="{78BF5D06-288A-4771-8F7D-AD8BC1B04A80}">
      <text>
        <r>
          <rPr>
            <sz val="12"/>
            <color indexed="81"/>
            <rFont val="Times New Roman"/>
            <family val="1"/>
          </rPr>
          <t>A rogue of 8th level or higher can no longer be flanked; she can react to opponents on opposite sides of her as easily as she can react to a single attacker.  This defense denies another rogue the ability to sneak attack the character by flanking her, unless the attacker has at least four more rogue levels than the target does.
If a character already has uncanny dodge (see above) from a second class, the character automatically gains improved uncanny dodge instead, and the levels from the classes that grant uncanny dodge stack to determine the minimum rogue level required to flank the character.
PHB 50</t>
        </r>
      </text>
    </comment>
    <comment ref="A10" authorId="0" shapeId="0" xr:uid="{73F19EDF-F84D-45F0-AA75-5FD9731374A2}">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11" authorId="0" shapeId="0" xr:uid="{D9C22AB9-7D55-4AEC-A83C-A354639758F9}">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1" authorId="0" shapeId="0" xr:uid="{A3379A2E-725E-4A2A-BF84-2E1C0ED009BD}">
      <text>
        <r>
          <rPr>
            <sz val="12"/>
            <color indexed="81"/>
            <rFont val="Times New Roman"/>
            <family val="1"/>
          </rPr>
          <t>Hand crossbow, rapier, sap, shortbow, and short sword.
PHB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9506F13B-D77F-4D3A-8F9E-66C2E533BF77}">
      <text>
        <r>
          <rPr>
            <sz val="12"/>
            <color indexed="81"/>
            <rFont val="Times New Roman"/>
            <family val="1"/>
          </rPr>
          <t>A wounding weapon deals 1 point of Constitution damage from blood loss when it hits a creature.  A critical hit does not multiply the Constitution damage.  Creatures immune to critical hits (such as plants and constructs) are immune to the Constitution damage dealt by this weapon.
DMG 226</t>
        </r>
      </text>
    </comment>
    <comment ref="M3" authorId="0" shapeId="0" xr:uid="{99B5F609-7C42-4665-A430-A03C89565A5C}">
      <text>
        <r>
          <rPr>
            <sz val="12"/>
            <color indexed="81"/>
            <rFont val="Times New Roman"/>
            <family val="1"/>
          </rPr>
          <t>+4 equivalent</t>
        </r>
      </text>
    </comment>
    <comment ref="A6" authorId="0" shapeId="0" xr:uid="{5225CD84-BEF9-4AC8-9F3F-C29A264A0ABF}">
      <text>
        <r>
          <rPr>
            <b/>
            <sz val="12"/>
            <color indexed="81"/>
            <rFont val="Times New Roman"/>
            <family val="1"/>
          </rPr>
          <t xml:space="preserve">Price (Item Level):  </t>
        </r>
        <r>
          <rPr>
            <sz val="12"/>
            <color indexed="81"/>
            <rFont val="Times New Roman"/>
            <family val="1"/>
          </rPr>
          <t xml:space="preserve">1,000 gp (4th) (least); 5,000 gp (9th) (lesser); 10,000 gp (12th)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amethyst is carved in the shape of a humanoid skull.
Clerics craft truedeath crystals to aid themselves and others in sending undead to their final rest.
Least: A weapon with this crystal attached deals an extra 1d6 points of damage to undead.
Lesser: As the least crystal, and the weapon also functions as a ghost touch weapon (DMG 224).
Greater: As the lesser crystal, and the weapon can deliver sneak attacks and critical hits against undead as if they were living creatures.
MIC 66</t>
        </r>
      </text>
    </comment>
    <comment ref="A7" authorId="0" shapeId="0" xr:uid="{F09C474B-041B-431A-9296-FB0DC5050050}">
      <text>
        <r>
          <rPr>
            <b/>
            <sz val="12"/>
            <color indexed="81"/>
            <rFont val="Times New Roman"/>
            <family val="1"/>
          </rPr>
          <t xml:space="preserve">Price (Item Level):  </t>
        </r>
        <r>
          <rPr>
            <sz val="12"/>
            <color indexed="81"/>
            <rFont val="Times New Roman"/>
            <family val="1"/>
          </rPr>
          <t xml:space="preserve">6,000 gp
</t>
        </r>
        <r>
          <rPr>
            <b/>
            <sz val="12"/>
            <color indexed="81"/>
            <rFont val="Times New Roman"/>
            <family val="1"/>
          </rPr>
          <t xml:space="preserve">Body Slot:  </t>
        </r>
        <r>
          <rPr>
            <sz val="12"/>
            <color indexed="81"/>
            <rFont val="Times New Roman"/>
            <family val="1"/>
          </rPr>
          <t xml:space="preserve">— (weapon)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Moderate; (DC 17 ) Transmutation
A crystal of arcane steel is designed for those who can blend magical and martial arts into a single strike.  It functions only when attached to a melee weapon.
</t>
        </r>
        <r>
          <rPr>
            <b/>
            <sz val="12"/>
            <color indexed="81"/>
            <rFont val="Times New Roman"/>
            <family val="1"/>
          </rPr>
          <t xml:space="preserve">Least:  </t>
        </r>
        <r>
          <rPr>
            <sz val="12"/>
            <color indexed="81"/>
            <rFont val="Times New Roman"/>
            <family val="1"/>
          </rPr>
          <t xml:space="preserve">This crystal grants a +1 insight bonus on your weapon damage roll when delivering a spell or spell-like ability through a melee attack with the weapon.
</t>
        </r>
        <r>
          <rPr>
            <b/>
            <sz val="12"/>
            <color indexed="81"/>
            <rFont val="Times New Roman"/>
            <family val="1"/>
          </rPr>
          <t xml:space="preserve">Lesser:  </t>
        </r>
        <r>
          <rPr>
            <sz val="12"/>
            <color indexed="81"/>
            <rFont val="Times New Roman"/>
            <family val="1"/>
          </rPr>
          <t xml:space="preserve">As the least crystal, and it also grants you a +1 insight bonus on the attack roll.
</t>
        </r>
        <r>
          <rPr>
            <b/>
            <sz val="12"/>
            <color indexed="81"/>
            <rFont val="Times New Roman"/>
            <family val="1"/>
          </rPr>
          <t xml:space="preserve">Greater:  </t>
        </r>
        <r>
          <rPr>
            <sz val="12"/>
            <color indexed="81"/>
            <rFont val="Times New Roman"/>
            <family val="1"/>
          </rPr>
          <t>As the lesser crystal, and it also increases the save DC of the spell or spell-like ability by 1.
MIC 64</t>
        </r>
      </text>
    </comment>
    <comment ref="A8" authorId="0" shapeId="0" xr:uid="{9F7AC571-82BE-4585-AA2B-71A4A993AE29}">
      <text>
        <r>
          <rPr>
            <b/>
            <sz val="12"/>
            <color indexed="81"/>
            <rFont val="Times New Roman"/>
            <family val="1"/>
          </rPr>
          <t xml:space="preserve">Price (Item Level): </t>
        </r>
        <r>
          <rPr>
            <sz val="12"/>
            <color indexed="81"/>
            <rFont val="Times New Roman"/>
            <family val="1"/>
          </rPr>
          <t xml:space="preserve">300 gp (2nd) (least); 1,000 (4th) (lesser); 4,000 gp (8th)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crystal is the color of a cloudless sky.
A crystal of return allows a weapon to leap into its owner’s hand.
</t>
        </r>
        <r>
          <rPr>
            <b/>
            <sz val="12"/>
            <color indexed="81"/>
            <rFont val="Times New Roman"/>
            <family val="1"/>
          </rPr>
          <t xml:space="preserve">Least: </t>
        </r>
        <r>
          <rPr>
            <sz val="12"/>
            <color indexed="81"/>
            <rFont val="Times New Roman"/>
            <family val="1"/>
          </rPr>
          <t xml:space="preserve">This crystal allows you to draw the weapon to which it is attached as a free action.
</t>
        </r>
        <r>
          <rPr>
            <b/>
            <sz val="12"/>
            <color indexed="81"/>
            <rFont val="Times New Roman"/>
            <family val="1"/>
          </rPr>
          <t>Lesser:</t>
        </r>
        <r>
          <rPr>
            <sz val="12"/>
            <color indexed="81"/>
            <rFont val="Times New Roman"/>
            <family val="1"/>
          </rPr>
          <t xml:space="preserve"> As the least crystal, and in addition you can call the weapon (if unattended) to your hand from up to 30 feet away as a move action.
</t>
        </r>
        <r>
          <rPr>
            <b/>
            <sz val="12"/>
            <color indexed="81"/>
            <rFont val="Times New Roman"/>
            <family val="1"/>
          </rPr>
          <t xml:space="preserve">Greater: </t>
        </r>
        <r>
          <rPr>
            <sz val="12"/>
            <color indexed="81"/>
            <rFont val="Times New Roman"/>
            <family val="1"/>
          </rPr>
          <t>As the lesser crystal, and the weapon also gains the returning property (DMG 225). This property functions only for a weapon designed to be thrown.
MIC 65</t>
        </r>
      </text>
    </comment>
    <comment ref="A16" authorId="0" shapeId="0" xr:uid="{6BD4B651-87A2-4BE7-B983-247AB9329124}">
      <text>
        <r>
          <rPr>
            <b/>
            <sz val="12"/>
            <color indexed="81"/>
            <rFont val="Times New Roman"/>
            <family val="1"/>
          </rPr>
          <t>Recurve Grip of Alacrity</t>
        </r>
        <r>
          <rPr>
            <sz val="12"/>
            <color indexed="81"/>
            <rFont val="Times New Roman"/>
            <family val="1"/>
          </rPr>
          <t xml:space="preserve">
Bestows Rapid Shot feat upon wielder.
As Bracers of Blinding Strike, but only for this weapon.
In-house Item</t>
        </r>
      </text>
    </comment>
    <comment ref="F16" authorId="0" shapeId="0" xr:uid="{E6C3DA31-2F19-47AB-B509-833329A43CF1}">
      <text>
        <r>
          <rPr>
            <i/>
            <sz val="12"/>
            <color indexed="81"/>
            <rFont val="Times New Roman"/>
            <family val="1"/>
          </rPr>
          <t>Accuracy</t>
        </r>
        <r>
          <rPr>
            <sz val="12"/>
            <color indexed="81"/>
            <rFont val="Times New Roman"/>
            <family val="1"/>
          </rPr>
          <t xml:space="preserve"> x 2</t>
        </r>
      </text>
    </comment>
    <comment ref="F17" authorId="0" shapeId="0" xr:uid="{C6C5C142-BF57-4E50-B266-C2CD81D2E9A4}">
      <text>
        <r>
          <rPr>
            <i/>
            <sz val="12"/>
            <color indexed="81"/>
            <rFont val="Times New Roman"/>
            <family val="1"/>
          </rPr>
          <t>Accuracy</t>
        </r>
        <r>
          <rPr>
            <sz val="12"/>
            <color indexed="81"/>
            <rFont val="Times New Roman"/>
            <family val="1"/>
          </rPr>
          <t xml:space="preserve"> x 2</t>
        </r>
      </text>
    </comment>
    <comment ref="F18" authorId="0" shapeId="0" xr:uid="{D9E995C9-B31F-4621-8DB7-9EC715035750}">
      <text>
        <r>
          <rPr>
            <i/>
            <sz val="12"/>
            <color indexed="81"/>
            <rFont val="Times New Roman"/>
            <family val="1"/>
          </rPr>
          <t>Accuracy</t>
        </r>
        <r>
          <rPr>
            <sz val="12"/>
            <color indexed="81"/>
            <rFont val="Times New Roman"/>
            <family val="1"/>
          </rPr>
          <t xml:space="preserve"> x 2</t>
        </r>
      </text>
    </comment>
    <comment ref="F19" authorId="0" shapeId="0" xr:uid="{D5DB839F-D092-43D1-B9AB-60D80906DA84}">
      <text>
        <r>
          <rPr>
            <i/>
            <sz val="12"/>
            <color indexed="81"/>
            <rFont val="Times New Roman"/>
            <family val="1"/>
          </rPr>
          <t>Accuracy</t>
        </r>
        <r>
          <rPr>
            <sz val="12"/>
            <color indexed="81"/>
            <rFont val="Times New Roman"/>
            <family val="1"/>
          </rPr>
          <t xml:space="preserve"> x 2</t>
        </r>
      </text>
    </comment>
    <comment ref="F20" authorId="0" shapeId="0" xr:uid="{0E9342F7-7125-4764-9B70-4370672FE516}">
      <text>
        <r>
          <rPr>
            <i/>
            <sz val="12"/>
            <color indexed="81"/>
            <rFont val="Times New Roman"/>
            <family val="1"/>
          </rPr>
          <t>Accuracy</t>
        </r>
        <r>
          <rPr>
            <sz val="12"/>
            <color indexed="81"/>
            <rFont val="Times New Roman"/>
            <family val="1"/>
          </rPr>
          <t xml:space="preserve"> x 2</t>
        </r>
      </text>
    </comment>
    <comment ref="D24" authorId="0" shapeId="0" xr:uid="{00000000-0006-0000-0500-000001000000}">
      <text>
        <r>
          <rPr>
            <sz val="12"/>
            <color indexed="81"/>
            <rFont val="Times New Roman"/>
            <family val="1"/>
          </rPr>
          <t>Balance, Climb, Escape Artist, Hide, Jump, Move Silently, Sleight of Hand, Tumble.</t>
        </r>
      </text>
    </comment>
    <comment ref="A26" authorId="0" shapeId="0" xr:uid="{E851490B-F45E-4E5F-8C4B-A679B2EA5605}">
      <text>
        <r>
          <rPr>
            <b/>
            <sz val="12"/>
            <color indexed="81"/>
            <rFont val="Times New Roman"/>
            <family val="1"/>
          </rPr>
          <t xml:space="preserve">Mindarmor
Price: </t>
        </r>
        <r>
          <rPr>
            <sz val="12"/>
            <color indexed="81"/>
            <rFont val="Times New Roman"/>
            <family val="1"/>
          </rPr>
          <t xml:space="preserve">+3,000 gp
</t>
        </r>
        <r>
          <rPr>
            <b/>
            <sz val="12"/>
            <color indexed="81"/>
            <rFont val="Times New Roman"/>
            <family val="1"/>
          </rPr>
          <t xml:space="preserve">Property: </t>
        </r>
        <r>
          <rPr>
            <sz val="12"/>
            <color indexed="81"/>
            <rFont val="Times New Roman"/>
            <family val="1"/>
          </rPr>
          <t xml:space="preserve">Armor or shield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Immediate (mental)
Constructed of seamless and tightly bound layers, this item steadies your thoughts when worn.
When activated, a suit of armor or a shield that has this property grants you a +5 bonus on Will saves to resist mind-affecting spells and abilities until the start of your next turn.
The mindarmor property functions three times per day.
MIC 13
</t>
        </r>
        <r>
          <rPr>
            <b/>
            <sz val="12"/>
            <color indexed="81"/>
            <rFont val="Times New Roman"/>
            <family val="1"/>
          </rPr>
          <t xml:space="preserve">Soulfire:  </t>
        </r>
        <r>
          <rPr>
            <sz val="12"/>
            <color indexed="81"/>
            <rFont val="Times New Roman"/>
            <family val="1"/>
          </rPr>
          <t>This armor’s wearer is immune to all death spells, magical death effects, and energy drain, and any negative energy effects (such as from chill touch or inflict spells).
BoED 112</t>
        </r>
      </text>
    </comment>
    <comment ref="A28" authorId="0" shapeId="0" xr:uid="{2C137546-776B-40DE-A7ED-74761CB4708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2F9CC679-9ED9-418C-9567-F1DAA03BAC5F}">
      <text>
        <r>
          <rPr>
            <b/>
            <sz val="12"/>
            <color indexed="81"/>
            <rFont val="Times New Roman"/>
            <family val="1"/>
          </rPr>
          <t xml:space="preserve">Flying </t>
        </r>
        <r>
          <rPr>
            <sz val="12"/>
            <color indexed="81"/>
            <rFont val="Times New Roman"/>
            <family val="1"/>
          </rPr>
          <t xml:space="preserve">property as Winged Boots (DMG) but with twice the duration on each activation (i.e., 10 minutes).
</t>
        </r>
        <r>
          <rPr>
            <b/>
            <sz val="12"/>
            <color indexed="81"/>
            <rFont val="Times New Roman"/>
            <family val="1"/>
          </rPr>
          <t>Greater Agility</t>
        </r>
        <r>
          <rPr>
            <sz val="12"/>
            <color indexed="81"/>
            <rFont val="Times New Roman"/>
            <family val="1"/>
          </rPr>
          <t xml:space="preserve">
</t>
        </r>
        <r>
          <rPr>
            <b/>
            <sz val="12"/>
            <color indexed="81"/>
            <rFont val="Times New Roman"/>
            <family val="1"/>
          </rPr>
          <t xml:space="preserve">Price: </t>
        </r>
        <r>
          <rPr>
            <sz val="12"/>
            <color indexed="81"/>
            <rFont val="Times New Roman"/>
            <family val="1"/>
          </rPr>
          <t xml:space="preserve">+8,000 gp
</t>
        </r>
        <r>
          <rPr>
            <b/>
            <sz val="12"/>
            <color indexed="81"/>
            <rFont val="Times New Roman"/>
            <family val="1"/>
          </rPr>
          <t xml:space="preserve">Caster Level: </t>
        </r>
        <r>
          <rPr>
            <sz val="12"/>
            <color indexed="81"/>
            <rFont val="Times New Roman"/>
            <family val="1"/>
          </rPr>
          <t xml:space="preserve">15th
</t>
        </r>
        <r>
          <rPr>
            <b/>
            <sz val="12"/>
            <color indexed="81"/>
            <rFont val="Times New Roman"/>
            <family val="1"/>
          </rPr>
          <t xml:space="preserve">Aura: </t>
        </r>
        <r>
          <rPr>
            <sz val="12"/>
            <color indexed="81"/>
            <rFont val="Times New Roman"/>
            <family val="1"/>
          </rPr>
          <t xml:space="preserve">Strong; (DC 22) transmutation
</t>
        </r>
        <r>
          <rPr>
            <b/>
            <sz val="12"/>
            <color indexed="81"/>
            <rFont val="Times New Roman"/>
            <family val="1"/>
          </rPr>
          <t xml:space="preserve">Synergy Prerequisite: </t>
        </r>
        <r>
          <rPr>
            <sz val="12"/>
            <color indexed="81"/>
            <rFont val="Times New Roman"/>
            <family val="1"/>
          </rPr>
          <t>Improved agility
As agility, except the armor grants a +5 resistance bonus on Refl ex saving throws.
MIC 6</t>
        </r>
      </text>
    </comment>
    <comment ref="A5" authorId="0" shapeId="0" xr:uid="{5AB446ED-3AED-48B6-8DF1-8414A834B528}">
      <text>
        <r>
          <rPr>
            <b/>
            <sz val="12"/>
            <color indexed="81"/>
            <rFont val="Times New Roman"/>
            <family val="1"/>
          </rPr>
          <t xml:space="preserve">Price (Item Level): </t>
        </r>
        <r>
          <rPr>
            <sz val="12"/>
            <color indexed="81"/>
            <rFont val="Times New Roman"/>
            <family val="1"/>
          </rPr>
          <t xml:space="preserve">6,000 gp (10th)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abjuration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3 lb.
Each end of this slender ebony rod is set with a clear, jagged crystal.  A wild energy seems to flicker in the depths of these stones, and gazing intently into one reveals minute flares of fire, tiny sparks of electricity, and other glimpses of suppressed energy.
Conduit rods alter the fundamental ways in which magical energies interact.  When you activate a conduit rod and specify an energy type (acid, cold, electricity, fire, or sonic), your existing resistance to energy of the chosen type increases by 20.  This protection also extends to every creature adjacent to you (though the value is based on the value of the energy resistance of those creatures rather than your own) and lasts for 1 round.  The rod has no effect on creatures that are immune to the chosen energy type or have no resistance to it at all.
This ability functions three times per day.
MIC 155</t>
        </r>
      </text>
    </comment>
    <comment ref="A6" authorId="0" shapeId="0" xr:uid="{17F0CC58-EE68-4E93-8C70-520C277DBCFA}">
      <text>
        <r>
          <rPr>
            <sz val="12"/>
            <color indexed="81"/>
            <rFont val="Times New Roman"/>
            <family val="1"/>
          </rPr>
          <t>This item appears to be a normal glass bottle with a cork.  When taken to any airless environment (such as underwater or in a vacuum), it retains air within it at all times, continually renewing its contents.  This means that a character can draw air out of the bottle to breathe.  The bottle can even be shared by multiple characters who pass it around.  Breathing out of the bottle is a standard action, but a character so doing can then act for as long as she can hold her breath.
DMG 250</t>
        </r>
      </text>
    </comment>
    <comment ref="A7" authorId="0" shapeId="0" xr:uid="{F2894160-01C5-461C-8CE7-9D8EE962E2B0}">
      <text>
        <r>
          <rPr>
            <b/>
            <sz val="12"/>
            <color indexed="81"/>
            <rFont val="Times New Roman"/>
            <family val="1"/>
          </rPr>
          <t xml:space="preserve">Price (Item Level): </t>
        </r>
        <r>
          <rPr>
            <sz val="12"/>
            <color indexed="81"/>
            <rFont val="Times New Roman"/>
            <family val="1"/>
          </rPr>
          <t xml:space="preserve">15,000 gp (14th)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1 lb. (3 lb. when full)
Constructed of supple leather, this quiver is festooned with arcane symbols.
A quiver of energy can hold up to 20 arrows or bolts.  Each quiver imbues arrows or bolts drawn from it with a particular type of energy (acid, cold, electricity, or fire), indicated by the arcane symbols it bears.
Such projectiles, if left within the quiver for at least 1 round before being drawn, deal an extra 1d6 points of the appropriate type of damage.
The projectile loses this extra damage after it is used in an attack, or 1 round after it is drawn (whichever comes first).
MIC 172
</t>
        </r>
      </text>
    </comment>
    <comment ref="A12" authorId="0" shapeId="0" xr:uid="{A7BC1C7F-2C71-4C2D-A48E-3CE93669DE4D}">
      <text>
        <r>
          <rPr>
            <sz val="12"/>
            <color indexed="81"/>
            <rFont val="Times New Roman"/>
            <family val="1"/>
          </rPr>
          <t>The lenses of this item are made of dark crystal.  Even though the lenses are opaque, when placed over the eyes of the wearer they enable him to see normally and also grant him 60-foot darkvision.
DMG 258</t>
        </r>
      </text>
    </comment>
    <comment ref="A13"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Craft Wondrous Item, cure moderate wounds.
MIC 110</t>
        </r>
      </text>
    </comment>
    <comment ref="A14" authorId="0" shapeId="0" xr:uid="{91355905-AC50-425D-BA49-1D012FFB4887}">
      <text>
        <r>
          <rPr>
            <b/>
            <sz val="12"/>
            <color indexed="81"/>
            <rFont val="Times New Roman"/>
            <family val="1"/>
          </rPr>
          <t xml:space="preserve">Price (Item Level):  </t>
        </r>
        <r>
          <rPr>
            <sz val="12"/>
            <color indexed="81"/>
            <rFont val="Times New Roman"/>
            <family val="1"/>
          </rPr>
          <t xml:space="preserve">3,500 gp (8th)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standard (manipulation)
</t>
        </r>
        <r>
          <rPr>
            <b/>
            <sz val="12"/>
            <color indexed="81"/>
            <rFont val="Times New Roman"/>
            <family val="1"/>
          </rPr>
          <t xml:space="preserve">Weight:  </t>
        </r>
        <r>
          <rPr>
            <sz val="12"/>
            <color indexed="81"/>
            <rFont val="Times New Roman"/>
            <family val="1"/>
          </rPr>
          <t xml:space="preserve">—
This large ring is set with a faceted ruby.  Closer inspection reveals a tiny trigger near the base of the stone.  Hidden below the stone in this ring is a set of tiny prongs, wires, and other small devices that spring out when the trigger is depressed.
Using a lockpicking ring grants you a +5 competence bonus on Open Lock checks.  This is a continuous effect and requires no activation.  In addition, you can activate the ring once per day to use </t>
        </r>
        <r>
          <rPr>
            <i/>
            <sz val="12"/>
            <color indexed="81"/>
            <rFont val="Times New Roman"/>
            <family val="1"/>
          </rPr>
          <t>knock</t>
        </r>
        <r>
          <rPr>
            <sz val="12"/>
            <color indexed="81"/>
            <rFont val="Times New Roman"/>
            <family val="1"/>
          </rPr>
          <t xml:space="preserve">.  You must touch the ring to the portal you want to open.
</t>
        </r>
        <r>
          <rPr>
            <b/>
            <sz val="12"/>
            <color indexed="81"/>
            <rFont val="Times New Roman"/>
            <family val="1"/>
          </rPr>
          <t xml:space="preserve">Prerequisites:  </t>
        </r>
        <r>
          <rPr>
            <sz val="12"/>
            <color indexed="81"/>
            <rFont val="Times New Roman"/>
            <family val="1"/>
          </rPr>
          <t xml:space="preserve">Forge Ring, knock.
</t>
        </r>
        <r>
          <rPr>
            <b/>
            <sz val="12"/>
            <color indexed="81"/>
            <rFont val="Times New Roman"/>
            <family val="1"/>
          </rPr>
          <t xml:space="preserve">Cost to Create:  </t>
        </r>
        <r>
          <rPr>
            <sz val="12"/>
            <color indexed="81"/>
            <rFont val="Times New Roman"/>
            <family val="1"/>
          </rPr>
          <t>1,750 gp, 140 XP, 4 days.
MIC 114</t>
        </r>
      </text>
    </comment>
    <comment ref="A15" authorId="0" shapeId="0" xr:uid="{04136A33-6924-456F-B761-E84AAE5268E0}">
      <text>
        <r>
          <rPr>
            <b/>
            <sz val="12"/>
            <color indexed="81"/>
            <rFont val="Times New Roman"/>
            <family val="1"/>
          </rPr>
          <t xml:space="preserve">Price (Item Level): </t>
        </r>
        <r>
          <rPr>
            <sz val="12"/>
            <color indexed="81"/>
            <rFont val="Times New Roman"/>
            <family val="1"/>
          </rPr>
          <t xml:space="preserve">4,000 gp (8th)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Broad lines radiate from the eyes of this blue leather mask, each ending in a spiral.
You gain a +3 resistance bonus on saving throws against mind-affecting spells and abilities.
MIC 116</t>
        </r>
      </text>
    </comment>
    <comment ref="A16" authorId="0" shapeId="0" xr:uid="{38F12655-306D-4EBB-A9C5-8E4E79B8F69A}">
      <text>
        <r>
          <rPr>
            <sz val="12"/>
            <color indexed="81"/>
            <rFont val="Times New Roman"/>
            <family val="1"/>
          </rPr>
          <t>This item appears to be a normal cloak, but when worn by a character its magical properties distort and warp light waves. This displacement works similar to the displacement spell except that it only grants a 20% miss chance on attacks against the wearer. It functions continually.
DMG 253</t>
        </r>
      </text>
    </comment>
    <comment ref="A18" authorId="0" shapeId="0" xr:uid="{F2E50024-7A1F-4031-9DB1-E060D648C567}">
      <text>
        <r>
          <rPr>
            <b/>
            <sz val="12"/>
            <color indexed="81"/>
            <rFont val="Times New Roman"/>
            <family val="1"/>
          </rPr>
          <t xml:space="preserve">Price (Item Level): </t>
        </r>
        <r>
          <rPr>
            <sz val="12"/>
            <color indexed="81"/>
            <rFont val="Times New Roman"/>
            <family val="1"/>
          </rPr>
          <t xml:space="preserve">60,000 gp (18th) (minor); 120,000 gp (21st) (major); 180,000 gp (24th) (greater)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15th
</t>
        </r>
        <r>
          <rPr>
            <b/>
            <sz val="12"/>
            <color indexed="81"/>
            <rFont val="Times New Roman"/>
            <family val="1"/>
          </rPr>
          <t xml:space="preserve">Aura: </t>
        </r>
        <r>
          <rPr>
            <sz val="12"/>
            <color indexed="81"/>
            <rFont val="Times New Roman"/>
            <family val="1"/>
          </rPr>
          <t xml:space="preserve">Strong; (DC 22)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gold ring is imprinted with symbols representing the five energy types.
A ring of universal energy resistance functions as a ring of energy resistance (DMG 232) for all types of energy: fire, cold, electricity, acid, and sonic. A minor ring provides resistance 10, a major ring resistance 20, and a greater ring resistance 30.
MIC 128</t>
        </r>
      </text>
    </comment>
    <comment ref="A19" authorId="0" shapeId="0" xr:uid="{E44401D8-36FB-4CC1-82C4-826453258120}">
      <text>
        <r>
          <rPr>
            <b/>
            <sz val="12"/>
            <color indexed="81"/>
            <rFont val="Times New Roman"/>
            <family val="1"/>
          </rPr>
          <t xml:space="preserve">Price (Item Level): </t>
        </r>
        <r>
          <rPr>
            <sz val="12"/>
            <color indexed="81"/>
            <rFont val="Times New Roman"/>
            <family val="1"/>
          </rPr>
          <t xml:space="preserve">10,600 gp (13th)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and transmutation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4 lb.
The head of this long rod of black wood bears the stylized visage of a wise-looking feline, its green gemstone eyes glimmering as if alive.
When held, this +1/masterwork quarterstaff grants you low-light vision and a +5 competence bonus on Hide and Move Silently checks. These are continuous effects and requires no activation.
Once per day, you can activate a rod of cats to gain one of two different effects: The rod creates a spider climb effect on you with a duration of 50 minutes, or it creates a darkness effect, targeted on the rod.  You and anyone else touching the rod of cats can see normally within this darkness.
The rod also has a secret compartment (requiring a successful DC 25 Search check to find) large enough to hold a set of thieves’ tools, a scroll, or another object of similar size.
MIC 56</t>
        </r>
      </text>
    </comment>
    <comment ref="A20" authorId="0" shapeId="0" xr:uid="{296ED77E-3E9A-4C46-AFFF-839987B98162}">
      <text>
        <r>
          <rPr>
            <b/>
            <sz val="12"/>
            <color indexed="81"/>
            <rFont val="Times New Roman"/>
            <family val="1"/>
          </rPr>
          <t xml:space="preserve">Price (Item Level): </t>
        </r>
        <r>
          <rPr>
            <sz val="12"/>
            <color indexed="81"/>
            <rFont val="Times New Roman"/>
            <family val="1"/>
          </rPr>
          <t xml:space="preserve">9,000 gp (12th)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(mental)
</t>
        </r>
        <r>
          <rPr>
            <b/>
            <sz val="12"/>
            <color indexed="81"/>
            <rFont val="Times New Roman"/>
            <family val="1"/>
          </rPr>
          <t xml:space="preserve">Weight: </t>
        </r>
        <r>
          <rPr>
            <sz val="12"/>
            <color indexed="81"/>
            <rFont val="Times New Roman"/>
            <family val="1"/>
          </rPr>
          <t>1 lb.
These exquisite sandals are made of mithral and green leather, and they bear intricatez overlapping pieces of leather crafted to look like leaves.
Wearing a pair of sandals of the light step provides you with a +10-foot enhancement bonus to your base land speed, and you can ignore any extra movement costs for difficult terrain (PH 148). You also leave no tracks, as if affected by pass without trace.
When you activate these sandals, you gain the benefit of a water walk spell for 60 minutes. You can share this effect with up to five allies adjacent to you when you activate the sandals, though doing this reduces the overall duration accordingly.
For example, if you share the effect with one other person, the duration is 30 minutes apiece; if you share it with 5 other people, the duration is 10 minutes apiece.
This ability functions once per day.9,000 gp (12th)
MIC 198</t>
        </r>
      </text>
    </comment>
    <comment ref="A21" authorId="0" shapeId="0" xr:uid="{6306A5D4-5953-4188-A0F7-F02ED5737B0C}">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26" authorId="0" shapeId="0" xr:uid="{00000000-0006-0000-0600-000003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Immediate (mental)
</t>
        </r>
        <r>
          <rPr>
            <b/>
            <sz val="12"/>
            <color indexed="81"/>
            <rFont val="Times New Roman"/>
            <family val="1"/>
          </rPr>
          <t xml:space="preserve">Weight:  </t>
        </r>
        <r>
          <rPr>
            <sz val="12"/>
            <color indexed="81"/>
            <rFont val="Times New Roman"/>
            <family val="1"/>
          </rPr>
          <t>—
This tiny, hollow glass flower dangles from a slim golden chain.
A chronocharm of the grand master slows your perception of time, allowing you to better dodge an incoming ranged attack.  When it is activated, you gain a +5 dodge bonus to your AC against a single ranged attack.  This ability functions once per day.
A chronocharm occupies the throat body slot, but it can be worn simultaneously with any number of other chronocharms, which all function normally.  However, you can’t wear more than one of the same chronocharm.
You must wear a chronocharm for 24 hours before you can access its abilities.  If it is taken off, it becomes inactive until worn for an additional 24 hours.
Magic Item Compendium 86</t>
        </r>
      </text>
    </comment>
    <comment ref="A28" authorId="0" shapeId="0" xr:uid="{00000000-0006-0000-0600-000004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 ref="A36" authorId="0" shapeId="0" xr:uid="{62A0C8BC-ABAA-4ED5-9FFF-DE083E3C7C81}">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<sst xmlns="http://schemas.openxmlformats.org/spreadsheetml/2006/main" count="499" uniqueCount="275">
  <si>
    <t>Level</t>
  </si>
  <si>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</si>
  <si>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</si>
  <si>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</si>
  <si>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</si>
  <si>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</si>
  <si>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</si>
  <si>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</si>
  <si>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</si>
  <si>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</si>
  <si>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</si>
  <si>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</si>
  <si>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</si>
  <si>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</si>
  <si>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</si>
  <si>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</si>
  <si>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</si>
  <si>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</si>
  <si>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</si>
  <si>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</si>
  <si>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</si>
  <si>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</si>
  <si>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</si>
  <si>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</si>
  <si>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</si>
  <si>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</si>
  <si>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</si>
  <si>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</si>
  <si>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</si>
  <si>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</si>
  <si>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</si>
  <si>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</si>
  <si>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</si>
  <si>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</si>
  <si>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</si>
  <si>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</si>
  <si>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</si>
  <si>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</si>
  <si>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</si>
  <si>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</si>
  <si>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</si>
  <si>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</si>
  <si>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</si>
  <si>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</si>
  <si>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</si>
  <si>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</si>
  <si>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</si>
  <si>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</si>
  <si>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</si>
  <si>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</si>
  <si>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</si>
  <si>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</si>
  <si>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</si>
  <si>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</si>
  <si>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</si>
  <si>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</si>
  <si>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</si>
  <si>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</si>
  <si>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</si>
  <si>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</si>
  <si>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</si>
  <si>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</si>
  <si>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</si>
  <si>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</si>
  <si>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</si>
  <si>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</si>
  <si>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</si>
  <si>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</si>
  <si>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</si>
  <si>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</si>
  <si>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</si>
  <si>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</si>
  <si>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</si>
  <si>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</si>
  <si>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Dispel Magic</t>
  </si>
  <si>
    <t>Perform:  (type)</t>
  </si>
  <si>
    <t>Sleight of Hand</t>
  </si>
  <si>
    <t>Survival</t>
  </si>
  <si>
    <t>Atk</t>
  </si>
  <si>
    <t>Proficiencies</t>
  </si>
  <si>
    <t>2</t>
  </si>
  <si>
    <t>4</t>
  </si>
  <si>
    <t>Racial Abilities</t>
  </si>
  <si>
    <t>already built into stats</t>
  </si>
  <si>
    <t>Explorer’s Outfit</t>
  </si>
  <si>
    <t>Backpack</t>
  </si>
  <si>
    <t>Spell Component Pouch</t>
  </si>
  <si>
    <t>1d3</t>
  </si>
  <si>
    <t>-</t>
  </si>
  <si>
    <t>Healing Belt</t>
  </si>
  <si>
    <t>Everlasting Rations</t>
  </si>
  <si>
    <t>Chronocharm of the Grand Master</t>
  </si>
  <si>
    <t>Roll</t>
  </si>
  <si>
    <t>+2 vs. Fear</t>
  </si>
  <si>
    <t>20’</t>
  </si>
  <si>
    <t>Scrolls and Potions</t>
  </si>
  <si>
    <t>CLev</t>
  </si>
  <si>
    <t>Feats</t>
  </si>
  <si>
    <t>x2</t>
  </si>
  <si>
    <t>1</t>
  </si>
  <si>
    <t>Rogue</t>
  </si>
  <si>
    <t>Rogue 1</t>
  </si>
  <si>
    <t>Rogue Features</t>
  </si>
  <si>
    <t>Trapfinding</t>
  </si>
  <si>
    <t>varies</t>
  </si>
  <si>
    <t>1d4</t>
  </si>
  <si>
    <t>Prc/Slash</t>
  </si>
  <si>
    <t>Skill/Save</t>
  </si>
  <si>
    <t>Ranged Touch Attack</t>
  </si>
  <si>
    <t>Dagger, 2nd Attack</t>
  </si>
  <si>
    <t>Goggles of Night</t>
  </si>
  <si>
    <t>Thrown Weapon</t>
  </si>
  <si>
    <t>Female</t>
  </si>
  <si>
    <t>Chaotic Neutral</t>
  </si>
  <si>
    <t>Rogue 2</t>
  </si>
  <si>
    <t>Rogue 3</t>
  </si>
  <si>
    <t>Rogue 4</t>
  </si>
  <si>
    <t>Rogue 5</t>
  </si>
  <si>
    <t>Rogue 6</t>
  </si>
  <si>
    <t>Rogue 7</t>
  </si>
  <si>
    <t>Evasion</t>
  </si>
  <si>
    <t>Uncanny Dodge</t>
  </si>
  <si>
    <t>All Armor, Shields (not Tower)</t>
  </si>
  <si>
    <t>Rogue Weapons, Simple Weapons</t>
  </si>
  <si>
    <t>Dart of Sleep, 1</t>
  </si>
  <si>
    <t>Armor Spell</t>
  </si>
  <si>
    <t>Value</t>
  </si>
  <si>
    <t>Total Equity:</t>
  </si>
  <si>
    <t>x3</t>
  </si>
  <si>
    <t>Other hin bonuses and penalties</t>
  </si>
  <si>
    <t>Race (Type)</t>
  </si>
  <si>
    <t>Class</t>
  </si>
  <si>
    <t>Sex</t>
  </si>
  <si>
    <t>Deity</t>
  </si>
  <si>
    <t>Alignment</t>
  </si>
  <si>
    <t>Attack Bonus</t>
  </si>
  <si>
    <t>Initiative</t>
  </si>
  <si>
    <t>Age</t>
  </si>
  <si>
    <t>Height</t>
  </si>
  <si>
    <t>Weight</t>
  </si>
  <si>
    <t>Base Speed</t>
  </si>
  <si>
    <t>Actual Speed</t>
  </si>
  <si>
    <t>Lb. Capacity</t>
  </si>
  <si>
    <t>Lb. Carried</t>
  </si>
  <si>
    <t>Hit Points</t>
  </si>
  <si>
    <t>Touch AC</t>
  </si>
  <si>
    <t>FF AC</t>
  </si>
  <si>
    <t>AC</t>
  </si>
  <si>
    <t>Strength</t>
  </si>
  <si>
    <t>Dexterity</t>
  </si>
  <si>
    <t>Constitution</t>
  </si>
  <si>
    <t>Intelligence</t>
  </si>
  <si>
    <t>Wisdom</t>
  </si>
  <si>
    <t>Charisma</t>
  </si>
  <si>
    <t>Arrows</t>
  </si>
  <si>
    <t>+0</t>
  </si>
  <si>
    <t>Current Limit:</t>
  </si>
  <si>
    <t>Touch Attack</t>
  </si>
  <si>
    <r>
      <t xml:space="preserve">Potion of </t>
    </r>
    <r>
      <rPr>
        <i/>
        <sz val="12"/>
        <rFont val="Times New Roman"/>
        <family val="1"/>
      </rPr>
      <t>Cure Moderate Wounds</t>
    </r>
  </si>
  <si>
    <r>
      <t xml:space="preserve">Potion of </t>
    </r>
    <r>
      <rPr>
        <i/>
        <sz val="12"/>
        <rFont val="Times New Roman"/>
        <family val="1"/>
      </rPr>
      <t>Cure Serious Wounds</t>
    </r>
  </si>
  <si>
    <r>
      <t xml:space="preserve">Scroll of </t>
    </r>
    <r>
      <rPr>
        <i/>
        <sz val="12"/>
        <rFont val="Times New Roman"/>
        <family val="1"/>
      </rPr>
      <t>Fly</t>
    </r>
  </si>
  <si>
    <r>
      <t xml:space="preserve">Scroll of </t>
    </r>
    <r>
      <rPr>
        <i/>
        <sz val="12"/>
        <rFont val="Times New Roman"/>
        <family val="1"/>
      </rPr>
      <t>Enervation</t>
    </r>
  </si>
  <si>
    <r>
      <t xml:space="preserve">Scroll of </t>
    </r>
    <r>
      <rPr>
        <i/>
        <sz val="12"/>
        <rFont val="Times New Roman"/>
        <family val="1"/>
      </rPr>
      <t>Stoneskin</t>
    </r>
  </si>
  <si>
    <r>
      <t xml:space="preserve">Scroll of </t>
    </r>
    <r>
      <rPr>
        <i/>
        <sz val="12"/>
        <rFont val="Times New Roman"/>
        <family val="1"/>
      </rPr>
      <t>Summon Monster III</t>
    </r>
  </si>
  <si>
    <r>
      <t xml:space="preserve">Wand of </t>
    </r>
    <r>
      <rPr>
        <i/>
        <sz val="12"/>
        <rFont val="Times New Roman"/>
        <family val="1"/>
      </rPr>
      <t>Cure Light Wounds</t>
    </r>
  </si>
  <si>
    <t>Amulet of Wisdom +2</t>
  </si>
  <si>
    <t>Sandals of the Light Step</t>
  </si>
  <si>
    <r>
      <t xml:space="preserve">Wand of </t>
    </r>
    <r>
      <rPr>
        <i/>
        <sz val="12"/>
        <rFont val="Times New Roman"/>
        <family val="1"/>
      </rPr>
      <t>Cure Serious Wounds</t>
    </r>
  </si>
  <si>
    <t>Grapple</t>
  </si>
  <si>
    <r>
      <t xml:space="preserve">Scroll of </t>
    </r>
    <r>
      <rPr>
        <i/>
        <sz val="12"/>
        <rFont val="Times New Roman"/>
        <family val="1"/>
      </rPr>
      <t>Teleportation</t>
    </r>
  </si>
  <si>
    <t>Shortbow, 2nd Shot</t>
  </si>
  <si>
    <t>Tallfellow Halfling (Small Humanoid)</t>
  </si>
  <si>
    <t>3’ 11”</t>
  </si>
  <si>
    <t>120 lbs.</t>
  </si>
  <si>
    <t>ECL:</t>
  </si>
  <si>
    <r>
      <t>32</t>
    </r>
    <r>
      <rPr>
        <sz val="13"/>
        <rFont val="Times New Roman"/>
        <family val="1"/>
      </rPr>
      <t>/</t>
    </r>
    <r>
      <rPr>
        <sz val="13"/>
        <color indexed="51"/>
        <rFont val="Times New Roman"/>
        <family val="1"/>
      </rPr>
      <t>65</t>
    </r>
    <r>
      <rPr>
        <sz val="13"/>
        <rFont val="Times New Roman"/>
        <family val="1"/>
      </rPr>
      <t>/</t>
    </r>
    <r>
      <rPr>
        <sz val="13"/>
        <color indexed="10"/>
        <rFont val="Times New Roman"/>
        <family val="1"/>
      </rPr>
      <t>98</t>
    </r>
  </si>
  <si>
    <t>Rogue 8</t>
  </si>
  <si>
    <t>Rogue 9</t>
  </si>
  <si>
    <t>Rogue 10</t>
  </si>
  <si>
    <t>Rogue 11</t>
  </si>
  <si>
    <t>Rogue 12</t>
  </si>
  <si>
    <t>Rogue 13</t>
  </si>
  <si>
    <t>Rogue 14</t>
  </si>
  <si>
    <t>Rogue 15</t>
  </si>
  <si>
    <t>Rogue 16</t>
  </si>
  <si>
    <t>Rogue 17</t>
  </si>
  <si>
    <t>9th: Alertness</t>
  </si>
  <si>
    <t>Craft:  Metalworking</t>
  </si>
  <si>
    <t>Knowledge:  Local</t>
  </si>
  <si>
    <t>Profession:  (type)</t>
  </si>
  <si>
    <t>Improved Uncanny Dodge</t>
  </si>
  <si>
    <t>Played by JR Roberts</t>
  </si>
  <si>
    <t>Halfling, Common, Dwarven</t>
  </si>
  <si>
    <t>Elven, Gnome, Orc</t>
  </si>
  <si>
    <t>Ring of Protection +5</t>
  </si>
  <si>
    <t>Minor Cloak of Displacement</t>
  </si>
  <si>
    <t>Ring of Feather Falling</t>
  </si>
  <si>
    <t>Rod of Cats</t>
  </si>
  <si>
    <t>Restful Crystal</t>
  </si>
  <si>
    <t>Lesser Crystal of Return</t>
  </si>
  <si>
    <t>1d3+2</t>
  </si>
  <si>
    <t>Scout’s Headband</t>
  </si>
  <si>
    <t>Thieves’ Tools, Masterwork</t>
  </si>
  <si>
    <t>+2 to Disable Device &amp; Open Locks</t>
  </si>
  <si>
    <t>Lockpicking Ring</t>
  </si>
  <si>
    <t>1st: Acrobatic</t>
  </si>
  <si>
    <t>3rd: Improved Initiative</t>
  </si>
  <si>
    <t>6th: Athletic</t>
  </si>
  <si>
    <t>12th:  Lightning Reflexes</t>
  </si>
  <si>
    <t>15th: Nimble Fingers</t>
  </si>
  <si>
    <t>Special Ability:  Crippling Strike</t>
  </si>
  <si>
    <t>Special Ability:  Improved Evasion</t>
  </si>
  <si>
    <t>Special Ability:  Skill Mastery</t>
  </si>
  <si>
    <t>Equity on this page:</t>
  </si>
  <si>
    <t>Auto Search for hidden doors</t>
  </si>
  <si>
    <t>50 charges</t>
  </si>
  <si>
    <t>Not normally worn</t>
  </si>
  <si>
    <t>Casual Outfit</t>
  </si>
  <si>
    <t>Grooming Kit</t>
  </si>
  <si>
    <t>Flint &amp; Steel</t>
  </si>
  <si>
    <t xml:space="preserve">Waterskin </t>
  </si>
  <si>
    <t>Bedroll</t>
  </si>
  <si>
    <t>Belt Pouches</t>
  </si>
  <si>
    <t>four</t>
  </si>
  <si>
    <t>Cold Weather Outfit</t>
  </si>
  <si>
    <t>Aasterinian</t>
  </si>
  <si>
    <t>Brene</t>
  </si>
  <si>
    <t>18th:  Darkstalker</t>
  </si>
  <si>
    <t>Rogue 18</t>
  </si>
  <si>
    <t>Knowledge:  The Planes</t>
  </si>
  <si>
    <t>Knowledge:  Dungeoneering</t>
  </si>
  <si>
    <t>CROSS-CLASS</t>
  </si>
  <si>
    <t>Region</t>
  </si>
  <si>
    <t>Athkatla</t>
  </si>
  <si>
    <t>Gold Coins</t>
  </si>
  <si>
    <r>
      <t xml:space="preserve">+1 </t>
    </r>
    <r>
      <rPr>
        <i/>
        <sz val="13"/>
        <rFont val="Times New Roman"/>
        <family val="1"/>
      </rPr>
      <t>haste</t>
    </r>
  </si>
  <si>
    <r>
      <t xml:space="preserve">Shortbow, </t>
    </r>
    <r>
      <rPr>
        <i/>
        <sz val="12"/>
        <rFont val="Times New Roman"/>
        <family val="1"/>
      </rPr>
      <t>haste</t>
    </r>
  </si>
  <si>
    <t>Vest of Resistance +3</t>
  </si>
  <si>
    <t>Darkvision</t>
  </si>
  <si>
    <t>60’ x 2</t>
  </si>
  <si>
    <t>17-20, x2</t>
  </si>
  <si>
    <t>Rogue 19</t>
  </si>
  <si>
    <t>Sneak Attack 10d6</t>
  </si>
  <si>
    <t>Trap Sense +6</t>
  </si>
  <si>
    <t>Keen Dagger of Wounding +4</t>
  </si>
  <si>
    <t>Gloves of Dexterity +6</t>
  </si>
  <si>
    <t>Mindarmor Soulfire Mithral +5 Chainmail</t>
  </si>
  <si>
    <t>Mask of Mental Armor</t>
  </si>
  <si>
    <t>Greater Truedeath Crystal</t>
  </si>
  <si>
    <t>Greater Crystal of Arcane Steel</t>
  </si>
  <si>
    <t>+1 to touch spells</t>
  </si>
  <si>
    <t>+1</t>
  </si>
  <si>
    <t>1d6</t>
  </si>
  <si>
    <t>vs.</t>
  </si>
  <si>
    <t>undead</t>
  </si>
  <si>
    <t>Bracers of Armor +5</t>
  </si>
  <si>
    <t>Ring of Universal Energy Resistance</t>
  </si>
  <si>
    <t>30’</t>
  </si>
  <si>
    <t>AFFIXED</t>
  </si>
  <si>
    <t>Shortbow, Rapid Shot</t>
  </si>
  <si>
    <t>Rapid Shortbow +2</t>
  </si>
  <si>
    <t>“Pussyfoot” Noakes</t>
  </si>
  <si>
    <t>Conduit Rod</t>
  </si>
  <si>
    <t>Bottle of Air</t>
  </si>
  <si>
    <t>Quiver of Energy</t>
  </si>
  <si>
    <t>Dagger, 3rd Attack</t>
  </si>
  <si>
    <t>Shortbow, 3rd Shot</t>
  </si>
  <si>
    <t>Rogue 20</t>
  </si>
  <si>
    <t>Special Ability - Opportunist</t>
  </si>
  <si>
    <t>Winged Boots of Greater Agility</t>
  </si>
  <si>
    <t>Bag of Holding Type III</t>
  </si>
  <si>
    <t>% Full:</t>
  </si>
  <si>
    <t>Bypass Spell Resistance</t>
  </si>
  <si>
    <t>11 charges</t>
  </si>
  <si>
    <t>Worn by child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</si>
</sst>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60"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53"/>
      <name val="Times New Roman"/>
      <family val="1"/>
    </font>
    <font>
      <i/>
      <sz val="12"/>
      <name val="Times New Roman"/>
      <family val="1"/>
    </font>
    <font>
      <b/>
      <sz val="12"/>
      <color indexed="81"/>
      <name val="Times New Roman"/>
      <family val="1"/>
    </font>
    <font>
      <i/>
      <sz val="22"/>
      <name val="Times New Roman"/>
      <family val="1"/>
    </font>
    <font>
      <i/>
      <sz val="12"/>
      <color indexed="52"/>
      <name val="Times New Roman"/>
      <family val="1"/>
    </font>
    <font>
      <i/>
      <sz val="16"/>
      <color indexed="10"/>
      <name val="Times New Roman"/>
      <family val="1"/>
    </font>
    <font>
      <sz val="10"/>
      <name val="Arial"/>
      <family val="2"/>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sz val="12"/>
      <name val="Times New Roman"/>
      <family val="1"/>
      <charset val="1"/>
    </font>
    <font>
      <i/>
      <sz val="18"/>
      <color rgb="FF00B050"/>
      <name val="Times New Roman"/>
      <family val="1"/>
    </font>
    <font>
      <i/>
      <sz val="16"/>
      <color rgb="FF00B0F0"/>
      <name val="Times New Roman"/>
      <family val="1"/>
    </font>
    <font>
      <sz val="13"/>
      <color rgb="FF0000FF"/>
      <name val="Times New Roman"/>
      <family val="1"/>
    </font>
    <font>
      <i/>
      <sz val="12"/>
      <color indexed="81"/>
      <name val="Times New Roman"/>
      <family val="1"/>
    </font>
    <font>
      <i/>
      <sz val="22"/>
      <color theme="0" tint="-0.34998626667073579"/>
      <name val="Times New Roman"/>
      <family val="1"/>
    </font>
    <font>
      <sz val="12"/>
      <color rgb="FFFF0000"/>
      <name val="Times New Roman"/>
      <family val="1"/>
    </font>
    <font>
      <i/>
      <sz val="13"/>
      <name val="Times New Roman"/>
      <family val="1"/>
    </font>
    <font>
      <b/>
      <sz val="13"/>
      <color rgb="FF00B0F0"/>
      <name val="Times New Roman"/>
      <family val="1"/>
    </font>
    <font>
      <i/>
      <sz val="17"/>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indexed="42"/>
        <bgColor indexed="55"/>
      </patternFill>
    </fill>
    <fill>
      <patternFill patternType="solid">
        <fgColor rgb="FFCC99FF"/>
        <bgColor indexed="64"/>
      </patternFill>
    </fill>
    <fill>
      <patternFill patternType="solid">
        <fgColor rgb="FFFF0000"/>
        <bgColor indexed="64"/>
      </patternFill>
    </fill>
    <fill>
      <patternFill patternType="solid">
        <fgColor theme="0" tint="-0.249977111117893"/>
        <bgColor indexed="64"/>
      </patternFill>
    </fill>
    <fill>
      <patternFill patternType="solid">
        <fgColor rgb="FFCCFFCC"/>
        <bgColor indexed="64"/>
      </patternFill>
    </fill>
    <fill>
      <patternFill patternType="solid">
        <fgColor rgb="FFCCFFCC"/>
        <bgColor indexed="55"/>
      </patternFill>
    </fill>
    <fill>
      <patternFill patternType="solid">
        <fgColor rgb="FFFFC000"/>
        <bgColor indexed="64"/>
      </patternFill>
    </fill>
    <fill>
      <patternFill patternType="solid">
        <fgColor rgb="FF9900FF"/>
        <bgColor indexed="64"/>
      </patternFill>
    </fill>
    <fill>
      <patternFill patternType="solid">
        <fgColor rgb="FF9966FF"/>
        <bgColor indexed="64"/>
      </patternFill>
    </fill>
    <fill>
      <patternFill patternType="solid">
        <fgColor rgb="FFFFFF00"/>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bottom style="thin">
        <color indexed="9"/>
      </bottom>
      <diagonal/>
    </border>
    <border>
      <left style="double">
        <color indexed="64"/>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top style="hair">
        <color indexed="64"/>
      </top>
      <bottom style="double">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bottom style="thin">
        <color auto="1"/>
      </bottom>
      <diagonal/>
    </border>
    <border>
      <left/>
      <right style="medium">
        <color auto="1"/>
      </right>
      <top style="thin">
        <color indexed="64"/>
      </top>
      <bottom style="double">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double">
        <color indexed="64"/>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double">
        <color indexed="64"/>
      </right>
      <top/>
      <bottom style="hair">
        <color indexed="64"/>
      </bottom>
      <diagonal/>
    </border>
    <border>
      <left style="hair">
        <color indexed="64"/>
      </left>
      <right/>
      <top style="hair">
        <color indexed="64"/>
      </top>
      <bottom style="double">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41" fillId="0" borderId="0"/>
    <xf numFmtId="0" fontId="2" fillId="0" borderId="0"/>
    <xf numFmtId="0" fontId="2" fillId="0" borderId="0"/>
    <xf numFmtId="9" fontId="2" fillId="0" borderId="0" applyFont="0" applyFill="0" applyBorder="0" applyAlignment="0" applyProtection="0"/>
    <xf numFmtId="0" fontId="50" fillId="0" borderId="0"/>
    <xf numFmtId="0" fontId="2" fillId="0" borderId="0"/>
    <xf numFmtId="0" fontId="1" fillId="0" borderId="0"/>
    <xf numFmtId="9" fontId="2" fillId="0" borderId="0" applyFont="0" applyFill="0" applyBorder="0" applyAlignment="0" applyProtection="0"/>
    <xf numFmtId="43" fontId="2" fillId="0" borderId="0" applyFont="0" applyFill="0" applyBorder="0" applyAlignment="0" applyProtection="0"/>
  </cellStyleXfs>
  <cellXfs count="527">
    <xf numFmtId="0" fontId="0" fillId="0" borderId="0" xfId="0"/>
    <xf numFmtId="0" fontId="5" fillId="0" borderId="0" xfId="0" applyFont="1"/>
    <xf numFmtId="0" fontId="6" fillId="0" borderId="1" xfId="0" applyFont="1" applyBorder="1" applyAlignment="1">
      <alignment horizontal="right"/>
    </xf>
    <xf numFmtId="0" fontId="7" fillId="0" borderId="0" xfId="0" applyFont="1" applyAlignment="1">
      <alignment horizontal="left"/>
    </xf>
    <xf numFmtId="0" fontId="6" fillId="0" borderId="0" xfId="0" applyFont="1" applyAlignment="1">
      <alignment horizontal="right"/>
    </xf>
    <xf numFmtId="0" fontId="7" fillId="0" borderId="2" xfId="0" applyFont="1" applyBorder="1" applyAlignment="1">
      <alignment horizontal="left"/>
    </xf>
    <xf numFmtId="0" fontId="13" fillId="2" borderId="4" xfId="0" applyFont="1" applyFill="1" applyBorder="1" applyAlignment="1">
      <alignment horizontal="right"/>
    </xf>
    <xf numFmtId="0" fontId="3" fillId="0" borderId="1" xfId="0" applyFont="1" applyBorder="1"/>
    <xf numFmtId="0" fontId="15" fillId="0" borderId="0" xfId="0" applyFont="1"/>
    <xf numFmtId="0" fontId="16" fillId="0" borderId="0" xfId="0" applyFont="1"/>
    <xf numFmtId="0" fontId="16" fillId="0" borderId="2" xfId="0" applyFont="1" applyBorder="1"/>
    <xf numFmtId="0" fontId="7" fillId="0" borderId="5" xfId="0" applyFont="1" applyBorder="1"/>
    <xf numFmtId="0" fontId="7" fillId="0" borderId="6" xfId="0" applyFont="1" applyBorder="1"/>
    <xf numFmtId="0" fontId="7" fillId="0" borderId="7" xfId="0" applyFont="1" applyBorder="1"/>
    <xf numFmtId="0" fontId="4" fillId="0" borderId="0" xfId="0" applyFont="1"/>
    <xf numFmtId="0" fontId="7" fillId="0" borderId="0" xfId="0" applyFont="1"/>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right"/>
    </xf>
    <xf numFmtId="0" fontId="5" fillId="0" borderId="0" xfId="0" applyFont="1" applyAlignment="1">
      <alignment horizontal="left"/>
    </xf>
    <xf numFmtId="0" fontId="16" fillId="0" borderId="0" xfId="0" applyFont="1" applyAlignment="1">
      <alignment horizontal="centerContinuous"/>
    </xf>
    <xf numFmtId="0" fontId="3" fillId="0" borderId="0" xfId="0" applyFont="1" applyAlignment="1">
      <alignment horizontal="centerContinuous"/>
    </xf>
    <xf numFmtId="0" fontId="5" fillId="0" borderId="0" xfId="0" applyFont="1" applyAlignment="1">
      <alignment horizontal="center"/>
    </xf>
    <xf numFmtId="164" fontId="5" fillId="0" borderId="0" xfId="0" applyNumberFormat="1" applyFont="1" applyAlignment="1">
      <alignment horizontal="center"/>
    </xf>
    <xf numFmtId="0" fontId="5" fillId="0" borderId="0" xfId="0" applyFont="1" applyAlignment="1">
      <alignment wrapText="1"/>
    </xf>
    <xf numFmtId="0" fontId="22" fillId="2" borderId="4" xfId="0" applyFont="1" applyFill="1" applyBorder="1" applyAlignment="1">
      <alignment horizontal="right"/>
    </xf>
    <xf numFmtId="0" fontId="8" fillId="2" borderId="11" xfId="0" applyFont="1" applyFill="1" applyBorder="1" applyAlignment="1">
      <alignment horizontal="right"/>
    </xf>
    <xf numFmtId="0" fontId="14" fillId="2" borderId="13" xfId="0" applyFont="1" applyFill="1" applyBorder="1" applyAlignment="1">
      <alignment horizontal="right"/>
    </xf>
    <xf numFmtId="0" fontId="5" fillId="0" borderId="0" xfId="0" applyFont="1" applyAlignment="1">
      <alignment horizontal="left" wrapText="1"/>
    </xf>
    <xf numFmtId="0" fontId="25" fillId="0" borderId="20" xfId="0" applyFont="1" applyBorder="1" applyAlignment="1">
      <alignment horizontal="centerContinuous"/>
    </xf>
    <xf numFmtId="0" fontId="7" fillId="0" borderId="0" xfId="0" applyFont="1" applyAlignment="1">
      <alignment horizontal="centerContinuous"/>
    </xf>
    <xf numFmtId="49" fontId="26" fillId="0" borderId="3" xfId="0" applyNumberFormat="1" applyFont="1" applyBorder="1" applyAlignment="1">
      <alignment horizontal="center"/>
    </xf>
    <xf numFmtId="49" fontId="26" fillId="0" borderId="21" xfId="0" applyNumberFormat="1" applyFont="1" applyBorder="1" applyAlignment="1">
      <alignment horizontal="center"/>
    </xf>
    <xf numFmtId="0" fontId="20"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26" fillId="0" borderId="12" xfId="0" applyNumberFormat="1" applyFont="1" applyBorder="1" applyAlignment="1">
      <alignment horizontal="center"/>
    </xf>
    <xf numFmtId="0" fontId="7" fillId="0" borderId="0" xfId="0" applyFont="1" applyAlignment="1">
      <alignment horizontal="center"/>
    </xf>
    <xf numFmtId="0" fontId="7" fillId="5" borderId="22" xfId="0" applyFont="1" applyFill="1" applyBorder="1" applyAlignment="1">
      <alignment horizontal="center"/>
    </xf>
    <xf numFmtId="49" fontId="7" fillId="5" borderId="23" xfId="0" applyNumberFormat="1" applyFont="1" applyFill="1" applyBorder="1" applyAlignment="1">
      <alignment horizontal="center"/>
    </xf>
    <xf numFmtId="0" fontId="7" fillId="5" borderId="24" xfId="0" applyFont="1" applyFill="1" applyBorder="1" applyAlignment="1">
      <alignment horizontal="center"/>
    </xf>
    <xf numFmtId="0" fontId="14" fillId="5" borderId="1" xfId="0" applyFont="1" applyFill="1" applyBorder="1"/>
    <xf numFmtId="49" fontId="23" fillId="5" borderId="22" xfId="0" applyNumberFormat="1" applyFont="1" applyFill="1" applyBorder="1" applyAlignment="1">
      <alignment horizontal="center"/>
    </xf>
    <xf numFmtId="0" fontId="23" fillId="5" borderId="23" xfId="0" applyFont="1" applyFill="1" applyBorder="1" applyAlignment="1">
      <alignment horizontal="center"/>
    </xf>
    <xf numFmtId="0" fontId="7" fillId="6" borderId="22" xfId="0" applyFont="1" applyFill="1" applyBorder="1" applyAlignment="1">
      <alignment horizontal="center"/>
    </xf>
    <xf numFmtId="49" fontId="7" fillId="6" borderId="23" xfId="0" applyNumberFormat="1" applyFont="1" applyFill="1" applyBorder="1" applyAlignment="1">
      <alignment horizontal="center"/>
    </xf>
    <xf numFmtId="164" fontId="6" fillId="7" borderId="26" xfId="0" applyNumberFormat="1" applyFont="1" applyFill="1" applyBorder="1" applyAlignment="1">
      <alignment horizontal="center"/>
    </xf>
    <xf numFmtId="0" fontId="4" fillId="0" borderId="0" xfId="0" applyFont="1" applyAlignment="1">
      <alignment horizontal="center"/>
    </xf>
    <xf numFmtId="0" fontId="7" fillId="0" borderId="22" xfId="0" applyFont="1" applyBorder="1" applyAlignment="1">
      <alignment horizontal="center"/>
    </xf>
    <xf numFmtId="49" fontId="7" fillId="0" borderId="23" xfId="0" applyNumberFormat="1" applyFont="1" applyBorder="1" applyAlignment="1">
      <alignment horizontal="center"/>
    </xf>
    <xf numFmtId="0" fontId="7" fillId="0" borderId="24" xfId="0" applyFont="1" applyBorder="1" applyAlignment="1">
      <alignment horizontal="center"/>
    </xf>
    <xf numFmtId="0" fontId="14" fillId="0" borderId="1" xfId="0" applyFont="1" applyBorder="1"/>
    <xf numFmtId="49" fontId="23" fillId="0" borderId="22" xfId="0" applyNumberFormat="1" applyFont="1" applyBorder="1" applyAlignment="1">
      <alignment horizontal="center"/>
    </xf>
    <xf numFmtId="0" fontId="23" fillId="0" borderId="23" xfId="0" applyFont="1" applyBorder="1" applyAlignment="1">
      <alignment horizontal="center"/>
    </xf>
    <xf numFmtId="0" fontId="11" fillId="6" borderId="1" xfId="0" applyFont="1" applyFill="1" applyBorder="1"/>
    <xf numFmtId="49" fontId="17" fillId="6" borderId="22" xfId="0" applyNumberFormat="1" applyFont="1" applyFill="1" applyBorder="1" applyAlignment="1">
      <alignment horizontal="center"/>
    </xf>
    <xf numFmtId="0" fontId="17" fillId="6" borderId="23" xfId="0" applyFont="1" applyFill="1" applyBorder="1" applyAlignment="1">
      <alignment horizontal="center"/>
    </xf>
    <xf numFmtId="0" fontId="7" fillId="0" borderId="1" xfId="0" applyFont="1" applyBorder="1"/>
    <xf numFmtId="0" fontId="7" fillId="0" borderId="2" xfId="0" applyFont="1" applyBorder="1"/>
    <xf numFmtId="0" fontId="35" fillId="0" borderId="27" xfId="0" applyFont="1" applyBorder="1" applyAlignment="1">
      <alignment horizontal="centerContinuous"/>
    </xf>
    <xf numFmtId="0" fontId="11" fillId="0" borderId="1" xfId="0" applyFont="1" applyBorder="1"/>
    <xf numFmtId="49" fontId="17" fillId="0" borderId="22" xfId="0" applyNumberFormat="1" applyFont="1" applyBorder="1" applyAlignment="1">
      <alignment horizontal="center"/>
    </xf>
    <xf numFmtId="0" fontId="17" fillId="0" borderId="23" xfId="0" applyFont="1" applyBorder="1" applyAlignment="1">
      <alignment horizontal="center"/>
    </xf>
    <xf numFmtId="164" fontId="3" fillId="0" borderId="0" xfId="0" applyNumberFormat="1" applyFont="1" applyAlignment="1">
      <alignment horizontal="centerContinuous"/>
    </xf>
    <xf numFmtId="0" fontId="21" fillId="3" borderId="31" xfId="0" applyFont="1" applyFill="1" applyBorder="1" applyAlignment="1">
      <alignment horizontal="center"/>
    </xf>
    <xf numFmtId="164" fontId="21" fillId="3" borderId="32" xfId="0" applyNumberFormat="1" applyFont="1" applyFill="1" applyBorder="1" applyAlignment="1">
      <alignment horizontal="center"/>
    </xf>
    <xf numFmtId="0" fontId="21" fillId="3" borderId="31" xfId="0" applyFont="1" applyFill="1" applyBorder="1" applyAlignment="1">
      <alignment horizontal="right"/>
    </xf>
    <xf numFmtId="0" fontId="21" fillId="3" borderId="33" xfId="0" applyFont="1" applyFill="1" applyBorder="1"/>
    <xf numFmtId="164" fontId="5" fillId="0" borderId="35" xfId="0" applyNumberFormat="1" applyFont="1" applyBorder="1" applyAlignment="1">
      <alignment horizontal="center" shrinkToFit="1"/>
    </xf>
    <xf numFmtId="0" fontId="5" fillId="0" borderId="36" xfId="0" applyFont="1" applyBorder="1" applyAlignment="1">
      <alignment horizontal="left" shrinkToFit="1"/>
    </xf>
    <xf numFmtId="164" fontId="5" fillId="0" borderId="38" xfId="0" applyNumberFormat="1" applyFont="1" applyBorder="1" applyAlignment="1">
      <alignment horizontal="center" shrinkToFit="1"/>
    </xf>
    <xf numFmtId="0" fontId="5" fillId="0" borderId="39" xfId="0" applyFont="1" applyBorder="1" applyAlignment="1">
      <alignment horizontal="left" shrinkToFit="1"/>
    </xf>
    <xf numFmtId="164" fontId="3" fillId="0" borderId="0" xfId="0" applyNumberFormat="1" applyFont="1" applyAlignment="1">
      <alignment horizontal="centerContinuous" shrinkToFit="1"/>
    </xf>
    <xf numFmtId="0" fontId="3" fillId="0" borderId="0" xfId="0" applyFont="1" applyAlignment="1">
      <alignment horizontal="centerContinuous" shrinkToFit="1"/>
    </xf>
    <xf numFmtId="0" fontId="5" fillId="0" borderId="40" xfId="0" applyFont="1" applyBorder="1" applyAlignment="1">
      <alignment horizontal="left" shrinkToFit="1"/>
    </xf>
    <xf numFmtId="164" fontId="5" fillId="0" borderId="41" xfId="0" applyNumberFormat="1" applyFont="1" applyBorder="1" applyAlignment="1">
      <alignment horizontal="center" shrinkToFit="1"/>
    </xf>
    <xf numFmtId="0" fontId="13" fillId="0" borderId="23" xfId="0" applyFont="1" applyBorder="1" applyAlignment="1">
      <alignment horizontal="center"/>
    </xf>
    <xf numFmtId="0" fontId="7" fillId="4" borderId="22" xfId="0" applyFont="1" applyFill="1" applyBorder="1" applyAlignment="1">
      <alignment horizontal="center"/>
    </xf>
    <xf numFmtId="49" fontId="7" fillId="4" borderId="23" xfId="0" applyNumberFormat="1" applyFont="1" applyFill="1" applyBorder="1" applyAlignment="1">
      <alignment horizontal="center"/>
    </xf>
    <xf numFmtId="0" fontId="7" fillId="4" borderId="24" xfId="0" applyFont="1" applyFill="1" applyBorder="1" applyAlignment="1">
      <alignment horizontal="center"/>
    </xf>
    <xf numFmtId="0" fontId="11" fillId="4" borderId="1" xfId="0" applyFont="1" applyFill="1" applyBorder="1"/>
    <xf numFmtId="49" fontId="17" fillId="4" borderId="22" xfId="0" applyNumberFormat="1" applyFont="1" applyFill="1" applyBorder="1" applyAlignment="1">
      <alignment horizontal="center"/>
    </xf>
    <xf numFmtId="0" fontId="17" fillId="4" borderId="23" xfId="0" applyFont="1" applyFill="1" applyBorder="1" applyAlignment="1">
      <alignment horizontal="center"/>
    </xf>
    <xf numFmtId="0" fontId="7" fillId="6" borderId="24" xfId="0" quotePrefix="1" applyFont="1" applyFill="1" applyBorder="1" applyAlignment="1">
      <alignment horizontal="center"/>
    </xf>
    <xf numFmtId="0" fontId="7" fillId="0" borderId="45" xfId="0" applyFont="1" applyBorder="1" applyAlignment="1">
      <alignment horizontal="center"/>
    </xf>
    <xf numFmtId="0" fontId="7" fillId="0" borderId="24" xfId="0" quotePrefix="1" applyFont="1" applyBorder="1" applyAlignment="1">
      <alignment horizontal="center"/>
    </xf>
    <xf numFmtId="0" fontId="8" fillId="4" borderId="50" xfId="0" applyFont="1" applyFill="1" applyBorder="1" applyAlignment="1">
      <alignment horizontal="right"/>
    </xf>
    <xf numFmtId="0" fontId="11" fillId="4" borderId="50" xfId="0" applyFont="1" applyFill="1" applyBorder="1" applyAlignment="1">
      <alignment horizontal="right"/>
    </xf>
    <xf numFmtId="0" fontId="11" fillId="4" borderId="51" xfId="0" applyFont="1" applyFill="1" applyBorder="1" applyAlignment="1">
      <alignment horizontal="right"/>
    </xf>
    <xf numFmtId="0" fontId="7" fillId="0" borderId="52" xfId="0" applyFont="1" applyBorder="1" applyAlignment="1">
      <alignment horizontal="centerContinuous"/>
    </xf>
    <xf numFmtId="0" fontId="7" fillId="9" borderId="22" xfId="0" applyFont="1" applyFill="1" applyBorder="1" applyAlignment="1">
      <alignment horizontal="center"/>
    </xf>
    <xf numFmtId="49" fontId="7" fillId="9" borderId="23" xfId="0" applyNumberFormat="1" applyFont="1" applyFill="1" applyBorder="1" applyAlignment="1">
      <alignment horizontal="center"/>
    </xf>
    <xf numFmtId="0" fontId="7" fillId="9" borderId="24" xfId="0" applyFont="1" applyFill="1" applyBorder="1" applyAlignment="1">
      <alignment horizontal="center"/>
    </xf>
    <xf numFmtId="0" fontId="6" fillId="0" borderId="45" xfId="0" applyFont="1" applyBorder="1" applyAlignment="1">
      <alignment horizontal="center"/>
    </xf>
    <xf numFmtId="0" fontId="11" fillId="9" borderId="1" xfId="0" applyFont="1" applyFill="1" applyBorder="1"/>
    <xf numFmtId="49" fontId="17" fillId="9" borderId="22" xfId="0" applyNumberFormat="1" applyFont="1" applyFill="1" applyBorder="1" applyAlignment="1">
      <alignment horizontal="center"/>
    </xf>
    <xf numFmtId="0" fontId="17" fillId="9" borderId="23" xfId="0" applyFont="1" applyFill="1" applyBorder="1" applyAlignment="1">
      <alignment horizontal="center"/>
    </xf>
    <xf numFmtId="0" fontId="40" fillId="0" borderId="27" xfId="0" applyFont="1" applyBorder="1" applyAlignment="1">
      <alignment horizontal="centerContinuous" vertical="center" wrapText="1"/>
    </xf>
    <xf numFmtId="49" fontId="17" fillId="0" borderId="30" xfId="0" applyNumberFormat="1" applyFont="1" applyBorder="1" applyAlignment="1">
      <alignment horizontal="center" shrinkToFit="1"/>
    </xf>
    <xf numFmtId="0" fontId="7" fillId="0" borderId="49" xfId="0" applyFont="1" applyBorder="1" applyAlignment="1">
      <alignment horizontal="centerContinuous"/>
    </xf>
    <xf numFmtId="0" fontId="10" fillId="4" borderId="55" xfId="0" applyFont="1" applyFill="1" applyBorder="1" applyAlignment="1">
      <alignment horizontal="right"/>
    </xf>
    <xf numFmtId="0" fontId="10" fillId="4" borderId="50" xfId="0" applyFont="1" applyFill="1" applyBorder="1" applyAlignment="1">
      <alignment horizontal="right"/>
    </xf>
    <xf numFmtId="0" fontId="42" fillId="2" borderId="4" xfId="0" applyFont="1" applyFill="1" applyBorder="1" applyAlignment="1">
      <alignment horizontal="right"/>
    </xf>
    <xf numFmtId="0" fontId="26" fillId="0" borderId="12" xfId="0" applyFont="1" applyBorder="1" applyAlignment="1">
      <alignment horizontal="center"/>
    </xf>
    <xf numFmtId="0" fontId="43" fillId="0" borderId="1" xfId="0" applyFont="1" applyBorder="1"/>
    <xf numFmtId="0" fontId="6" fillId="0" borderId="22" xfId="0" applyFont="1" applyBorder="1" applyAlignment="1">
      <alignment horizontal="center"/>
    </xf>
    <xf numFmtId="0" fontId="46" fillId="0" borderId="1" xfId="0" applyFont="1" applyBorder="1"/>
    <xf numFmtId="0" fontId="44" fillId="0" borderId="28" xfId="0" applyFont="1" applyBorder="1"/>
    <xf numFmtId="0" fontId="7" fillId="0" borderId="29" xfId="0" quotePrefix="1" applyFont="1" applyBorder="1" applyAlignment="1">
      <alignment horizontal="center"/>
    </xf>
    <xf numFmtId="0" fontId="6" fillId="4" borderId="58" xfId="0" applyFont="1" applyFill="1" applyBorder="1" applyAlignment="1">
      <alignment horizontal="right"/>
    </xf>
    <xf numFmtId="49" fontId="7" fillId="0" borderId="59" xfId="0" applyNumberFormat="1" applyFont="1" applyBorder="1" applyAlignment="1">
      <alignment horizontal="center"/>
    </xf>
    <xf numFmtId="0" fontId="6" fillId="4" borderId="61" xfId="0" applyFont="1" applyFill="1" applyBorder="1" applyAlignment="1">
      <alignment horizontal="right"/>
    </xf>
    <xf numFmtId="0" fontId="27" fillId="0" borderId="65" xfId="0" applyFont="1" applyBorder="1" applyAlignment="1">
      <alignment horizontal="center" shrinkToFit="1"/>
    </xf>
    <xf numFmtId="0" fontId="6" fillId="0" borderId="25" xfId="0" applyFont="1" applyBorder="1" applyAlignment="1">
      <alignment horizontal="center"/>
    </xf>
    <xf numFmtId="0" fontId="4" fillId="0" borderId="0" xfId="0" applyFont="1" applyAlignment="1">
      <alignment horizontal="left"/>
    </xf>
    <xf numFmtId="0" fontId="11" fillId="13" borderId="1" xfId="0" applyFont="1" applyFill="1" applyBorder="1"/>
    <xf numFmtId="0" fontId="14" fillId="13" borderId="1" xfId="0" applyFont="1" applyFill="1" applyBorder="1"/>
    <xf numFmtId="0" fontId="7" fillId="13" borderId="22" xfId="0" applyFont="1" applyFill="1" applyBorder="1" applyAlignment="1">
      <alignment horizontal="center"/>
    </xf>
    <xf numFmtId="49" fontId="23" fillId="13" borderId="22" xfId="0" applyNumberFormat="1" applyFont="1" applyFill="1" applyBorder="1" applyAlignment="1">
      <alignment horizontal="center"/>
    </xf>
    <xf numFmtId="0" fontId="23" fillId="13" borderId="23" xfId="0" applyFont="1" applyFill="1" applyBorder="1" applyAlignment="1">
      <alignment horizontal="center"/>
    </xf>
    <xf numFmtId="0" fontId="14" fillId="13" borderId="23" xfId="0" applyFont="1" applyFill="1" applyBorder="1" applyAlignment="1">
      <alignment horizontal="center"/>
    </xf>
    <xf numFmtId="49" fontId="7" fillId="13" borderId="23" xfId="0" applyNumberFormat="1" applyFont="1" applyFill="1" applyBorder="1" applyAlignment="1">
      <alignment horizontal="center"/>
    </xf>
    <xf numFmtId="0" fontId="7" fillId="13" borderId="24" xfId="0" applyFont="1" applyFill="1" applyBorder="1" applyAlignment="1">
      <alignment horizontal="center"/>
    </xf>
    <xf numFmtId="0" fontId="38" fillId="2" borderId="78" xfId="0" applyFont="1" applyFill="1" applyBorder="1" applyAlignment="1">
      <alignment horizontal="left"/>
    </xf>
    <xf numFmtId="0" fontId="4" fillId="2" borderId="78" xfId="0" applyFont="1" applyFill="1" applyBorder="1" applyAlignment="1">
      <alignment horizontal="centerContinuous"/>
    </xf>
    <xf numFmtId="0" fontId="5" fillId="2" borderId="78" xfId="0" applyFont="1" applyFill="1" applyBorder="1" applyAlignment="1">
      <alignment horizontal="centerContinuous"/>
    </xf>
    <xf numFmtId="0" fontId="39" fillId="2" borderId="79" xfId="1" applyFont="1" applyFill="1" applyBorder="1" applyAlignment="1" applyProtection="1">
      <alignment horizontal="right"/>
    </xf>
    <xf numFmtId="0" fontId="7" fillId="14" borderId="22" xfId="0" applyFont="1" applyFill="1" applyBorder="1" applyAlignment="1">
      <alignment horizontal="center"/>
    </xf>
    <xf numFmtId="0" fontId="51" fillId="0" borderId="27" xfId="0" applyFont="1" applyBorder="1" applyAlignment="1">
      <alignment horizontal="centerContinuous"/>
    </xf>
    <xf numFmtId="0" fontId="52" fillId="0" borderId="27" xfId="0" applyFont="1" applyBorder="1" applyAlignment="1">
      <alignment horizontal="centerContinuous" vertical="center" wrapText="1"/>
    </xf>
    <xf numFmtId="0" fontId="36" fillId="0" borderId="0" xfId="0" applyFont="1" applyAlignment="1">
      <alignment horizontal="center"/>
    </xf>
    <xf numFmtId="0" fontId="13" fillId="13" borderId="1" xfId="0" applyFont="1" applyFill="1" applyBorder="1"/>
    <xf numFmtId="49" fontId="24" fillId="13" borderId="22" xfId="0" applyNumberFormat="1" applyFont="1" applyFill="1" applyBorder="1" applyAlignment="1">
      <alignment horizontal="center"/>
    </xf>
    <xf numFmtId="0" fontId="24" fillId="13" borderId="23" xfId="0" applyFont="1" applyFill="1" applyBorder="1" applyAlignment="1">
      <alignment horizontal="center"/>
    </xf>
    <xf numFmtId="0" fontId="8" fillId="13" borderId="1" xfId="0" applyFont="1" applyFill="1" applyBorder="1"/>
    <xf numFmtId="49" fontId="18" fillId="13" borderId="22" xfId="0" applyNumberFormat="1" applyFont="1" applyFill="1" applyBorder="1" applyAlignment="1">
      <alignment horizontal="center"/>
    </xf>
    <xf numFmtId="0" fontId="18" fillId="13" borderId="23" xfId="0" applyFont="1" applyFill="1" applyBorder="1" applyAlignment="1">
      <alignment horizontal="center"/>
    </xf>
    <xf numFmtId="0" fontId="13" fillId="13" borderId="23" xfId="0" applyFont="1" applyFill="1" applyBorder="1" applyAlignment="1">
      <alignment horizontal="center"/>
    </xf>
    <xf numFmtId="0" fontId="13" fillId="13" borderId="8" xfId="0" applyFont="1" applyFill="1" applyBorder="1"/>
    <xf numFmtId="0" fontId="7" fillId="13" borderId="42" xfId="0" applyFont="1" applyFill="1" applyBorder="1" applyAlignment="1">
      <alignment horizontal="center"/>
    </xf>
    <xf numFmtId="49" fontId="24" fillId="13" borderId="42" xfId="0" applyNumberFormat="1" applyFont="1" applyFill="1" applyBorder="1" applyAlignment="1">
      <alignment horizontal="center"/>
    </xf>
    <xf numFmtId="0" fontId="24" fillId="13" borderId="43" xfId="0" applyFont="1" applyFill="1" applyBorder="1" applyAlignment="1">
      <alignment horizontal="center"/>
    </xf>
    <xf numFmtId="49" fontId="7" fillId="13" borderId="43" xfId="0" applyNumberFormat="1" applyFont="1" applyFill="1" applyBorder="1" applyAlignment="1">
      <alignment horizontal="center"/>
    </xf>
    <xf numFmtId="0" fontId="7" fillId="13" borderId="44" xfId="0" applyFont="1" applyFill="1" applyBorder="1" applyAlignment="1">
      <alignment horizontal="center"/>
    </xf>
    <xf numFmtId="0" fontId="22" fillId="13" borderId="1" xfId="0" applyFont="1" applyFill="1" applyBorder="1"/>
    <xf numFmtId="49" fontId="28" fillId="13" borderId="22" xfId="0" applyNumberFormat="1" applyFont="1" applyFill="1" applyBorder="1" applyAlignment="1">
      <alignment horizontal="center"/>
    </xf>
    <xf numFmtId="0" fontId="28" fillId="13" borderId="23" xfId="0" applyFont="1" applyFill="1" applyBorder="1" applyAlignment="1">
      <alignment horizontal="center"/>
    </xf>
    <xf numFmtId="0" fontId="22" fillId="13" borderId="23" xfId="0" applyFont="1" applyFill="1" applyBorder="1" applyAlignment="1">
      <alignment horizontal="center"/>
    </xf>
    <xf numFmtId="0" fontId="7" fillId="15" borderId="49" xfId="0" applyFont="1" applyFill="1" applyBorder="1" applyAlignment="1">
      <alignment horizontal="center" shrinkToFit="1"/>
    </xf>
    <xf numFmtId="0" fontId="7" fillId="5" borderId="23" xfId="0" applyFont="1" applyFill="1" applyBorder="1" applyAlignment="1">
      <alignment horizontal="center"/>
    </xf>
    <xf numFmtId="0" fontId="5" fillId="0" borderId="82" xfId="0" applyFont="1" applyBorder="1" applyAlignment="1">
      <alignment horizontal="center" shrinkToFit="1"/>
    </xf>
    <xf numFmtId="0" fontId="5" fillId="0" borderId="81" xfId="0" applyFont="1" applyBorder="1" applyAlignment="1">
      <alignment horizontal="center" shrinkToFit="1"/>
    </xf>
    <xf numFmtId="0" fontId="5" fillId="0" borderId="35" xfId="0" applyFont="1" applyBorder="1" applyAlignment="1">
      <alignment horizontal="left"/>
    </xf>
    <xf numFmtId="0" fontId="5" fillId="0" borderId="41" xfId="0" quotePrefix="1" applyFont="1" applyBorder="1" applyAlignment="1">
      <alignment horizontal="left"/>
    </xf>
    <xf numFmtId="0" fontId="5" fillId="0" borderId="35" xfId="0" quotePrefix="1" applyFont="1" applyBorder="1" applyAlignment="1">
      <alignment horizontal="left"/>
    </xf>
    <xf numFmtId="0" fontId="2" fillId="0" borderId="56" xfId="0" applyFont="1" applyBorder="1" applyAlignment="1">
      <alignment horizontal="center" shrinkToFit="1"/>
    </xf>
    <xf numFmtId="0" fontId="11" fillId="14" borderId="1" xfId="0" applyFont="1" applyFill="1" applyBorder="1"/>
    <xf numFmtId="49" fontId="17" fillId="14" borderId="22" xfId="0" applyNumberFormat="1" applyFont="1" applyFill="1" applyBorder="1" applyAlignment="1">
      <alignment horizontal="center"/>
    </xf>
    <xf numFmtId="0" fontId="17" fillId="14" borderId="23" xfId="0" applyFont="1" applyFill="1" applyBorder="1" applyAlignment="1">
      <alignment horizontal="center"/>
    </xf>
    <xf numFmtId="0" fontId="6" fillId="0" borderId="0" xfId="0" applyFont="1" applyAlignment="1">
      <alignment horizontal="centerContinuous"/>
    </xf>
    <xf numFmtId="49" fontId="6" fillId="0" borderId="23" xfId="0" applyNumberFormat="1" applyFont="1" applyBorder="1" applyAlignment="1">
      <alignment horizontal="center"/>
    </xf>
    <xf numFmtId="49" fontId="6" fillId="13" borderId="23" xfId="0" applyNumberFormat="1" applyFont="1" applyFill="1" applyBorder="1" applyAlignment="1">
      <alignment horizontal="center"/>
    </xf>
    <xf numFmtId="49" fontId="6" fillId="6" borderId="23" xfId="0" applyNumberFormat="1" applyFont="1" applyFill="1" applyBorder="1" applyAlignment="1">
      <alignment horizontal="center"/>
    </xf>
    <xf numFmtId="49" fontId="6" fillId="12" borderId="23" xfId="0" applyNumberFormat="1" applyFont="1" applyFill="1" applyBorder="1" applyAlignment="1">
      <alignment horizontal="center"/>
    </xf>
    <xf numFmtId="49" fontId="6" fillId="13" borderId="43" xfId="0" applyNumberFormat="1" applyFont="1" applyFill="1" applyBorder="1" applyAlignment="1">
      <alignment horizontal="center"/>
    </xf>
    <xf numFmtId="0" fontId="3" fillId="15" borderId="27" xfId="0" applyFont="1" applyFill="1" applyBorder="1" applyAlignment="1">
      <alignment horizontal="centerContinuous"/>
    </xf>
    <xf numFmtId="0" fontId="53" fillId="0" borderId="53" xfId="0" applyFont="1" applyBorder="1" applyAlignment="1">
      <alignment horizontal="centerContinuous"/>
    </xf>
    <xf numFmtId="0" fontId="12" fillId="3" borderId="91" xfId="0" applyFont="1" applyFill="1" applyBorder="1" applyAlignment="1">
      <alignment horizontal="centerContinuous" vertical="center"/>
    </xf>
    <xf numFmtId="0" fontId="12" fillId="3" borderId="32" xfId="0" applyFont="1" applyFill="1" applyBorder="1" applyAlignment="1">
      <alignment horizontal="center" vertical="center"/>
    </xf>
    <xf numFmtId="0" fontId="12" fillId="3" borderId="32" xfId="0" applyFont="1" applyFill="1" applyBorder="1" applyAlignment="1">
      <alignment horizontal="center" vertical="center" wrapText="1"/>
    </xf>
    <xf numFmtId="0" fontId="12" fillId="3" borderId="92" xfId="0" applyFont="1" applyFill="1" applyBorder="1" applyAlignment="1">
      <alignment horizontal="center" vertical="center"/>
    </xf>
    <xf numFmtId="1" fontId="7" fillId="0" borderId="25" xfId="0" applyNumberFormat="1" applyFont="1" applyBorder="1" applyAlignment="1">
      <alignment horizontal="center"/>
    </xf>
    <xf numFmtId="1" fontId="6" fillId="8" borderId="47" xfId="0" applyNumberFormat="1" applyFont="1" applyFill="1" applyBorder="1" applyAlignment="1">
      <alignment horizontal="center"/>
    </xf>
    <xf numFmtId="0" fontId="2" fillId="0" borderId="35" xfId="0" quotePrefix="1" applyFont="1" applyBorder="1" applyAlignment="1">
      <alignment horizontal="left"/>
    </xf>
    <xf numFmtId="0" fontId="2" fillId="0" borderId="67" xfId="0" applyFont="1" applyBorder="1" applyAlignment="1">
      <alignment horizontal="centerContinuous" vertical="center"/>
    </xf>
    <xf numFmtId="0" fontId="5" fillId="0" borderId="96" xfId="0" applyFont="1" applyBorder="1" applyAlignment="1">
      <alignment horizontal="center" shrinkToFit="1"/>
    </xf>
    <xf numFmtId="0" fontId="5" fillId="0" borderId="57" xfId="0" applyFont="1" applyBorder="1" applyAlignment="1">
      <alignment horizontal="center" shrinkToFit="1"/>
    </xf>
    <xf numFmtId="0" fontId="2" fillId="0" borderId="97" xfId="0" applyFont="1" applyBorder="1" applyAlignment="1">
      <alignment horizontal="center" shrinkToFit="1"/>
    </xf>
    <xf numFmtId="0" fontId="2" fillId="0" borderId="100" xfId="0" applyFont="1" applyBorder="1" applyAlignment="1">
      <alignment horizontal="center" vertical="center" shrinkToFit="1"/>
    </xf>
    <xf numFmtId="164" fontId="2" fillId="0" borderId="100" xfId="0" applyNumberFormat="1" applyFont="1" applyBorder="1" applyAlignment="1">
      <alignment horizontal="center" vertical="center" shrinkToFit="1"/>
    </xf>
    <xf numFmtId="0" fontId="5" fillId="0" borderId="99" xfId="0" applyFont="1" applyBorder="1" applyAlignment="1">
      <alignment horizontal="center" shrinkToFit="1"/>
    </xf>
    <xf numFmtId="0" fontId="5" fillId="0" borderId="101" xfId="0" applyFont="1" applyBorder="1" applyAlignment="1">
      <alignment horizontal="center" shrinkToFit="1"/>
    </xf>
    <xf numFmtId="164" fontId="2" fillId="0" borderId="100" xfId="0" applyNumberFormat="1" applyFont="1" applyBorder="1" applyAlignment="1">
      <alignment horizontal="center" shrinkToFit="1"/>
    </xf>
    <xf numFmtId="0" fontId="2" fillId="0" borderId="99" xfId="0" applyFont="1" applyBorder="1" applyAlignment="1">
      <alignment horizontal="center" vertical="center" shrinkToFit="1"/>
    </xf>
    <xf numFmtId="0" fontId="2" fillId="0" borderId="87" xfId="0" applyFont="1" applyBorder="1" applyAlignment="1">
      <alignment horizontal="center" vertical="center"/>
    </xf>
    <xf numFmtId="0" fontId="2" fillId="0" borderId="72" xfId="0" applyFont="1" applyBorder="1" applyAlignment="1">
      <alignment horizontal="center" vertical="center" shrinkToFit="1"/>
    </xf>
    <xf numFmtId="164" fontId="5" fillId="0" borderId="72" xfId="0" applyNumberFormat="1" applyFont="1" applyBorder="1" applyAlignment="1">
      <alignment horizontal="center" vertical="center"/>
    </xf>
    <xf numFmtId="1" fontId="2" fillId="0" borderId="72" xfId="0" applyNumberFormat="1" applyFont="1" applyBorder="1" applyAlignment="1">
      <alignment horizontal="center" vertical="center"/>
    </xf>
    <xf numFmtId="0" fontId="2" fillId="0" borderId="88" xfId="0" applyFont="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shrinkToFit="1"/>
    </xf>
    <xf numFmtId="164" fontId="5" fillId="0" borderId="103" xfId="0" applyNumberFormat="1" applyFont="1" applyBorder="1" applyAlignment="1">
      <alignment horizontal="center" vertical="center"/>
    </xf>
    <xf numFmtId="1" fontId="2" fillId="0" borderId="103" xfId="0" applyNumberFormat="1" applyFont="1" applyBorder="1" applyAlignment="1">
      <alignment horizontal="center" vertical="center"/>
    </xf>
    <xf numFmtId="0" fontId="2" fillId="0" borderId="104" xfId="0" applyFont="1" applyBorder="1" applyAlignment="1">
      <alignment horizontal="center" vertical="center"/>
    </xf>
    <xf numFmtId="0" fontId="2" fillId="0" borderId="103" xfId="0" applyFont="1" applyBorder="1" applyAlignment="1">
      <alignment horizontal="center" vertical="center"/>
    </xf>
    <xf numFmtId="49" fontId="2" fillId="0" borderId="72" xfId="2" applyNumberFormat="1" applyFont="1" applyBorder="1" applyAlignment="1">
      <alignment horizontal="center" vertical="center"/>
    </xf>
    <xf numFmtId="49" fontId="2" fillId="0" borderId="103" xfId="2" applyNumberFormat="1" applyFont="1" applyBorder="1" applyAlignment="1">
      <alignment horizontal="center" vertical="center"/>
    </xf>
    <xf numFmtId="164" fontId="2" fillId="0" borderId="103" xfId="0" applyNumberFormat="1" applyFont="1" applyBorder="1" applyAlignment="1">
      <alignment horizontal="center" vertical="center"/>
    </xf>
    <xf numFmtId="0" fontId="2" fillId="0" borderId="36" xfId="0" applyFont="1" applyBorder="1" applyAlignment="1">
      <alignment horizontal="left" shrinkToFit="1"/>
    </xf>
    <xf numFmtId="0" fontId="3" fillId="0" borderId="0" xfId="0" applyFont="1" applyAlignment="1">
      <alignment horizontal="centerContinuous" vertical="center"/>
    </xf>
    <xf numFmtId="0" fontId="15" fillId="0" borderId="0" xfId="0" applyFont="1" applyAlignment="1">
      <alignment horizontal="centerContinuous" vertical="center"/>
    </xf>
    <xf numFmtId="0" fontId="5" fillId="0" borderId="0" xfId="0" applyFont="1" applyAlignment="1">
      <alignment vertical="center"/>
    </xf>
    <xf numFmtId="0" fontId="21" fillId="11" borderId="14" xfId="0" applyFont="1" applyFill="1" applyBorder="1" applyAlignment="1">
      <alignment horizontal="center" vertical="center"/>
    </xf>
    <xf numFmtId="0" fontId="21" fillId="11" borderId="15" xfId="0" applyFont="1" applyFill="1" applyBorder="1" applyAlignment="1">
      <alignment horizontal="center" vertical="center"/>
    </xf>
    <xf numFmtId="49" fontId="21" fillId="11" borderId="15" xfId="0" applyNumberFormat="1" applyFont="1" applyFill="1" applyBorder="1" applyAlignment="1">
      <alignment horizontal="center" vertical="center"/>
    </xf>
    <xf numFmtId="0" fontId="21" fillId="11" borderId="19" xfId="0" applyFont="1" applyFill="1" applyBorder="1" applyAlignment="1">
      <alignment horizontal="center" vertical="center"/>
    </xf>
    <xf numFmtId="0" fontId="21" fillId="11" borderId="16" xfId="0" applyFont="1" applyFill="1" applyBorder="1" applyAlignment="1">
      <alignment horizontal="center" vertical="center"/>
    </xf>
    <xf numFmtId="0" fontId="2" fillId="10" borderId="89" xfId="0" applyFont="1" applyFill="1" applyBorder="1" applyAlignment="1">
      <alignment horizontal="center" vertical="center"/>
    </xf>
    <xf numFmtId="0" fontId="2" fillId="10" borderId="74" xfId="0" applyFont="1" applyFill="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164" fontId="2" fillId="0" borderId="0" xfId="0" applyNumberFormat="1" applyFont="1" applyAlignment="1">
      <alignment horizontal="center" vertical="center"/>
    </xf>
    <xf numFmtId="0" fontId="21" fillId="11" borderId="19" xfId="0" applyFont="1" applyFill="1" applyBorder="1" applyAlignment="1">
      <alignment horizontal="centerContinuous" vertical="center"/>
    </xf>
    <xf numFmtId="0" fontId="21" fillId="11" borderId="62" xfId="0" applyFont="1" applyFill="1" applyBorder="1" applyAlignment="1">
      <alignment horizontal="centerContinuous" vertical="center"/>
    </xf>
    <xf numFmtId="0" fontId="21" fillId="11" borderId="54" xfId="0" applyFont="1" applyFill="1" applyBorder="1" applyAlignment="1">
      <alignment horizontal="centerContinuous" vertical="center"/>
    </xf>
    <xf numFmtId="0" fontId="2" fillId="0" borderId="72" xfId="0" applyFont="1" applyBorder="1" applyAlignment="1">
      <alignment horizontal="center" vertical="center"/>
    </xf>
    <xf numFmtId="164" fontId="2" fillId="0" borderId="72" xfId="0" applyNumberFormat="1" applyFont="1" applyBorder="1" applyAlignment="1">
      <alignment horizontal="center" vertical="center"/>
    </xf>
    <xf numFmtId="0" fontId="2" fillId="10" borderId="74" xfId="0" quotePrefix="1" applyFont="1" applyFill="1" applyBorder="1" applyAlignment="1">
      <alignment horizontal="center" vertical="center"/>
    </xf>
    <xf numFmtId="9" fontId="2" fillId="10" borderId="74" xfId="0" applyNumberFormat="1" applyFont="1" applyFill="1" applyBorder="1" applyAlignment="1">
      <alignment horizontal="center" vertical="center"/>
    </xf>
    <xf numFmtId="164" fontId="5" fillId="10" borderId="74" xfId="0" applyNumberFormat="1" applyFont="1" applyFill="1" applyBorder="1" applyAlignment="1">
      <alignment horizontal="center" vertical="center"/>
    </xf>
    <xf numFmtId="164" fontId="2" fillId="10" borderId="76" xfId="0" applyNumberFormat="1" applyFont="1" applyFill="1" applyBorder="1" applyAlignment="1">
      <alignment horizontal="centerContinuous" vertical="center"/>
    </xf>
    <xf numFmtId="164" fontId="5" fillId="10" borderId="68" xfId="0" applyNumberFormat="1" applyFont="1" applyFill="1" applyBorder="1" applyAlignment="1">
      <alignment horizontal="centerContinuous" vertical="center"/>
    </xf>
    <xf numFmtId="164" fontId="2" fillId="10" borderId="68" xfId="0" applyNumberFormat="1" applyFont="1" applyFill="1" applyBorder="1" applyAlignment="1">
      <alignment horizontal="centerContinuous" vertical="center"/>
    </xf>
    <xf numFmtId="0" fontId="5" fillId="10" borderId="69" xfId="0" applyFont="1" applyFill="1" applyBorder="1" applyAlignment="1">
      <alignment horizontal="centerContinuous" vertical="center"/>
    </xf>
    <xf numFmtId="0" fontId="19" fillId="0" borderId="0" xfId="0" applyFont="1" applyAlignment="1">
      <alignment horizontal="right" vertical="center"/>
    </xf>
    <xf numFmtId="0" fontId="21" fillId="11" borderId="17" xfId="0" applyFont="1" applyFill="1" applyBorder="1" applyAlignment="1">
      <alignment horizontal="centerContinuous" vertical="center"/>
    </xf>
    <xf numFmtId="0" fontId="21" fillId="11" borderId="18" xfId="0" applyFont="1" applyFill="1" applyBorder="1" applyAlignment="1">
      <alignment horizontal="centerContinuous" vertical="center"/>
    </xf>
    <xf numFmtId="0" fontId="2" fillId="0" borderId="70" xfId="0" applyFont="1" applyBorder="1" applyAlignment="1">
      <alignment horizontal="centerContinuous" vertical="center"/>
    </xf>
    <xf numFmtId="0" fontId="2" fillId="0" borderId="84" xfId="0" applyFont="1" applyBorder="1" applyAlignment="1">
      <alignment horizontal="centerContinuous" vertical="center"/>
    </xf>
    <xf numFmtId="0" fontId="2" fillId="0" borderId="85" xfId="0" applyFont="1" applyBorder="1" applyAlignment="1">
      <alignment horizontal="centerContinuous" vertical="center"/>
    </xf>
    <xf numFmtId="49" fontId="2" fillId="0" borderId="85" xfId="0" applyNumberFormat="1" applyFont="1" applyBorder="1" applyAlignment="1">
      <alignment horizontal="center" vertical="center"/>
    </xf>
    <xf numFmtId="0" fontId="2" fillId="0" borderId="37" xfId="0" applyFont="1" applyBorder="1" applyAlignment="1">
      <alignment horizontal="centerContinuous" vertical="center"/>
    </xf>
    <xf numFmtId="0" fontId="2" fillId="0" borderId="86" xfId="0" applyFont="1" applyBorder="1" applyAlignment="1">
      <alignment horizontal="centerContinuous" vertical="center"/>
    </xf>
    <xf numFmtId="0" fontId="2" fillId="0" borderId="76" xfId="0" applyFont="1" applyBorder="1" applyAlignment="1">
      <alignment horizontal="centerContinuous" vertical="center"/>
    </xf>
    <xf numFmtId="164" fontId="2" fillId="0" borderId="74" xfId="0" applyNumberFormat="1" applyFont="1" applyBorder="1" applyAlignment="1">
      <alignment horizontal="center" vertical="center"/>
    </xf>
    <xf numFmtId="164" fontId="2" fillId="0" borderId="76" xfId="0" applyNumberFormat="1" applyFont="1" applyBorder="1" applyAlignment="1">
      <alignment horizontal="center" vertical="center"/>
    </xf>
    <xf numFmtId="0" fontId="21" fillId="11" borderId="63" xfId="0" applyFont="1" applyFill="1" applyBorder="1" applyAlignment="1">
      <alignment horizontal="center" vertical="center"/>
    </xf>
    <xf numFmtId="0" fontId="2" fillId="0" borderId="73" xfId="0" applyFont="1" applyBorder="1" applyAlignment="1">
      <alignment horizontal="centerContinuous" vertical="center"/>
    </xf>
    <xf numFmtId="0" fontId="2" fillId="0" borderId="34" xfId="0" applyFont="1" applyBorder="1" applyAlignment="1">
      <alignment horizontal="centerContinuous" vertical="center" shrinkToFit="1"/>
    </xf>
    <xf numFmtId="0" fontId="21" fillId="0" borderId="66" xfId="0" applyFont="1" applyBorder="1" applyAlignment="1">
      <alignment horizontal="centerContinuous" vertical="center"/>
    </xf>
    <xf numFmtId="0" fontId="2" fillId="0" borderId="83" xfId="0" applyFont="1" applyBorder="1" applyAlignment="1">
      <alignment horizontal="center" vertical="center"/>
    </xf>
    <xf numFmtId="0" fontId="2" fillId="0" borderId="37" xfId="0" applyFont="1" applyBorder="1" applyAlignment="1">
      <alignment horizontal="centerContinuous" vertical="center" shrinkToFit="1"/>
    </xf>
    <xf numFmtId="0" fontId="21" fillId="0" borderId="68" xfId="0" applyFont="1" applyBorder="1" applyAlignment="1">
      <alignment horizontal="centerContinuous" vertical="center"/>
    </xf>
    <xf numFmtId="0" fontId="2" fillId="0" borderId="74" xfId="0" applyFont="1" applyBorder="1" applyAlignment="1">
      <alignment horizontal="center" vertical="center"/>
    </xf>
    <xf numFmtId="0" fontId="2" fillId="0" borderId="69" xfId="0" applyFont="1" applyBorder="1" applyAlignment="1">
      <alignment horizontal="centerContinuous" vertical="center"/>
    </xf>
    <xf numFmtId="0" fontId="44" fillId="0" borderId="22" xfId="0" applyFont="1" applyBorder="1" applyAlignment="1">
      <alignment horizontal="center"/>
    </xf>
    <xf numFmtId="1" fontId="6" fillId="0" borderId="22" xfId="0" applyNumberFormat="1" applyFont="1" applyBorder="1" applyAlignment="1">
      <alignment horizontal="center"/>
    </xf>
    <xf numFmtId="1" fontId="7" fillId="0" borderId="22" xfId="0" applyNumberFormat="1" applyFont="1" applyBorder="1" applyAlignment="1">
      <alignment horizontal="center"/>
    </xf>
    <xf numFmtId="0" fontId="47" fillId="0" borderId="45" xfId="0" applyFont="1" applyBorder="1" applyAlignment="1">
      <alignment horizontal="center"/>
    </xf>
    <xf numFmtId="1" fontId="6" fillId="0" borderId="45" xfId="0" applyNumberFormat="1" applyFont="1" applyBorder="1" applyAlignment="1">
      <alignment horizontal="center"/>
    </xf>
    <xf numFmtId="1" fontId="7" fillId="0" borderId="45" xfId="0" applyNumberFormat="1" applyFont="1" applyBorder="1" applyAlignment="1">
      <alignment horizontal="center"/>
    </xf>
    <xf numFmtId="0" fontId="2" fillId="0" borderId="0" xfId="0" applyFont="1" applyAlignment="1">
      <alignment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11" fillId="0" borderId="23" xfId="0" applyFont="1" applyBorder="1" applyAlignment="1">
      <alignment horizontal="center"/>
    </xf>
    <xf numFmtId="0" fontId="8" fillId="13" borderId="23" xfId="0" applyFont="1" applyFill="1" applyBorder="1" applyAlignment="1">
      <alignment horizontal="center"/>
    </xf>
    <xf numFmtId="0" fontId="11" fillId="6" borderId="23" xfId="0" applyFont="1" applyFill="1" applyBorder="1" applyAlignment="1">
      <alignment horizontal="center"/>
    </xf>
    <xf numFmtId="0" fontId="11" fillId="9" borderId="23" xfId="0" applyFont="1" applyFill="1" applyBorder="1" applyAlignment="1">
      <alignment horizontal="center"/>
    </xf>
    <xf numFmtId="0" fontId="11" fillId="14" borderId="23" xfId="0" applyFont="1" applyFill="1" applyBorder="1" applyAlignment="1">
      <alignment horizontal="center"/>
    </xf>
    <xf numFmtId="0" fontId="14" fillId="5" borderId="23" xfId="0" applyFont="1" applyFill="1" applyBorder="1" applyAlignment="1">
      <alignment horizontal="center"/>
    </xf>
    <xf numFmtId="0" fontId="14" fillId="0" borderId="23" xfId="0" applyFont="1" applyBorder="1" applyAlignment="1">
      <alignment horizontal="center"/>
    </xf>
    <xf numFmtId="0" fontId="11" fillId="4" borderId="23" xfId="0" applyFont="1" applyFill="1" applyBorder="1" applyAlignment="1">
      <alignment horizontal="center"/>
    </xf>
    <xf numFmtId="0" fontId="13" fillId="13" borderId="43" xfId="0" applyFont="1" applyFill="1" applyBorder="1" applyAlignment="1">
      <alignment horizontal="center"/>
    </xf>
    <xf numFmtId="0" fontId="7" fillId="15" borderId="52" xfId="0" applyFont="1" applyFill="1" applyBorder="1" applyAlignment="1">
      <alignment horizontal="center" shrinkToFit="1"/>
    </xf>
    <xf numFmtId="0" fontId="7" fillId="15" borderId="46" xfId="0" applyFont="1" applyFill="1" applyBorder="1" applyAlignment="1">
      <alignment horizontal="center" shrinkToFit="1"/>
    </xf>
    <xf numFmtId="0" fontId="13" fillId="14" borderId="1" xfId="0" applyFont="1" applyFill="1" applyBorder="1"/>
    <xf numFmtId="49" fontId="24" fillId="14" borderId="22" xfId="0" applyNumberFormat="1" applyFont="1" applyFill="1" applyBorder="1" applyAlignment="1">
      <alignment horizontal="center"/>
    </xf>
    <xf numFmtId="0" fontId="24" fillId="14" borderId="23" xfId="0" applyFont="1" applyFill="1" applyBorder="1" applyAlignment="1">
      <alignment horizontal="center"/>
    </xf>
    <xf numFmtId="0" fontId="13" fillId="14" borderId="23" xfId="0" applyFont="1" applyFill="1" applyBorder="1" applyAlignment="1">
      <alignment horizontal="center"/>
    </xf>
    <xf numFmtId="0" fontId="7" fillId="14" borderId="23" xfId="0" applyFont="1" applyFill="1" applyBorder="1" applyAlignment="1">
      <alignment horizontal="center"/>
    </xf>
    <xf numFmtId="0" fontId="7" fillId="14" borderId="24" xfId="0" applyFont="1" applyFill="1" applyBorder="1" applyAlignment="1">
      <alignment horizontal="center"/>
    </xf>
    <xf numFmtId="0" fontId="7" fillId="13" borderId="24" xfId="0" quotePrefix="1" applyFont="1" applyFill="1" applyBorder="1" applyAlignment="1">
      <alignment horizontal="center"/>
    </xf>
    <xf numFmtId="0" fontId="2" fillId="0" borderId="72" xfId="0" quotePrefix="1" applyFont="1" applyBorder="1" applyAlignment="1">
      <alignment horizontal="center" vertical="center" wrapText="1"/>
    </xf>
    <xf numFmtId="0" fontId="2" fillId="0" borderId="103" xfId="0" quotePrefix="1" applyFont="1" applyBorder="1" applyAlignment="1">
      <alignment horizontal="center" vertical="center" wrapText="1"/>
    </xf>
    <xf numFmtId="0" fontId="7" fillId="13" borderId="23" xfId="0" applyFont="1" applyFill="1" applyBorder="1" applyAlignment="1">
      <alignment horizontal="center"/>
    </xf>
    <xf numFmtId="49" fontId="2" fillId="0" borderId="85" xfId="0" quotePrefix="1" applyNumberFormat="1" applyFont="1" applyBorder="1" applyAlignment="1">
      <alignment horizontal="centerContinuous" vertical="center"/>
    </xf>
    <xf numFmtId="49" fontId="2" fillId="0" borderId="71" xfId="0" applyNumberFormat="1" applyFont="1" applyBorder="1" applyAlignment="1">
      <alignment horizontal="centerContinuous" vertical="center"/>
    </xf>
    <xf numFmtId="164" fontId="2" fillId="0" borderId="76" xfId="0" applyNumberFormat="1" applyFont="1" applyBorder="1" applyAlignment="1">
      <alignment horizontal="centerContinuous" vertical="center"/>
    </xf>
    <xf numFmtId="164" fontId="2" fillId="0" borderId="68" xfId="0" applyNumberFormat="1" applyFont="1" applyBorder="1" applyAlignment="1">
      <alignment horizontal="centerContinuous" vertical="center"/>
    </xf>
    <xf numFmtId="0" fontId="21" fillId="11" borderId="27" xfId="0" applyFont="1" applyFill="1" applyBorder="1" applyAlignment="1">
      <alignment horizontal="center" vertical="center"/>
    </xf>
    <xf numFmtId="1" fontId="2" fillId="0" borderId="46" xfId="0" applyNumberFormat="1" applyFont="1" applyBorder="1" applyAlignment="1">
      <alignment horizontal="center" vertical="center"/>
    </xf>
    <xf numFmtId="1" fontId="2" fillId="0" borderId="106" xfId="0" applyNumberFormat="1" applyFont="1" applyBorder="1" applyAlignment="1">
      <alignment horizontal="center" vertical="center"/>
    </xf>
    <xf numFmtId="1" fontId="2" fillId="0" borderId="49" xfId="0" applyNumberFormat="1" applyFont="1" applyBorder="1" applyAlignment="1">
      <alignment horizontal="center" vertical="center"/>
    </xf>
    <xf numFmtId="0" fontId="2" fillId="0" borderId="89" xfId="0" applyFont="1" applyBorder="1" applyAlignment="1">
      <alignment horizontal="center" vertical="center"/>
    </xf>
    <xf numFmtId="1" fontId="2" fillId="0" borderId="76" xfId="0" applyNumberFormat="1" applyFont="1" applyBorder="1" applyAlignment="1">
      <alignment horizontal="center" vertical="center"/>
    </xf>
    <xf numFmtId="0" fontId="2" fillId="0" borderId="90" xfId="0" applyFont="1" applyBorder="1" applyAlignment="1">
      <alignment horizontal="center" vertical="center"/>
    </xf>
    <xf numFmtId="1" fontId="21" fillId="3" borderId="27" xfId="0" applyNumberFormat="1" applyFont="1" applyFill="1" applyBorder="1" applyAlignment="1">
      <alignment horizontal="center" vertical="center"/>
    </xf>
    <xf numFmtId="1" fontId="2" fillId="0" borderId="80" xfId="0" applyNumberFormat="1" applyFont="1" applyBorder="1" applyAlignment="1">
      <alignment horizontal="center" vertical="center" shrinkToFit="1"/>
    </xf>
    <xf numFmtId="1" fontId="2" fillId="0" borderId="49" xfId="0" applyNumberFormat="1" applyFont="1" applyBorder="1" applyAlignment="1">
      <alignment horizontal="center" vertical="center" shrinkToFit="1"/>
    </xf>
    <xf numFmtId="0" fontId="4" fillId="0" borderId="0" xfId="0" applyFont="1" applyAlignment="1">
      <alignment horizontal="right" vertical="center"/>
    </xf>
    <xf numFmtId="165" fontId="2" fillId="0" borderId="0" xfId="0" applyNumberFormat="1" applyFont="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4" xfId="0" quotePrefix="1" applyFont="1" applyBorder="1" applyAlignment="1">
      <alignment horizontal="center" vertical="center" wrapText="1"/>
    </xf>
    <xf numFmtId="49" fontId="2" fillId="0" borderId="94" xfId="2" applyNumberFormat="1" applyFont="1" applyBorder="1" applyAlignment="1">
      <alignment horizontal="center" vertical="center"/>
    </xf>
    <xf numFmtId="164" fontId="2" fillId="0" borderId="94" xfId="0" applyNumberFormat="1" applyFont="1" applyBorder="1" applyAlignment="1">
      <alignment horizontal="center" vertical="center"/>
    </xf>
    <xf numFmtId="164" fontId="5" fillId="0" borderId="94" xfId="0" applyNumberFormat="1" applyFont="1" applyBorder="1" applyAlignment="1">
      <alignment horizontal="center" vertical="center"/>
    </xf>
    <xf numFmtId="1" fontId="2" fillId="0" borderId="94" xfId="0" applyNumberFormat="1" applyFont="1" applyBorder="1" applyAlignment="1">
      <alignment horizontal="center" vertical="center"/>
    </xf>
    <xf numFmtId="0" fontId="2" fillId="0" borderId="95" xfId="0" applyFont="1" applyBorder="1" applyAlignment="1">
      <alignment horizontal="center" vertical="center"/>
    </xf>
    <xf numFmtId="0" fontId="2" fillId="10" borderId="107" xfId="0" applyFont="1" applyFill="1" applyBorder="1" applyAlignment="1">
      <alignment horizontal="center" vertical="center"/>
    </xf>
    <xf numFmtId="0" fontId="2" fillId="10" borderId="108" xfId="0" applyFont="1" applyFill="1" applyBorder="1" applyAlignment="1">
      <alignment horizontal="center" vertical="center"/>
    </xf>
    <xf numFmtId="49" fontId="2" fillId="10" borderId="108" xfId="2" applyNumberFormat="1" applyFont="1" applyFill="1" applyBorder="1" applyAlignment="1">
      <alignment horizontal="center" vertical="center"/>
    </xf>
    <xf numFmtId="49" fontId="5" fillId="10" borderId="108" xfId="2" applyNumberFormat="1" applyFont="1" applyFill="1" applyBorder="1" applyAlignment="1">
      <alignment horizontal="center" vertical="center"/>
    </xf>
    <xf numFmtId="49" fontId="2" fillId="10" borderId="108" xfId="0" applyNumberFormat="1" applyFont="1" applyFill="1" applyBorder="1" applyAlignment="1">
      <alignment horizontal="center" vertical="center"/>
    </xf>
    <xf numFmtId="164" fontId="2" fillId="10" borderId="108" xfId="0" applyNumberFormat="1" applyFont="1" applyFill="1" applyBorder="1" applyAlignment="1">
      <alignment horizontal="center" vertical="center"/>
    </xf>
    <xf numFmtId="164" fontId="5" fillId="10" borderId="108" xfId="0" applyNumberFormat="1" applyFont="1" applyFill="1" applyBorder="1" applyAlignment="1">
      <alignment horizontal="center" vertical="center"/>
    </xf>
    <xf numFmtId="1" fontId="2" fillId="10" borderId="108" xfId="0" applyNumberFormat="1" applyFont="1" applyFill="1" applyBorder="1" applyAlignment="1">
      <alignment horizontal="center" vertical="center"/>
    </xf>
    <xf numFmtId="0" fontId="2" fillId="10" borderId="109" xfId="0" applyFont="1" applyFill="1" applyBorder="1" applyAlignment="1">
      <alignment horizontal="center" vertical="center"/>
    </xf>
    <xf numFmtId="0" fontId="2" fillId="0" borderId="13" xfId="0" applyFont="1" applyBorder="1" applyAlignment="1">
      <alignment horizontal="center" vertical="center"/>
    </xf>
    <xf numFmtId="0" fontId="2" fillId="0" borderId="42" xfId="0" applyFont="1" applyBorder="1" applyAlignment="1">
      <alignment horizontal="center" vertical="center"/>
    </xf>
    <xf numFmtId="0" fontId="2" fillId="0" borderId="42" xfId="0" quotePrefix="1" applyFont="1" applyBorder="1" applyAlignment="1">
      <alignment horizontal="center" vertical="center" wrapText="1"/>
    </xf>
    <xf numFmtId="49" fontId="2" fillId="0" borderId="42" xfId="2" applyNumberFormat="1" applyFont="1" applyBorder="1" applyAlignment="1">
      <alignment horizontal="center" vertical="center"/>
    </xf>
    <xf numFmtId="49" fontId="5" fillId="0" borderId="42" xfId="2" applyNumberFormat="1" applyFont="1" applyBorder="1" applyAlignment="1">
      <alignment horizontal="center" vertical="center"/>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center" vertical="center"/>
    </xf>
    <xf numFmtId="164" fontId="5" fillId="0" borderId="42" xfId="0" applyNumberFormat="1" applyFont="1" applyBorder="1" applyAlignment="1">
      <alignment horizontal="center" vertical="center"/>
    </xf>
    <xf numFmtId="1" fontId="2" fillId="0" borderId="42" xfId="0" applyNumberFormat="1" applyFont="1" applyBorder="1" applyAlignment="1">
      <alignment horizontal="center" vertical="center"/>
    </xf>
    <xf numFmtId="0" fontId="5" fillId="0" borderId="44" xfId="0" applyFont="1" applyBorder="1" applyAlignment="1">
      <alignment horizontal="center"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5" fillId="0" borderId="111" xfId="0" quotePrefix="1" applyFont="1" applyBorder="1" applyAlignment="1">
      <alignment horizontal="center" vertical="center" wrapText="1"/>
    </xf>
    <xf numFmtId="49" fontId="2" fillId="0" borderId="111" xfId="2" applyNumberFormat="1" applyFont="1" applyBorder="1" applyAlignment="1">
      <alignment horizontal="center" vertical="center"/>
    </xf>
    <xf numFmtId="49" fontId="5" fillId="0" borderId="111" xfId="2" applyNumberFormat="1" applyFont="1" applyBorder="1" applyAlignment="1">
      <alignment horizontal="center" vertical="center"/>
    </xf>
    <xf numFmtId="49" fontId="2" fillId="0" borderId="111" xfId="0" applyNumberFormat="1" applyFont="1" applyBorder="1" applyAlignment="1">
      <alignment horizontal="center" vertical="center"/>
    </xf>
    <xf numFmtId="164" fontId="2" fillId="0" borderId="111" xfId="0" applyNumberFormat="1" applyFont="1" applyBorder="1" applyAlignment="1">
      <alignment horizontal="center" vertical="center"/>
    </xf>
    <xf numFmtId="164" fontId="5" fillId="0" borderId="111" xfId="0" applyNumberFormat="1" applyFont="1" applyBorder="1" applyAlignment="1">
      <alignment horizontal="center" vertical="center"/>
    </xf>
    <xf numFmtId="1" fontId="2" fillId="0" borderId="111" xfId="0" applyNumberFormat="1" applyFont="1" applyBorder="1" applyAlignment="1">
      <alignment horizontal="center" vertical="center"/>
    </xf>
    <xf numFmtId="0" fontId="5" fillId="0" borderId="112" xfId="0" applyFont="1" applyBorder="1" applyAlignment="1">
      <alignment horizontal="center" vertical="center"/>
    </xf>
    <xf numFmtId="0" fontId="6" fillId="4" borderId="11" xfId="0" applyFont="1" applyFill="1" applyBorder="1" applyAlignment="1">
      <alignment horizontal="right" vertical="center"/>
    </xf>
    <xf numFmtId="1" fontId="7" fillId="0" borderId="113" xfId="0" applyNumberFormat="1" applyFont="1" applyBorder="1" applyAlignment="1">
      <alignment horizontal="centerContinuous" vertical="center"/>
    </xf>
    <xf numFmtId="1" fontId="2" fillId="0" borderId="114" xfId="0" applyNumberFormat="1" applyFont="1" applyBorder="1" applyAlignment="1">
      <alignment horizontal="centerContinuous" vertical="center"/>
    </xf>
    <xf numFmtId="0" fontId="6" fillId="4" borderId="115" xfId="0" applyFont="1" applyFill="1" applyBorder="1" applyAlignment="1">
      <alignment horizontal="right" vertical="center"/>
    </xf>
    <xf numFmtId="49" fontId="7" fillId="0" borderId="30" xfId="0" applyNumberFormat="1" applyFont="1" applyBorder="1" applyAlignment="1">
      <alignment horizontal="center" vertical="center"/>
    </xf>
    <xf numFmtId="0" fontId="4" fillId="4" borderId="48" xfId="0" applyFont="1" applyFill="1" applyBorder="1" applyAlignment="1">
      <alignment horizontal="right" vertical="center"/>
    </xf>
    <xf numFmtId="0" fontId="46" fillId="4" borderId="60" xfId="0" applyFont="1" applyFill="1" applyBorder="1" applyAlignment="1">
      <alignment horizontal="right" vertical="center"/>
    </xf>
    <xf numFmtId="37" fontId="7" fillId="0" borderId="21" xfId="11" applyNumberFormat="1" applyFont="1" applyFill="1" applyBorder="1" applyAlignment="1">
      <alignment horizontal="centerContinuous" vertical="center"/>
    </xf>
    <xf numFmtId="0" fontId="7" fillId="0" borderId="47" xfId="0" applyFont="1" applyBorder="1" applyAlignment="1">
      <alignment horizontal="center" vertical="center"/>
    </xf>
    <xf numFmtId="49" fontId="2" fillId="0" borderId="74" xfId="0" applyNumberFormat="1" applyFont="1" applyBorder="1" applyAlignment="1">
      <alignment horizontal="center" vertical="center"/>
    </xf>
    <xf numFmtId="0" fontId="2" fillId="10" borderId="110" xfId="0" applyFont="1" applyFill="1" applyBorder="1" applyAlignment="1">
      <alignment horizontal="center" vertical="center"/>
    </xf>
    <xf numFmtId="0" fontId="2" fillId="10" borderId="111" xfId="0" applyFont="1" applyFill="1" applyBorder="1" applyAlignment="1">
      <alignment horizontal="center" vertical="center"/>
    </xf>
    <xf numFmtId="0" fontId="2" fillId="10" borderId="111" xfId="0" quotePrefix="1" applyFont="1" applyFill="1" applyBorder="1" applyAlignment="1">
      <alignment horizontal="center" vertical="center" wrapText="1"/>
    </xf>
    <xf numFmtId="49" fontId="2" fillId="10" borderId="111" xfId="2" applyNumberFormat="1" applyFont="1" applyFill="1" applyBorder="1" applyAlignment="1">
      <alignment horizontal="center" vertical="center"/>
    </xf>
    <xf numFmtId="49" fontId="5" fillId="10" borderId="111" xfId="2" applyNumberFormat="1" applyFont="1" applyFill="1" applyBorder="1" applyAlignment="1">
      <alignment horizontal="center" vertical="center"/>
    </xf>
    <xf numFmtId="49" fontId="2" fillId="10" borderId="111" xfId="0" applyNumberFormat="1" applyFont="1" applyFill="1" applyBorder="1" applyAlignment="1">
      <alignment horizontal="center" vertical="center"/>
    </xf>
    <xf numFmtId="164" fontId="2" fillId="10" borderId="111" xfId="0" applyNumberFormat="1" applyFont="1" applyFill="1" applyBorder="1" applyAlignment="1">
      <alignment horizontal="center" vertical="center"/>
    </xf>
    <xf numFmtId="164" fontId="5" fillId="10" borderId="111" xfId="0" applyNumberFormat="1" applyFont="1" applyFill="1" applyBorder="1" applyAlignment="1">
      <alignment horizontal="center" vertical="center"/>
    </xf>
    <xf numFmtId="1" fontId="2" fillId="10" borderId="111" xfId="0" applyNumberFormat="1" applyFont="1" applyFill="1" applyBorder="1" applyAlignment="1">
      <alignment horizontal="center" vertical="center"/>
    </xf>
    <xf numFmtId="0" fontId="2" fillId="10" borderId="112" xfId="0" applyFont="1" applyFill="1" applyBorder="1" applyAlignment="1">
      <alignment horizontal="center" vertical="center"/>
    </xf>
    <xf numFmtId="0" fontId="2" fillId="10" borderId="64" xfId="0" applyFont="1" applyFill="1" applyBorder="1" applyAlignment="1">
      <alignment horizontal="center" vertical="center"/>
    </xf>
    <xf numFmtId="0" fontId="2" fillId="10" borderId="45" xfId="0" applyFont="1" applyFill="1" applyBorder="1" applyAlignment="1">
      <alignment horizontal="center" vertical="center"/>
    </xf>
    <xf numFmtId="0" fontId="4" fillId="10" borderId="45" xfId="0" quotePrefix="1" applyFont="1" applyFill="1" applyBorder="1" applyAlignment="1">
      <alignment horizontal="center" vertical="center" wrapText="1"/>
    </xf>
    <xf numFmtId="49" fontId="2" fillId="10" borderId="45" xfId="2" applyNumberFormat="1" applyFont="1" applyFill="1" applyBorder="1" applyAlignment="1">
      <alignment horizontal="center" vertical="center"/>
    </xf>
    <xf numFmtId="49" fontId="5" fillId="10" borderId="45" xfId="2" applyNumberFormat="1" applyFont="1" applyFill="1" applyBorder="1" applyAlignment="1">
      <alignment horizontal="center" vertical="center"/>
    </xf>
    <xf numFmtId="49" fontId="2" fillId="10" borderId="45" xfId="0" applyNumberFormat="1" applyFont="1" applyFill="1" applyBorder="1" applyAlignment="1">
      <alignment horizontal="center" vertical="center"/>
    </xf>
    <xf numFmtId="164" fontId="2" fillId="10" borderId="45" xfId="0" applyNumberFormat="1" applyFont="1" applyFill="1" applyBorder="1" applyAlignment="1">
      <alignment horizontal="center" vertical="center"/>
    </xf>
    <xf numFmtId="164" fontId="5" fillId="10" borderId="45" xfId="0" applyNumberFormat="1" applyFont="1" applyFill="1" applyBorder="1" applyAlignment="1">
      <alignment horizontal="center" vertical="center"/>
    </xf>
    <xf numFmtId="1" fontId="2" fillId="10" borderId="45" xfId="0" applyNumberFormat="1" applyFont="1" applyFill="1" applyBorder="1" applyAlignment="1">
      <alignment horizontal="center" vertical="center"/>
    </xf>
    <xf numFmtId="0" fontId="2" fillId="10" borderId="30" xfId="0" applyFont="1" applyFill="1" applyBorder="1" applyAlignment="1">
      <alignment horizontal="center" vertical="center"/>
    </xf>
    <xf numFmtId="0" fontId="2" fillId="0" borderId="38" xfId="0" applyFont="1" applyBorder="1" applyAlignment="1">
      <alignment horizontal="left"/>
    </xf>
    <xf numFmtId="0" fontId="2" fillId="0" borderId="81"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117" xfId="0" applyFont="1" applyBorder="1" applyAlignment="1">
      <alignment horizontal="left" vertical="center"/>
    </xf>
    <xf numFmtId="0" fontId="2" fillId="0" borderId="118" xfId="0" applyFont="1" applyBorder="1" applyAlignment="1">
      <alignment horizontal="left" vertical="center" shrinkToFit="1"/>
    </xf>
    <xf numFmtId="1" fontId="2" fillId="0" borderId="46" xfId="0" applyNumberFormat="1" applyFont="1" applyBorder="1" applyAlignment="1">
      <alignment horizontal="center" vertical="center" shrinkToFit="1"/>
    </xf>
    <xf numFmtId="0" fontId="2" fillId="0" borderId="101" xfId="0" applyFont="1" applyBorder="1" applyAlignment="1">
      <alignment horizontal="center" vertical="center" shrinkToFit="1"/>
    </xf>
    <xf numFmtId="0" fontId="2" fillId="0" borderId="120" xfId="0" applyFont="1" applyBorder="1" applyAlignment="1">
      <alignment horizontal="centerContinuous" vertical="center" shrinkToFit="1"/>
    </xf>
    <xf numFmtId="0" fontId="21" fillId="0" borderId="121" xfId="0" applyFont="1" applyBorder="1" applyAlignment="1">
      <alignment horizontal="centerContinuous" vertical="center"/>
    </xf>
    <xf numFmtId="0" fontId="2" fillId="0" borderId="122" xfId="0" applyFont="1" applyBorder="1" applyAlignment="1">
      <alignment horizontal="center" vertical="center"/>
    </xf>
    <xf numFmtId="0" fontId="2" fillId="0" borderId="123" xfId="0" applyFont="1" applyBorder="1" applyAlignment="1">
      <alignment horizontal="centerContinuous" vertical="center"/>
    </xf>
    <xf numFmtId="1" fontId="2" fillId="0" borderId="65" xfId="0" applyNumberFormat="1" applyFont="1" applyBorder="1" applyAlignment="1">
      <alignment horizontal="center" vertical="center"/>
    </xf>
    <xf numFmtId="0" fontId="6" fillId="12" borderId="1" xfId="0" applyFont="1" applyFill="1" applyBorder="1" applyAlignment="1">
      <alignment horizontal="right"/>
    </xf>
    <xf numFmtId="0" fontId="7" fillId="12" borderId="0" xfId="0" applyFont="1" applyFill="1" applyAlignment="1">
      <alignment horizontal="centerContinuous"/>
    </xf>
    <xf numFmtId="0" fontId="6" fillId="12" borderId="0" xfId="0" applyFont="1" applyFill="1" applyAlignment="1">
      <alignment horizontal="right"/>
    </xf>
    <xf numFmtId="0" fontId="7" fillId="12" borderId="0" xfId="0" applyFont="1" applyFill="1" applyAlignment="1">
      <alignment horizontal="center"/>
    </xf>
    <xf numFmtId="49" fontId="17" fillId="13" borderId="22" xfId="0" applyNumberFormat="1" applyFont="1" applyFill="1" applyBorder="1" applyAlignment="1">
      <alignment horizontal="center"/>
    </xf>
    <xf numFmtId="0" fontId="17" fillId="13" borderId="23" xfId="0" applyFont="1" applyFill="1" applyBorder="1" applyAlignment="1">
      <alignment horizontal="center"/>
    </xf>
    <xf numFmtId="0" fontId="11" fillId="13" borderId="23" xfId="0" applyFont="1" applyFill="1" applyBorder="1" applyAlignment="1">
      <alignment horizontal="center"/>
    </xf>
    <xf numFmtId="0" fontId="10" fillId="0" borderId="1" xfId="0" applyFont="1" applyBorder="1"/>
    <xf numFmtId="49" fontId="27" fillId="0" borderId="22" xfId="0" applyNumberFormat="1" applyFont="1" applyBorder="1" applyAlignment="1">
      <alignment horizontal="center"/>
    </xf>
    <xf numFmtId="0" fontId="27" fillId="0" borderId="23" xfId="0" applyFont="1" applyBorder="1" applyAlignment="1">
      <alignment horizontal="center"/>
    </xf>
    <xf numFmtId="0" fontId="10" fillId="0" borderId="23" xfId="0" applyFont="1" applyBorder="1" applyAlignment="1">
      <alignment horizontal="center"/>
    </xf>
    <xf numFmtId="0" fontId="22" fillId="0" borderId="1" xfId="0" applyFont="1" applyBorder="1"/>
    <xf numFmtId="49" fontId="28" fillId="0" borderId="22" xfId="0" applyNumberFormat="1" applyFont="1" applyBorder="1" applyAlignment="1">
      <alignment horizontal="center"/>
    </xf>
    <xf numFmtId="0" fontId="28" fillId="0" borderId="23" xfId="0" applyFont="1" applyBorder="1" applyAlignment="1">
      <alignment horizontal="center"/>
    </xf>
    <xf numFmtId="0" fontId="22" fillId="0" borderId="23" xfId="0" applyFont="1" applyBorder="1" applyAlignment="1">
      <alignment horizontal="center"/>
    </xf>
    <xf numFmtId="0" fontId="7" fillId="0" borderId="116" xfId="0" applyFont="1" applyBorder="1" applyAlignment="1">
      <alignment horizontal="centerContinuous" vertical="center"/>
    </xf>
    <xf numFmtId="0" fontId="2" fillId="0" borderId="124" xfId="0" applyFont="1" applyBorder="1" applyAlignment="1">
      <alignment horizontal="center" vertical="center"/>
    </xf>
    <xf numFmtId="0" fontId="5" fillId="0" borderId="83" xfId="0" applyFont="1" applyBorder="1" applyAlignment="1">
      <alignment horizontal="center" vertical="center"/>
    </xf>
    <xf numFmtId="9" fontId="2" fillId="0" borderId="83" xfId="0" applyNumberFormat="1" applyFont="1" applyBorder="1" applyAlignment="1">
      <alignment horizontal="center" vertical="center"/>
    </xf>
    <xf numFmtId="164" fontId="2" fillId="0" borderId="83" xfId="0" applyNumberFormat="1" applyFont="1" applyBorder="1" applyAlignment="1">
      <alignment horizontal="center" vertical="center"/>
    </xf>
    <xf numFmtId="164" fontId="5" fillId="0" borderId="125" xfId="0" applyNumberFormat="1" applyFont="1" applyBorder="1" applyAlignment="1">
      <alignment horizontal="centerContinuous" vertical="center"/>
    </xf>
    <xf numFmtId="164" fontId="5" fillId="0" borderId="66" xfId="0" applyNumberFormat="1" applyFont="1" applyBorder="1" applyAlignment="1">
      <alignment horizontal="centerContinuous" vertical="center"/>
    </xf>
    <xf numFmtId="164" fontId="2" fillId="0" borderId="66" xfId="0" applyNumberFormat="1" applyFont="1" applyBorder="1" applyAlignment="1">
      <alignment horizontal="centerContinuous" vertical="center"/>
    </xf>
    <xf numFmtId="0" fontId="5" fillId="0" borderId="67" xfId="0" quotePrefix="1" applyFont="1" applyBorder="1" applyAlignment="1">
      <alignment horizontal="centerContinuous" vertical="center"/>
    </xf>
    <xf numFmtId="0" fontId="2" fillId="0" borderId="124" xfId="0" applyFont="1" applyBorder="1" applyAlignment="1">
      <alignment horizontal="center" vertical="center" shrinkToFit="1"/>
    </xf>
    <xf numFmtId="0" fontId="2" fillId="0" borderId="83" xfId="0" quotePrefix="1" applyFont="1" applyBorder="1" applyAlignment="1">
      <alignment horizontal="center" vertical="center"/>
    </xf>
    <xf numFmtId="49" fontId="2" fillId="0" borderId="83" xfId="0" quotePrefix="1" applyNumberFormat="1" applyFont="1" applyBorder="1" applyAlignment="1">
      <alignment horizontal="center" vertical="center"/>
    </xf>
    <xf numFmtId="164" fontId="2" fillId="0" borderId="125" xfId="0" applyNumberFormat="1" applyFont="1" applyBorder="1" applyAlignment="1">
      <alignment horizontal="centerContinuous" vertical="center"/>
    </xf>
    <xf numFmtId="0" fontId="2" fillId="0" borderId="67" xfId="0" quotePrefix="1" applyFont="1" applyBorder="1" applyAlignment="1">
      <alignment horizontal="centerContinuous" vertical="center"/>
    </xf>
    <xf numFmtId="0" fontId="2" fillId="0" borderId="0" xfId="0" applyFont="1"/>
    <xf numFmtId="0" fontId="2" fillId="0" borderId="81" xfId="0" applyFont="1" applyBorder="1" applyAlignment="1">
      <alignment horizontal="center" shrinkToFit="1"/>
    </xf>
    <xf numFmtId="0" fontId="2" fillId="0" borderId="57" xfId="0" applyFont="1" applyBorder="1" applyAlignment="1">
      <alignment horizontal="center" shrinkToFit="1"/>
    </xf>
    <xf numFmtId="164" fontId="2" fillId="0" borderId="35" xfId="0" applyNumberFormat="1" applyFont="1" applyBorder="1" applyAlignment="1">
      <alignment horizontal="center" shrinkToFit="1"/>
    </xf>
    <xf numFmtId="0" fontId="2" fillId="0" borderId="118" xfId="0" applyFont="1" applyBorder="1" applyAlignment="1">
      <alignment horizontal="center" shrinkToFit="1"/>
    </xf>
    <xf numFmtId="0" fontId="2" fillId="0" borderId="0" xfId="0" applyFont="1" applyAlignment="1">
      <alignment horizontal="center"/>
    </xf>
    <xf numFmtId="0" fontId="2" fillId="0" borderId="34" xfId="0" applyFont="1" applyBorder="1" applyAlignment="1">
      <alignment horizontal="center" vertical="center" shrinkToFit="1"/>
    </xf>
    <xf numFmtId="1" fontId="2" fillId="0" borderId="35" xfId="0" applyNumberFormat="1" applyFont="1" applyBorder="1" applyAlignment="1">
      <alignment horizontal="center" vertical="center" shrinkToFit="1"/>
    </xf>
    <xf numFmtId="164" fontId="2" fillId="0" borderId="35" xfId="0" applyNumberFormat="1" applyFont="1" applyBorder="1" applyAlignment="1">
      <alignment horizontal="center" vertical="center" shrinkToFit="1"/>
    </xf>
    <xf numFmtId="0" fontId="2" fillId="0" borderId="98" xfId="0" applyFont="1" applyBorder="1" applyAlignment="1">
      <alignment horizontal="left" vertical="center"/>
    </xf>
    <xf numFmtId="0" fontId="2" fillId="0" borderId="36" xfId="0" applyFont="1" applyBorder="1" applyAlignment="1">
      <alignment horizontal="left" vertical="center" shrinkToFit="1"/>
    </xf>
    <xf numFmtId="0" fontId="7" fillId="0" borderId="46" xfId="0" applyFont="1" applyBorder="1" applyAlignment="1">
      <alignment horizontal="centerContinuous"/>
    </xf>
    <xf numFmtId="0" fontId="7" fillId="0" borderId="46" xfId="0" applyFont="1" applyBorder="1" applyAlignment="1">
      <alignment horizontal="center" shrinkToFit="1"/>
    </xf>
    <xf numFmtId="0" fontId="7" fillId="0" borderId="49" xfId="0" applyFont="1" applyBorder="1" applyAlignment="1">
      <alignment horizontal="center" shrinkToFit="1"/>
    </xf>
    <xf numFmtId="0" fontId="7" fillId="6" borderId="23" xfId="0" applyFont="1" applyFill="1" applyBorder="1" applyAlignment="1">
      <alignment horizontal="center"/>
    </xf>
    <xf numFmtId="0" fontId="9" fillId="10" borderId="3" xfId="0" quotePrefix="1" applyFont="1" applyFill="1" applyBorder="1" applyAlignment="1">
      <alignment horizontal="center"/>
    </xf>
    <xf numFmtId="0" fontId="9" fillId="10" borderId="3" xfId="0" applyFont="1" applyFill="1" applyBorder="1" applyAlignment="1">
      <alignment horizontal="center"/>
    </xf>
    <xf numFmtId="0" fontId="2" fillId="0" borderId="64" xfId="0" applyFont="1" applyBorder="1" applyAlignment="1">
      <alignment horizontal="center" vertical="center"/>
    </xf>
    <xf numFmtId="0" fontId="2" fillId="0" borderId="45" xfId="0" applyFont="1" applyBorder="1" applyAlignment="1">
      <alignment horizontal="center" vertical="center"/>
    </xf>
    <xf numFmtId="0" fontId="2" fillId="0" borderId="45" xfId="0" quotePrefix="1" applyFont="1" applyBorder="1" applyAlignment="1">
      <alignment horizontal="center" vertical="center" wrapText="1"/>
    </xf>
    <xf numFmtId="49" fontId="2" fillId="0" borderId="45" xfId="2" applyNumberFormat="1" applyFont="1" applyBorder="1" applyAlignment="1">
      <alignment horizontal="center" vertical="center"/>
    </xf>
    <xf numFmtId="0" fontId="2" fillId="0" borderId="45" xfId="0" applyFont="1" applyBorder="1" applyAlignment="1">
      <alignment horizontal="center" vertical="center" shrinkToFit="1"/>
    </xf>
    <xf numFmtId="164" fontId="2" fillId="0" borderId="45" xfId="0" applyNumberFormat="1" applyFont="1" applyBorder="1" applyAlignment="1">
      <alignment horizontal="center" vertical="center"/>
    </xf>
    <xf numFmtId="164" fontId="5" fillId="0" borderId="45" xfId="0" applyNumberFormat="1" applyFont="1" applyBorder="1" applyAlignment="1">
      <alignment horizontal="center" vertical="center"/>
    </xf>
    <xf numFmtId="1" fontId="2" fillId="0" borderId="45" xfId="0" applyNumberFormat="1"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center" vertical="center" shrinkToFit="1"/>
    </xf>
    <xf numFmtId="0" fontId="2" fillId="0" borderId="35" xfId="0" applyFont="1" applyBorder="1" applyAlignment="1">
      <alignment horizontal="left" vertical="center"/>
    </xf>
    <xf numFmtId="0" fontId="47" fillId="16" borderId="32" xfId="0" applyFont="1" applyFill="1" applyBorder="1" applyAlignment="1">
      <alignment horizontal="center" vertical="center"/>
    </xf>
    <xf numFmtId="0" fontId="45" fillId="16" borderId="23" xfId="0" applyFont="1" applyFill="1" applyBorder="1" applyAlignment="1">
      <alignment horizontal="center"/>
    </xf>
    <xf numFmtId="0" fontId="45" fillId="16" borderId="45" xfId="0" applyFont="1" applyFill="1" applyBorder="1" applyAlignment="1">
      <alignment horizontal="center"/>
    </xf>
    <xf numFmtId="0" fontId="45" fillId="16" borderId="42" xfId="0" applyFont="1" applyFill="1" applyBorder="1" applyAlignment="1">
      <alignment horizontal="center"/>
    </xf>
    <xf numFmtId="0" fontId="48" fillId="16" borderId="19" xfId="0" applyFont="1" applyFill="1" applyBorder="1" applyAlignment="1">
      <alignment horizontal="center" vertical="center"/>
    </xf>
    <xf numFmtId="1" fontId="49" fillId="16" borderId="72" xfId="0" applyNumberFormat="1" applyFont="1" applyFill="1" applyBorder="1" applyAlignment="1">
      <alignment horizontal="center" vertical="center"/>
    </xf>
    <xf numFmtId="1" fontId="49" fillId="16" borderId="103" xfId="0" applyNumberFormat="1" applyFont="1" applyFill="1" applyBorder="1" applyAlignment="1">
      <alignment horizontal="center" vertical="center"/>
    </xf>
    <xf numFmtId="1" fontId="49" fillId="16" borderId="45" xfId="0" applyNumberFormat="1" applyFont="1" applyFill="1" applyBorder="1" applyAlignment="1">
      <alignment horizontal="center" vertical="center"/>
    </xf>
    <xf numFmtId="1" fontId="49" fillId="16" borderId="74" xfId="0" applyNumberFormat="1" applyFont="1" applyFill="1" applyBorder="1" applyAlignment="1">
      <alignment horizontal="center" vertical="center"/>
    </xf>
    <xf numFmtId="1" fontId="49" fillId="16" borderId="108" xfId="0" applyNumberFormat="1" applyFont="1" applyFill="1" applyBorder="1" applyAlignment="1">
      <alignment horizontal="center" vertical="center"/>
    </xf>
    <xf numFmtId="1" fontId="49" fillId="16" borderId="111" xfId="0" applyNumberFormat="1" applyFont="1" applyFill="1" applyBorder="1" applyAlignment="1">
      <alignment horizontal="center" vertical="center"/>
    </xf>
    <xf numFmtId="1" fontId="49" fillId="16" borderId="94" xfId="0" applyNumberFormat="1" applyFont="1" applyFill="1" applyBorder="1" applyAlignment="1">
      <alignment horizontal="center" vertical="center"/>
    </xf>
    <xf numFmtId="1" fontId="49" fillId="16" borderId="42" xfId="0" applyNumberFormat="1" applyFont="1" applyFill="1" applyBorder="1" applyAlignment="1">
      <alignment horizontal="center" vertical="center"/>
    </xf>
    <xf numFmtId="0" fontId="7" fillId="0" borderId="0" xfId="0" applyFont="1" applyAlignment="1">
      <alignment horizontal="centerContinuous" vertical="center"/>
    </xf>
    <xf numFmtId="0" fontId="55" fillId="2" borderId="78" xfId="0" applyFont="1" applyFill="1" applyBorder="1" applyAlignment="1">
      <alignment horizontal="left"/>
    </xf>
    <xf numFmtId="0" fontId="55" fillId="2" borderId="77" xfId="0" applyFont="1" applyFill="1" applyBorder="1" applyAlignment="1">
      <alignment horizontal="right"/>
    </xf>
    <xf numFmtId="49" fontId="4" fillId="0" borderId="0" xfId="0" applyNumberFormat="1" applyFont="1" applyAlignment="1">
      <alignment horizontal="center"/>
    </xf>
    <xf numFmtId="1" fontId="2" fillId="0" borderId="119" xfId="0" applyNumberFormat="1" applyFont="1" applyBorder="1" applyAlignment="1">
      <alignment horizontal="center" vertical="center" shrinkToFit="1"/>
    </xf>
    <xf numFmtId="0" fontId="7" fillId="17" borderId="22" xfId="0" applyFont="1" applyFill="1" applyBorder="1" applyAlignment="1">
      <alignment horizontal="center" vertical="center"/>
    </xf>
    <xf numFmtId="0" fontId="7" fillId="17" borderId="45" xfId="0" applyFont="1" applyFill="1" applyBorder="1" applyAlignment="1">
      <alignment horizontal="center" vertical="center"/>
    </xf>
    <xf numFmtId="49" fontId="2" fillId="18" borderId="94" xfId="0" applyNumberFormat="1" applyFont="1" applyFill="1" applyBorder="1" applyAlignment="1">
      <alignment horizontal="center" vertical="center"/>
    </xf>
    <xf numFmtId="49" fontId="2" fillId="18" borderId="103" xfId="0" applyNumberFormat="1" applyFont="1" applyFill="1" applyBorder="1" applyAlignment="1">
      <alignment horizontal="center" vertical="center"/>
    </xf>
    <xf numFmtId="0" fontId="2" fillId="0" borderId="56" xfId="0" applyFont="1" applyBorder="1" applyAlignment="1">
      <alignment horizontal="center" vertical="center" shrinkToFit="1"/>
    </xf>
    <xf numFmtId="0" fontId="2" fillId="0" borderId="34" xfId="0" applyFont="1" applyBorder="1" applyAlignment="1">
      <alignment horizontal="center" shrinkToFit="1"/>
    </xf>
    <xf numFmtId="0" fontId="2" fillId="0" borderId="97" xfId="0" applyFont="1" applyBorder="1" applyAlignment="1">
      <alignment horizontal="center" vertical="center" shrinkToFit="1"/>
    </xf>
    <xf numFmtId="0" fontId="2" fillId="0" borderId="35" xfId="0" applyFont="1" applyBorder="1" applyAlignment="1">
      <alignment horizontal="center" shrinkToFit="1"/>
    </xf>
    <xf numFmtId="1" fontId="2" fillId="0" borderId="57" xfId="0" applyNumberFormat="1" applyFont="1" applyBorder="1" applyAlignment="1">
      <alignment horizontal="center" vertical="center" shrinkToFit="1"/>
    </xf>
    <xf numFmtId="164" fontId="5" fillId="0" borderId="100" xfId="0" applyNumberFormat="1" applyFont="1" applyBorder="1" applyAlignment="1">
      <alignment horizontal="center" shrinkToFit="1"/>
    </xf>
    <xf numFmtId="164" fontId="2" fillId="0" borderId="38" xfId="0" applyNumberFormat="1" applyFont="1" applyBorder="1" applyAlignment="1">
      <alignment horizontal="center" vertical="center" shrinkToFit="1"/>
    </xf>
    <xf numFmtId="0" fontId="5" fillId="0" borderId="117" xfId="0" applyFont="1" applyBorder="1" applyAlignment="1">
      <alignment horizontal="left"/>
    </xf>
    <xf numFmtId="0" fontId="2" fillId="0" borderId="38" xfId="0" quotePrefix="1" applyFont="1" applyBorder="1" applyAlignment="1">
      <alignment horizontal="left" vertical="center"/>
    </xf>
    <xf numFmtId="0" fontId="5" fillId="0" borderId="98" xfId="0" applyFont="1" applyBorder="1" applyAlignment="1">
      <alignment horizontal="left"/>
    </xf>
    <xf numFmtId="0" fontId="2" fillId="0" borderId="35" xfId="0" quotePrefix="1" applyFont="1" applyBorder="1" applyAlignment="1">
      <alignment horizontal="left" vertical="center"/>
    </xf>
    <xf numFmtId="0" fontId="2" fillId="0" borderId="98" xfId="0" applyFont="1" applyBorder="1" applyAlignment="1">
      <alignment horizontal="left"/>
    </xf>
    <xf numFmtId="0" fontId="5" fillId="0" borderId="118" xfId="0" applyFont="1" applyBorder="1" applyAlignment="1">
      <alignment horizontal="left" shrinkToFit="1"/>
    </xf>
    <xf numFmtId="0" fontId="2" fillId="0" borderId="39" xfId="0" applyFont="1" applyBorder="1" applyAlignment="1">
      <alignment horizontal="left" vertical="center" shrinkToFit="1"/>
    </xf>
    <xf numFmtId="0" fontId="2" fillId="0" borderId="98" xfId="0" quotePrefix="1" applyFont="1" applyBorder="1" applyAlignment="1">
      <alignment horizontal="left" vertical="center"/>
    </xf>
    <xf numFmtId="0" fontId="2" fillId="0" borderId="93" xfId="0" applyFont="1" applyBorder="1" applyAlignment="1">
      <alignment horizontal="center" vertical="center" shrinkToFit="1"/>
    </xf>
    <xf numFmtId="0" fontId="2" fillId="0" borderId="94" xfId="0" quotePrefix="1" applyFont="1" applyBorder="1" applyAlignment="1">
      <alignment horizontal="center" vertical="center"/>
    </xf>
    <xf numFmtId="9" fontId="2" fillId="0" borderId="94" xfId="0" applyNumberFormat="1" applyFont="1" applyBorder="1" applyAlignment="1">
      <alignment horizontal="center" vertical="center"/>
    </xf>
    <xf numFmtId="49" fontId="2" fillId="0" borderId="94" xfId="0" quotePrefix="1" applyNumberFormat="1" applyFont="1" applyBorder="1" applyAlignment="1">
      <alignment horizontal="center" vertical="center"/>
    </xf>
    <xf numFmtId="164" fontId="2" fillId="0" borderId="126" xfId="0" applyNumberFormat="1" applyFont="1" applyBorder="1" applyAlignment="1">
      <alignment horizontal="centerContinuous" vertical="center"/>
    </xf>
    <xf numFmtId="164" fontId="2" fillId="0" borderId="127" xfId="0" applyNumberFormat="1" applyFont="1" applyBorder="1" applyAlignment="1">
      <alignment horizontal="centerContinuous" vertical="center"/>
    </xf>
    <xf numFmtId="0" fontId="2" fillId="0" borderId="128" xfId="0" quotePrefix="1" applyFont="1" applyBorder="1" applyAlignment="1">
      <alignment horizontal="centerContinuous" vertical="center"/>
    </xf>
    <xf numFmtId="165" fontId="5" fillId="0" borderId="0" xfId="0" applyNumberFormat="1" applyFont="1"/>
    <xf numFmtId="1" fontId="7" fillId="18" borderId="25" xfId="0" applyNumberFormat="1" applyFont="1" applyFill="1" applyBorder="1" applyAlignment="1">
      <alignment horizontal="center"/>
    </xf>
    <xf numFmtId="0" fontId="4" fillId="0" borderId="64" xfId="0" applyFont="1" applyBorder="1" applyAlignment="1">
      <alignment horizontal="center" vertical="center"/>
    </xf>
    <xf numFmtId="1" fontId="7" fillId="18" borderId="75" xfId="0" applyNumberFormat="1" applyFont="1" applyFill="1" applyBorder="1" applyAlignment="1">
      <alignment horizontal="centerContinuous"/>
    </xf>
    <xf numFmtId="0" fontId="56" fillId="18" borderId="105" xfId="0" applyFont="1" applyFill="1" applyBorder="1" applyAlignment="1">
      <alignment horizontal="centerContinuous"/>
    </xf>
    <xf numFmtId="0" fontId="58" fillId="2" borderId="4" xfId="0" applyFont="1" applyFill="1" applyBorder="1" applyAlignment="1">
      <alignment horizontal="right"/>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2" fillId="0" borderId="22" xfId="0" quotePrefix="1" applyFont="1" applyBorder="1" applyAlignment="1">
      <alignment horizontal="center" vertical="center" wrapText="1"/>
    </xf>
    <xf numFmtId="49" fontId="2" fillId="0" borderId="22" xfId="2" applyNumberFormat="1" applyFont="1" applyBorder="1" applyAlignment="1">
      <alignment horizontal="center" vertical="center"/>
    </xf>
    <xf numFmtId="0" fontId="2" fillId="0" borderId="22" xfId="0" applyFont="1" applyBorder="1" applyAlignment="1">
      <alignment horizontal="center" vertical="center" shrinkToFit="1"/>
    </xf>
    <xf numFmtId="164" fontId="5" fillId="0" borderId="22" xfId="0" applyNumberFormat="1" applyFont="1" applyBorder="1" applyAlignment="1">
      <alignment horizontal="center" vertical="center"/>
    </xf>
    <xf numFmtId="1" fontId="49" fillId="16" borderId="22" xfId="0" applyNumberFormat="1" applyFont="1" applyFill="1" applyBorder="1" applyAlignment="1">
      <alignment horizontal="center" vertical="center"/>
    </xf>
    <xf numFmtId="1" fontId="2" fillId="0" borderId="22" xfId="0" applyNumberFormat="1" applyFont="1" applyBorder="1" applyAlignment="1">
      <alignment horizontal="center" vertical="center"/>
    </xf>
    <xf numFmtId="0" fontId="2" fillId="0" borderId="24" xfId="0" applyFont="1" applyBorder="1" applyAlignment="1">
      <alignment horizontal="center" vertical="center"/>
    </xf>
    <xf numFmtId="164" fontId="5" fillId="0" borderId="83" xfId="0" applyNumberFormat="1" applyFont="1" applyBorder="1" applyAlignment="1">
      <alignment horizontal="center" vertical="center"/>
    </xf>
    <xf numFmtId="0" fontId="2" fillId="0" borderId="0" xfId="0" applyFont="1" applyAlignment="1">
      <alignment horizontal="center" vertical="center" shrinkToFit="1"/>
    </xf>
    <xf numFmtId="0" fontId="59" fillId="0" borderId="0" xfId="0" applyFont="1" applyAlignment="1">
      <alignment vertical="center"/>
    </xf>
    <xf numFmtId="0" fontId="2" fillId="0" borderId="0" xfId="0" applyFont="1" applyAlignment="1">
      <alignment horizontal="left" vertical="center" shrinkToFit="1"/>
    </xf>
    <xf numFmtId="0" fontId="21" fillId="3" borderId="31" xfId="0" applyFont="1" applyFill="1" applyBorder="1" applyAlignment="1">
      <alignment horizontal="center" vertical="center"/>
    </xf>
    <xf numFmtId="164" fontId="21" fillId="3" borderId="32" xfId="0" applyNumberFormat="1" applyFont="1" applyFill="1" applyBorder="1" applyAlignment="1">
      <alignment horizontal="center" vertical="center"/>
    </xf>
    <xf numFmtId="0" fontId="21" fillId="3" borderId="31" xfId="0" applyFont="1" applyFill="1" applyBorder="1" applyAlignment="1">
      <alignment horizontal="right" vertical="center"/>
    </xf>
    <xf numFmtId="0" fontId="21" fillId="3" borderId="33" xfId="0" applyFont="1" applyFill="1" applyBorder="1" applyAlignment="1">
      <alignment vertical="center"/>
    </xf>
    <xf numFmtId="164" fontId="21" fillId="3" borderId="27" xfId="0" applyNumberFormat="1" applyFont="1" applyFill="1" applyBorder="1" applyAlignment="1">
      <alignment horizontal="center" vertical="center"/>
    </xf>
    <xf numFmtId="0" fontId="2" fillId="0" borderId="129" xfId="0" applyFont="1" applyBorder="1" applyAlignment="1">
      <alignment horizontal="center" vertical="center" shrinkToFit="1"/>
    </xf>
    <xf numFmtId="1" fontId="2" fillId="0" borderId="130" xfId="0" applyNumberFormat="1" applyFont="1" applyBorder="1" applyAlignment="1">
      <alignment horizontal="center" vertical="center" shrinkToFit="1"/>
    </xf>
    <xf numFmtId="164" fontId="2" fillId="0" borderId="130" xfId="0" applyNumberFormat="1" applyFont="1" applyBorder="1" applyAlignment="1">
      <alignment horizontal="center" vertical="center" shrinkToFit="1"/>
    </xf>
    <xf numFmtId="0" fontId="2" fillId="0" borderId="131" xfId="0" applyFont="1" applyBorder="1" applyAlignment="1">
      <alignment horizontal="left" vertical="center"/>
    </xf>
    <xf numFmtId="0" fontId="2" fillId="0" borderId="132" xfId="0" applyFont="1" applyBorder="1" applyAlignment="1">
      <alignment horizontal="left" vertical="center" shrinkToFit="1"/>
    </xf>
    <xf numFmtId="0" fontId="2" fillId="0" borderId="120" xfId="0" applyFont="1" applyBorder="1" applyAlignment="1">
      <alignment horizontal="center" vertical="center" shrinkToFit="1"/>
    </xf>
    <xf numFmtId="0" fontId="2" fillId="0" borderId="37" xfId="0" applyFont="1" applyBorder="1" applyAlignment="1">
      <alignment horizontal="center" vertical="center" shrinkToFit="1"/>
    </xf>
    <xf numFmtId="1" fontId="2" fillId="0" borderId="38" xfId="0" applyNumberFormat="1" applyFont="1" applyBorder="1" applyAlignment="1">
      <alignment horizontal="center" vertical="center" shrinkToFit="1"/>
    </xf>
    <xf numFmtId="0" fontId="2" fillId="0" borderId="133" xfId="0" applyFont="1" applyBorder="1" applyAlignment="1">
      <alignment horizontal="left" vertical="center"/>
    </xf>
    <xf numFmtId="9" fontId="2" fillId="0" borderId="0" xfId="6" applyFont="1" applyBorder="1" applyAlignment="1">
      <alignment horizontal="center" vertical="center"/>
    </xf>
    <xf numFmtId="0" fontId="7" fillId="18" borderId="21" xfId="0" applyFont="1" applyFill="1" applyBorder="1" applyAlignment="1">
      <alignment horizontal="center"/>
    </xf>
    <xf numFmtId="0" fontId="9" fillId="18" borderId="3" xfId="0" quotePrefix="1" applyFont="1" applyFill="1" applyBorder="1" applyAlignment="1">
      <alignment horizontal="center"/>
    </xf>
    <xf numFmtId="0" fontId="9" fillId="18" borderId="12" xfId="0" applyFont="1" applyFill="1" applyBorder="1" applyAlignment="1">
      <alignment horizontal="center"/>
    </xf>
    <xf numFmtId="0" fontId="2" fillId="10" borderId="108" xfId="0" quotePrefix="1" applyFont="1" applyFill="1" applyBorder="1" applyAlignment="1">
      <alignment horizontal="center" vertical="center" wrapText="1"/>
    </xf>
    <xf numFmtId="0" fontId="2" fillId="10" borderId="45" xfId="0" quotePrefix="1" applyFont="1" applyFill="1" applyBorder="1" applyAlignment="1">
      <alignment horizontal="center" vertical="center" wrapText="1"/>
    </xf>
    <xf numFmtId="0" fontId="2" fillId="12" borderId="81" xfId="0" applyFont="1" applyFill="1" applyBorder="1" applyAlignment="1">
      <alignment horizontal="center" vertical="center" shrinkToFit="1"/>
    </xf>
    <xf numFmtId="1" fontId="2" fillId="12" borderId="57" xfId="0" applyNumberFormat="1" applyFont="1" applyFill="1" applyBorder="1" applyAlignment="1">
      <alignment horizontal="center" vertical="center" shrinkToFit="1"/>
    </xf>
    <xf numFmtId="164" fontId="2" fillId="12" borderId="100" xfId="0" applyNumberFormat="1" applyFont="1" applyFill="1" applyBorder="1" applyAlignment="1">
      <alignment horizontal="center" vertical="center" shrinkToFit="1"/>
    </xf>
    <xf numFmtId="0" fontId="2" fillId="12" borderId="117" xfId="0" applyFont="1" applyFill="1" applyBorder="1" applyAlignment="1">
      <alignment horizontal="left" vertical="center"/>
    </xf>
    <xf numFmtId="0" fontId="2" fillId="12" borderId="118" xfId="0" applyFont="1" applyFill="1" applyBorder="1" applyAlignment="1">
      <alignment horizontal="left" vertical="center" shrinkToFit="1"/>
    </xf>
    <xf numFmtId="1" fontId="2" fillId="12" borderId="46" xfId="0" applyNumberFormat="1" applyFont="1" applyFill="1" applyBorder="1" applyAlignment="1">
      <alignment horizontal="center" vertical="center" shrinkToFit="1"/>
    </xf>
    <xf numFmtId="0" fontId="5" fillId="12" borderId="99" xfId="0" applyFont="1" applyFill="1" applyBorder="1" applyAlignment="1">
      <alignment horizontal="center" shrinkToFit="1"/>
    </xf>
    <xf numFmtId="0" fontId="5" fillId="12" borderId="101" xfId="0" applyFont="1" applyFill="1" applyBorder="1" applyAlignment="1">
      <alignment horizontal="center" shrinkToFit="1"/>
    </xf>
    <xf numFmtId="164" fontId="2" fillId="12" borderId="100" xfId="0" applyNumberFormat="1" applyFont="1" applyFill="1" applyBorder="1" applyAlignment="1">
      <alignment horizontal="center" shrinkToFit="1"/>
    </xf>
    <xf numFmtId="0" fontId="2" fillId="12" borderId="117" xfId="0" applyFont="1" applyFill="1" applyBorder="1" applyAlignment="1">
      <alignment horizontal="left"/>
    </xf>
    <xf numFmtId="0" fontId="5" fillId="12" borderId="118" xfId="0" applyFont="1" applyFill="1" applyBorder="1" applyAlignment="1">
      <alignment horizontal="left" shrinkToFit="1"/>
    </xf>
    <xf numFmtId="1" fontId="2" fillId="12" borderId="65" xfId="0" applyNumberFormat="1" applyFont="1" applyFill="1" applyBorder="1" applyAlignment="1">
      <alignment horizontal="center" vertical="center" shrinkToFit="1"/>
    </xf>
  </cellXfs>
  <cellStyles count="12">
    <cellStyle name="Comma 2" xfId="11" xr:uid="{00000000-0005-0000-0000-000000000000}"/>
    <cellStyle name="Excel Built-in Normal" xfId="7" xr:uid="{00000000-0005-0000-0000-000001000000}"/>
    <cellStyle name="Hyperlink" xfId="1" builtinId="8"/>
    <cellStyle name="Normal" xfId="0" builtinId="0"/>
    <cellStyle name="Normal 2" xfId="3" xr:uid="{00000000-0005-0000-0000-000004000000}"/>
    <cellStyle name="Normal 2 2" xfId="5" xr:uid="{00000000-0005-0000-0000-000005000000}"/>
    <cellStyle name="Normal 3" xfId="4" xr:uid="{00000000-0005-0000-0000-000006000000}"/>
    <cellStyle name="Normal 4" xfId="8" xr:uid="{00000000-0005-0000-0000-000007000000}"/>
    <cellStyle name="Normal 5" xfId="9" xr:uid="{00000000-0005-0000-0000-000008000000}"/>
    <cellStyle name="Percent" xfId="2" builtinId="5"/>
    <cellStyle name="Percent 2" xfId="6" xr:uid="{00000000-0005-0000-0000-00000A000000}"/>
    <cellStyle name="Percent 2 2" xfId="10" xr:uid="{00000000-0005-0000-0000-00000B000000}"/>
  </cellStyles>
  <dxfs count="23">
    <dxf>
      <fill>
        <patternFill>
          <bgColor rgb="FFFF0000"/>
        </patternFill>
      </fill>
    </dxf>
    <dxf>
      <font>
        <color rgb="FFFF0000"/>
      </font>
    </dxf>
    <dxf>
      <font>
        <color rgb="FFFF0000"/>
      </font>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99FF"/>
      <color rgb="FFCCFFCC"/>
      <color rgb="FF66FFFF"/>
      <color rgb="FFFFCCFF"/>
      <color rgb="FF0000FF"/>
      <color rgb="FF3333FF"/>
      <color rgb="FF00FF00"/>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26670</xdr:colOff>
      <xdr:row>18</xdr:row>
      <xdr:rowOff>66672</xdr:rowOff>
    </xdr:from>
    <xdr:to>
      <xdr:col>6</xdr:col>
      <xdr:colOff>1295400</xdr:colOff>
      <xdr:row>33</xdr:row>
      <xdr:rowOff>160020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6670" y="3990972"/>
          <a:ext cx="6557010" cy="3301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solidFill>
                <a:schemeClr val="dk1"/>
              </a:solidFill>
              <a:effectLst/>
              <a:latin typeface="+mn-lt"/>
              <a:ea typeface="+mn-ea"/>
              <a:cs typeface="+mn-cs"/>
            </a:rPr>
            <a:t>Appearance:</a:t>
          </a:r>
          <a:r>
            <a:rPr lang="en-US" sz="1100" b="1" baseline="0">
              <a:solidFill>
                <a:schemeClr val="dk1"/>
              </a:solidFill>
              <a:effectLst/>
              <a:latin typeface="+mn-lt"/>
              <a:ea typeface="+mn-ea"/>
              <a:cs typeface="+mn-cs"/>
            </a:rPr>
            <a:t>  </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pPr algn="just"/>
          <a:endParaRPr lang="en-US" sz="1100">
            <a:solidFill>
              <a:schemeClr val="dk1"/>
            </a:solidFill>
            <a:effectLst/>
            <a:latin typeface="+mn-lt"/>
            <a:ea typeface="+mn-ea"/>
            <a:cs typeface="+mn-cs"/>
          </a:endParaRPr>
        </a:p>
        <a:p>
          <a:pPr algn="just"/>
          <a:r>
            <a:rPr lang="en-US" sz="1100" b="1">
              <a:solidFill>
                <a:schemeClr val="dk1"/>
              </a:solidFill>
              <a:effectLst/>
              <a:latin typeface="+mn-lt"/>
              <a:ea typeface="+mn-ea"/>
              <a:cs typeface="+mn-cs"/>
            </a:rPr>
            <a:t>History:  </a:t>
          </a:r>
          <a:r>
            <a:rPr lang="en-US" sz="1100">
              <a:solidFill>
                <a:schemeClr val="dk1"/>
              </a:solidFill>
              <a:effectLst/>
              <a:latin typeface="+mn-lt"/>
              <a:ea typeface="+mn-ea"/>
              <a:cs typeface="+mn-cs"/>
            </a:rPr>
            <a:t>Brene Zefni Diafice Tryndrey Noakes of Clan Tunnelly, aka Pussyfoot</a:t>
          </a: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Tallfellow halfling, whose real name was Brene Zefni Diafice Tryndrey Noakes of Clan Tunnelly, grew up in Athkatla, the capital of Amn. She learned her trade in the streets of Athkatla. </a:t>
          </a:r>
        </a:p>
        <a:p>
          <a:pPr algn="just"/>
          <a:endParaRPr lang="en-US" sz="1100">
            <a:solidFill>
              <a:schemeClr val="dk1"/>
            </a:solidFill>
            <a:effectLst/>
            <a:latin typeface="+mn-lt"/>
            <a:ea typeface="+mn-ea"/>
            <a:cs typeface="+mn-cs"/>
          </a:endParaRPr>
        </a:p>
        <a:p>
          <a:pPr algn="just"/>
          <a:r>
            <a:rPr lang="en-US" sz="1100" b="1">
              <a:solidFill>
                <a:schemeClr val="dk1"/>
              </a:solidFill>
              <a:effectLst/>
              <a:latin typeface="+mn-lt"/>
              <a:ea typeface="+mn-ea"/>
              <a:cs typeface="+mn-cs"/>
            </a:rPr>
            <a:t>Personality:  </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xdr:txBody>
    </xdr:sp>
    <xdr:clientData/>
  </xdr:twoCellAnchor>
  <xdr:twoCellAnchor editAs="oneCell">
    <xdr:from>
      <xdr:col>5</xdr:col>
      <xdr:colOff>76200</xdr:colOff>
      <xdr:row>1</xdr:row>
      <xdr:rowOff>74945</xdr:rowOff>
    </xdr:from>
    <xdr:to>
      <xdr:col>6</xdr:col>
      <xdr:colOff>1249680</xdr:colOff>
      <xdr:row>11</xdr:row>
      <xdr:rowOff>91439</xdr:rowOff>
    </xdr:to>
    <xdr:pic>
      <xdr:nvPicPr>
        <xdr:cNvPr id="4" name="Picture 3">
          <a:extLst>
            <a:ext uri="{FF2B5EF4-FFF2-40B4-BE49-F238E27FC236}">
              <a16:creationId xmlns:a16="http://schemas.microsoft.com/office/drawing/2014/main" id="{89F47818-3ED4-4235-BE83-DD1C8A8811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046220" y="448325"/>
          <a:ext cx="2491740" cy="2180574"/>
        </a:xfrm>
        <a:prstGeom prst="rect">
          <a:avLst/>
        </a:prstGeom>
        <a:ln w="38100" cmpd="dbl">
          <a:solidFill>
            <a:srgbClr val="7030A0"/>
          </a:solidFill>
        </a:ln>
      </xdr:spPr>
    </xdr:pic>
    <xdr:clientData/>
  </xdr:twoCellAnchor>
  <xdr:twoCellAnchor>
    <xdr:from>
      <xdr:col>5</xdr:col>
      <xdr:colOff>83820</xdr:colOff>
      <xdr:row>12</xdr:row>
      <xdr:rowOff>182880</xdr:rowOff>
    </xdr:from>
    <xdr:to>
      <xdr:col>6</xdr:col>
      <xdr:colOff>1249680</xdr:colOff>
      <xdr:row>17</xdr:row>
      <xdr:rowOff>247650</xdr:rowOff>
    </xdr:to>
    <xdr:sp macro="" textlink="">
      <xdr:nvSpPr>
        <xdr:cNvPr id="5" name="Text Box 60">
          <a:extLst>
            <a:ext uri="{FF2B5EF4-FFF2-40B4-BE49-F238E27FC236}">
              <a16:creationId xmlns:a16="http://schemas.microsoft.com/office/drawing/2014/main" id="{0E37E242-88DD-4C19-AA06-2D612EC60AFB}"/>
            </a:ext>
          </a:extLst>
        </xdr:cNvPr>
        <xdr:cNvSpPr txBox="1">
          <a:spLocks noChangeArrowheads="1"/>
        </xdr:cNvSpPr>
      </xdr:nvSpPr>
      <xdr:spPr bwMode="auto">
        <a:xfrm>
          <a:off x="4053840" y="2727960"/>
          <a:ext cx="2484120" cy="1139190"/>
        </a:xfrm>
        <a:prstGeom prst="rect">
          <a:avLst/>
        </a:prstGeom>
        <a:solidFill>
          <a:srgbClr xmlns:mc="http://schemas.openxmlformats.org/markup-compatibility/2006" xmlns:a14="http://schemas.microsoft.com/office/drawing/2010/main" val="CCFFFF" mc:Ignorable="a14" a14:legacySpreadsheetColorIndex="41">
            <a:alpha val="66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4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60198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2474595</xdr:colOff>
      <xdr:row>1</xdr:row>
      <xdr:rowOff>123825</xdr:rowOff>
    </xdr:from>
    <xdr:to>
      <xdr:col>1</xdr:col>
      <xdr:colOff>512445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ertexas@earthlink.net" TargetMode="External"/><Relationship Id="rId1" Type="http://schemas.openxmlformats.org/officeDocument/2006/relationships/hyperlink" Target="mailto:'JR'%20%3cjoertexas@earthlink.net%3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showGridLines="0" tabSelected="1" zoomScaleNormal="100" workbookViewId="0"/>
  </sheetViews>
  <sheetFormatPr defaultColWidth="13" defaultRowHeight="15.6" x14ac:dyDescent="0.3"/>
  <cols>
    <col min="1" max="1" width="13.3984375" style="19" customWidth="1"/>
    <col min="2" max="2" width="10" style="20" customWidth="1"/>
    <col min="3" max="3" width="5.09765625" style="20" customWidth="1"/>
    <col min="4" max="4" width="13.69921875" style="19" bestFit="1" customWidth="1"/>
    <col min="5" max="5" width="9.8984375" style="20" bestFit="1" customWidth="1"/>
    <col min="6" max="6" width="17.296875" style="19" customWidth="1"/>
    <col min="7" max="7" width="17.296875" style="20" customWidth="1"/>
    <col min="8" max="16384" width="13" style="1"/>
  </cols>
  <sheetData>
    <row r="1" spans="1:7" ht="29.4" thickTop="1" thickBot="1" x14ac:dyDescent="0.55000000000000004">
      <c r="A1" s="447" t="s">
        <v>226</v>
      </c>
      <c r="B1" s="446" t="s">
        <v>261</v>
      </c>
      <c r="C1" s="126"/>
      <c r="D1" s="127"/>
      <c r="E1" s="128"/>
      <c r="F1" s="127"/>
      <c r="G1" s="129" t="s">
        <v>191</v>
      </c>
    </row>
    <row r="2" spans="1:7" ht="17.399999999999999" thickTop="1" x14ac:dyDescent="0.3">
      <c r="A2" s="2" t="s">
        <v>130</v>
      </c>
      <c r="B2" s="31" t="s">
        <v>171</v>
      </c>
      <c r="C2" s="31"/>
      <c r="D2" s="162"/>
      <c r="E2" s="31"/>
      <c r="F2" s="3"/>
      <c r="G2" s="5"/>
    </row>
    <row r="3" spans="1:7" ht="16.8" x14ac:dyDescent="0.3">
      <c r="A3" s="2" t="s">
        <v>131</v>
      </c>
      <c r="B3" s="31" t="s">
        <v>100</v>
      </c>
      <c r="C3" s="31"/>
      <c r="D3" s="4" t="s">
        <v>0</v>
      </c>
      <c r="E3" s="40">
        <v>20</v>
      </c>
      <c r="F3" s="3"/>
      <c r="G3" s="5"/>
    </row>
    <row r="4" spans="1:7" ht="16.8" x14ac:dyDescent="0.3">
      <c r="A4" s="375" t="s">
        <v>131</v>
      </c>
      <c r="B4" s="376"/>
      <c r="C4" s="376"/>
      <c r="D4" s="377" t="s">
        <v>0</v>
      </c>
      <c r="E4" s="378"/>
      <c r="F4" s="3"/>
      <c r="G4" s="5"/>
    </row>
    <row r="5" spans="1:7" ht="16.8" x14ac:dyDescent="0.3">
      <c r="A5" s="2" t="s">
        <v>132</v>
      </c>
      <c r="B5" s="31" t="s">
        <v>112</v>
      </c>
      <c r="C5" s="31"/>
      <c r="D5" s="4" t="s">
        <v>137</v>
      </c>
      <c r="E5" s="40">
        <v>28</v>
      </c>
      <c r="F5" s="3"/>
      <c r="G5" s="5"/>
    </row>
    <row r="6" spans="1:7" ht="16.8" x14ac:dyDescent="0.3">
      <c r="A6" s="2" t="s">
        <v>133</v>
      </c>
      <c r="B6" s="445" t="s">
        <v>225</v>
      </c>
      <c r="C6" s="445"/>
      <c r="D6" s="1"/>
      <c r="E6" s="1"/>
      <c r="F6" s="3"/>
      <c r="G6" s="5"/>
    </row>
    <row r="7" spans="1:7" ht="16.8" x14ac:dyDescent="0.3">
      <c r="A7" s="2" t="s">
        <v>232</v>
      </c>
      <c r="B7" s="445" t="s">
        <v>233</v>
      </c>
      <c r="C7" s="445"/>
      <c r="D7" s="4" t="s">
        <v>138</v>
      </c>
      <c r="E7" s="40" t="s">
        <v>172</v>
      </c>
      <c r="F7" s="3"/>
      <c r="G7" s="5"/>
    </row>
    <row r="8" spans="1:7" ht="17.399999999999999" thickBot="1" x14ac:dyDescent="0.35">
      <c r="A8" s="2" t="s">
        <v>134</v>
      </c>
      <c r="B8" s="31" t="s">
        <v>113</v>
      </c>
      <c r="C8" s="31"/>
      <c r="D8" s="4" t="s">
        <v>139</v>
      </c>
      <c r="E8" s="40" t="s">
        <v>173</v>
      </c>
      <c r="F8" s="3"/>
      <c r="G8" s="5"/>
    </row>
    <row r="9" spans="1:7" ht="17.399999999999999" thickTop="1" x14ac:dyDescent="0.3">
      <c r="A9" s="114" t="s">
        <v>135</v>
      </c>
      <c r="B9" s="479">
        <f>1+15+1</f>
        <v>17</v>
      </c>
      <c r="C9" s="480"/>
      <c r="D9" s="112" t="s">
        <v>140</v>
      </c>
      <c r="E9" s="113" t="s">
        <v>94</v>
      </c>
      <c r="F9" s="3"/>
      <c r="G9" s="5"/>
    </row>
    <row r="10" spans="1:7" ht="16.8" x14ac:dyDescent="0.3">
      <c r="A10" s="333" t="s">
        <v>136</v>
      </c>
      <c r="B10" s="334" t="str">
        <f>C13</f>
        <v>+10</v>
      </c>
      <c r="C10" s="335"/>
      <c r="D10" s="336" t="s">
        <v>141</v>
      </c>
      <c r="E10" s="337" t="s">
        <v>94</v>
      </c>
      <c r="F10" s="3"/>
      <c r="G10" s="5"/>
    </row>
    <row r="11" spans="1:7" ht="17.399999999999999" thickBot="1" x14ac:dyDescent="0.35">
      <c r="A11" s="338"/>
      <c r="B11" s="340"/>
      <c r="C11" s="390"/>
      <c r="D11" s="339" t="s">
        <v>174</v>
      </c>
      <c r="E11" s="341">
        <f>SUM(E3:E4)</f>
        <v>20</v>
      </c>
      <c r="F11" s="3"/>
      <c r="G11" s="5"/>
    </row>
    <row r="12" spans="1:7" ht="17.399999999999999" thickTop="1" x14ac:dyDescent="0.3">
      <c r="A12" s="27" t="s">
        <v>148</v>
      </c>
      <c r="B12" s="512">
        <f>12+4</f>
        <v>16</v>
      </c>
      <c r="C12" s="106" t="str">
        <f t="shared" ref="C12:C17" si="0">IF(B12&gt;9.9,CONCATENATE("+",ROUNDDOWN((B12-10)/2,0)),ROUNDUP((B12-10)/2,0))</f>
        <v>+3</v>
      </c>
      <c r="D12" s="103" t="s">
        <v>142</v>
      </c>
      <c r="E12" s="101" t="s">
        <v>175</v>
      </c>
      <c r="F12" s="3"/>
      <c r="G12" s="5"/>
    </row>
    <row r="13" spans="1:7" ht="16.8" x14ac:dyDescent="0.3">
      <c r="A13" s="6" t="s">
        <v>149</v>
      </c>
      <c r="B13" s="419">
        <f>21+6+4</f>
        <v>31</v>
      </c>
      <c r="C13" s="39" t="str">
        <f t="shared" si="0"/>
        <v>+10</v>
      </c>
      <c r="D13" s="104" t="s">
        <v>143</v>
      </c>
      <c r="E13" s="49">
        <f>(SUM(Martial!G3:G33)+(SUM(Equipment!C3:C35)))+35</f>
        <v>89.75</v>
      </c>
      <c r="F13" s="3"/>
      <c r="G13" s="5"/>
    </row>
    <row r="14" spans="1:7" ht="16.8" x14ac:dyDescent="0.3">
      <c r="A14" s="481" t="s">
        <v>150</v>
      </c>
      <c r="B14" s="511">
        <f>12+4</f>
        <v>16</v>
      </c>
      <c r="C14" s="32" t="str">
        <f t="shared" si="0"/>
        <v>+3</v>
      </c>
      <c r="D14" s="89" t="s">
        <v>144</v>
      </c>
      <c r="E14" s="116">
        <f>ROUNDUP(((E3*6)*0.75)+((E4*6)*0.75)+(SUM(E3:E4)*C14),0)</f>
        <v>150</v>
      </c>
      <c r="F14" s="3"/>
      <c r="G14" s="5"/>
    </row>
    <row r="15" spans="1:7" ht="16.8" x14ac:dyDescent="0.3">
      <c r="A15" s="105" t="s">
        <v>151</v>
      </c>
      <c r="B15" s="511">
        <f>18+4</f>
        <v>22</v>
      </c>
      <c r="C15" s="39" t="str">
        <f t="shared" si="0"/>
        <v>+6</v>
      </c>
      <c r="D15" s="90" t="s">
        <v>145</v>
      </c>
      <c r="E15" s="477">
        <f>1+10+C13+1</f>
        <v>22</v>
      </c>
      <c r="F15" s="2"/>
      <c r="G15" s="5"/>
    </row>
    <row r="16" spans="1:7" ht="16.8" x14ac:dyDescent="0.3">
      <c r="A16" s="26" t="s">
        <v>152</v>
      </c>
      <c r="B16" s="420">
        <f>10+6+4</f>
        <v>20</v>
      </c>
      <c r="C16" s="39" t="str">
        <f t="shared" si="0"/>
        <v>+5</v>
      </c>
      <c r="D16" s="90" t="s">
        <v>146</v>
      </c>
      <c r="E16" s="174">
        <f>E17-C13</f>
        <v>34</v>
      </c>
      <c r="F16" s="3"/>
      <c r="G16" s="5"/>
    </row>
    <row r="17" spans="1:7" ht="17.399999999999999" thickBot="1" x14ac:dyDescent="0.35">
      <c r="A17" s="28" t="s">
        <v>153</v>
      </c>
      <c r="B17" s="510">
        <f>10+4</f>
        <v>14</v>
      </c>
      <c r="C17" s="33" t="str">
        <f t="shared" si="0"/>
        <v>+2</v>
      </c>
      <c r="D17" s="91" t="s">
        <v>147</v>
      </c>
      <c r="E17" s="175">
        <f>E15+SUM(Martial!B25:B29)</f>
        <v>44</v>
      </c>
      <c r="F17" s="3"/>
      <c r="G17" s="5"/>
    </row>
    <row r="18" spans="1:7" ht="24" thickTop="1" thickBot="1" x14ac:dyDescent="0.45">
      <c r="A18" s="7" t="s">
        <v>18</v>
      </c>
      <c r="B18" s="8"/>
      <c r="C18" s="8"/>
      <c r="D18" s="9"/>
      <c r="E18" s="9"/>
      <c r="F18" s="9"/>
      <c r="G18" s="10"/>
    </row>
    <row r="19" spans="1:7" s="14" customFormat="1" ht="17.399999999999999" thickTop="1" x14ac:dyDescent="0.3">
      <c r="A19" s="11"/>
      <c r="B19" s="12"/>
      <c r="C19" s="12"/>
      <c r="D19" s="12"/>
      <c r="E19" s="12"/>
      <c r="F19" s="12"/>
      <c r="G19" s="13"/>
    </row>
    <row r="20" spans="1:7" s="14" customFormat="1" ht="16.8" x14ac:dyDescent="0.3">
      <c r="A20" s="60"/>
      <c r="B20" s="15"/>
      <c r="C20" s="15"/>
      <c r="D20" s="15"/>
      <c r="E20" s="15"/>
      <c r="F20" s="15"/>
      <c r="G20" s="61"/>
    </row>
    <row r="21" spans="1:7" s="14" customFormat="1" ht="16.8" x14ac:dyDescent="0.3">
      <c r="A21" s="60"/>
      <c r="B21" s="15"/>
      <c r="C21" s="15"/>
      <c r="D21" s="15"/>
      <c r="E21" s="15"/>
      <c r="F21" s="15"/>
      <c r="G21" s="61"/>
    </row>
    <row r="22" spans="1:7" s="14" customFormat="1" ht="16.8" x14ac:dyDescent="0.3">
      <c r="A22" s="60"/>
      <c r="B22" s="15"/>
      <c r="C22" s="15"/>
      <c r="D22" s="15"/>
      <c r="E22" s="15"/>
      <c r="F22" s="15"/>
      <c r="G22" s="61"/>
    </row>
    <row r="23" spans="1:7" s="14" customFormat="1" ht="16.8" x14ac:dyDescent="0.3">
      <c r="A23" s="60"/>
      <c r="B23" s="15"/>
      <c r="C23" s="15"/>
      <c r="D23" s="15"/>
      <c r="E23" s="15"/>
      <c r="F23" s="15"/>
      <c r="G23" s="61"/>
    </row>
    <row r="24" spans="1:7" s="14" customFormat="1" ht="16.8" x14ac:dyDescent="0.3">
      <c r="A24" s="60"/>
      <c r="B24" s="15"/>
      <c r="C24" s="15"/>
      <c r="D24" s="15"/>
      <c r="E24" s="15"/>
      <c r="F24" s="15"/>
      <c r="G24" s="61"/>
    </row>
    <row r="25" spans="1:7" s="14" customFormat="1" ht="16.8" x14ac:dyDescent="0.3">
      <c r="A25" s="60"/>
      <c r="B25" s="15"/>
      <c r="C25" s="15"/>
      <c r="D25" s="15"/>
      <c r="E25" s="15"/>
      <c r="F25" s="15"/>
      <c r="G25" s="61"/>
    </row>
    <row r="26" spans="1:7" s="14" customFormat="1" ht="16.8" x14ac:dyDescent="0.3">
      <c r="A26" s="60"/>
      <c r="B26" s="15"/>
      <c r="C26" s="15"/>
      <c r="D26" s="15"/>
      <c r="E26" s="15"/>
      <c r="F26" s="15"/>
      <c r="G26" s="61"/>
    </row>
    <row r="27" spans="1:7" s="14" customFormat="1" ht="16.8" x14ac:dyDescent="0.3">
      <c r="A27" s="60"/>
      <c r="B27" s="15"/>
      <c r="C27" s="15"/>
      <c r="D27" s="15"/>
      <c r="E27" s="15"/>
      <c r="F27" s="15"/>
      <c r="G27" s="61"/>
    </row>
    <row r="28" spans="1:7" ht="16.8" x14ac:dyDescent="0.3">
      <c r="A28" s="60"/>
      <c r="B28" s="15"/>
      <c r="C28" s="15"/>
      <c r="D28" s="15"/>
      <c r="E28" s="15"/>
      <c r="F28" s="15"/>
      <c r="G28" s="61"/>
    </row>
    <row r="29" spans="1:7" ht="16.8" x14ac:dyDescent="0.3">
      <c r="A29" s="60"/>
      <c r="B29" s="15"/>
      <c r="C29" s="15"/>
      <c r="D29" s="15"/>
      <c r="E29" s="15"/>
      <c r="F29" s="15"/>
      <c r="G29" s="61"/>
    </row>
    <row r="30" spans="1:7" ht="16.8" x14ac:dyDescent="0.3">
      <c r="A30" s="60"/>
      <c r="B30" s="15"/>
      <c r="C30" s="15"/>
      <c r="D30" s="15"/>
      <c r="E30" s="15"/>
      <c r="F30" s="15"/>
      <c r="G30" s="61"/>
    </row>
    <row r="31" spans="1:7" ht="16.8" x14ac:dyDescent="0.3">
      <c r="A31" s="60"/>
      <c r="B31" s="15"/>
      <c r="C31" s="15"/>
      <c r="D31" s="15"/>
      <c r="E31" s="15"/>
      <c r="F31" s="15"/>
      <c r="G31" s="61"/>
    </row>
    <row r="32" spans="1:7" ht="16.8" x14ac:dyDescent="0.3">
      <c r="A32" s="60"/>
      <c r="B32" s="15"/>
      <c r="C32" s="15"/>
      <c r="D32" s="15"/>
      <c r="E32" s="15"/>
      <c r="F32" s="15"/>
      <c r="G32" s="61"/>
    </row>
    <row r="33" spans="1:7" ht="16.8" x14ac:dyDescent="0.3">
      <c r="A33" s="60"/>
      <c r="B33" s="15"/>
      <c r="C33" s="15"/>
      <c r="D33" s="15"/>
      <c r="E33" s="15"/>
      <c r="F33" s="15"/>
      <c r="G33" s="61"/>
    </row>
    <row r="34" spans="1:7" ht="17.399999999999999" thickBot="1" x14ac:dyDescent="0.35">
      <c r="A34" s="16"/>
      <c r="B34" s="17"/>
      <c r="C34" s="17"/>
      <c r="D34" s="17"/>
      <c r="E34" s="17"/>
      <c r="F34" s="17"/>
      <c r="G34" s="18"/>
    </row>
    <row r="35" spans="1:7" ht="16.2" thickTop="1" x14ac:dyDescent="0.3"/>
  </sheetData>
  <phoneticPr fontId="0" type="noConversion"/>
  <conditionalFormatting sqref="E13">
    <cfRule type="cellIs" dxfId="22" priority="4" stopIfTrue="1" operator="greaterThan">
      <formula>65</formula>
    </cfRule>
    <cfRule type="cellIs" dxfId="21" priority="5" stopIfTrue="1" operator="between">
      <formula>32</formula>
      <formula>65</formula>
    </cfRule>
  </conditionalFormatting>
  <hyperlinks>
    <hyperlink ref="H1" r:id="rId1" display="Played by JR Roberts" xr:uid="{F0514228-B9C7-46B1-AF46-16E94D7C9985}"/>
    <hyperlink ref="G1" r:id="rId2" xr:uid="{8E91D5FE-6C55-48AF-8A1D-E16E669AD1AA}"/>
  </hyperlinks>
  <printOptions gridLinesSet="0"/>
  <pageMargins left="0.62" right="0.33" top="0.5" bottom="0.63" header="0.5" footer="0.5"/>
  <pageSetup orientation="portrait" horizontalDpi="120" verticalDpi="144"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
  <sheetViews>
    <sheetView showGridLines="0" workbookViewId="0">
      <pane ySplit="2" topLeftCell="A3" activePane="bottomLeft" state="frozen"/>
      <selection pane="bottomLeft" activeCell="A3" sqref="A3"/>
    </sheetView>
  </sheetViews>
  <sheetFormatPr defaultColWidth="13" defaultRowHeight="15.6" x14ac:dyDescent="0.3"/>
  <cols>
    <col min="1" max="1" width="28" style="19" bestFit="1" customWidth="1"/>
    <col min="2" max="2" width="5.8984375" style="19" bestFit="1" customWidth="1"/>
    <col min="3" max="3" width="7.09765625" style="20" hidden="1" customWidth="1"/>
    <col min="4" max="4" width="5.796875" style="20" hidden="1" customWidth="1"/>
    <col min="5" max="5" width="9.19921875" style="20" bestFit="1" customWidth="1"/>
    <col min="6" max="6" width="7.3984375" style="20" bestFit="1" customWidth="1"/>
    <col min="7" max="7" width="5.8984375" style="20" bestFit="1" customWidth="1"/>
    <col min="8" max="8" width="4.69921875" style="20" bestFit="1" customWidth="1"/>
    <col min="9" max="9" width="6.8984375" style="20" bestFit="1" customWidth="1"/>
    <col min="10" max="10" width="27.19921875" style="19" bestFit="1" customWidth="1"/>
    <col min="11" max="16384" width="13" style="1"/>
  </cols>
  <sheetData>
    <row r="1" spans="1:10" ht="23.4" thickBot="1" x14ac:dyDescent="0.45">
      <c r="A1" s="30" t="s">
        <v>8</v>
      </c>
      <c r="B1" s="21"/>
      <c r="C1" s="21"/>
      <c r="D1" s="21"/>
      <c r="E1" s="21"/>
      <c r="F1" s="21"/>
      <c r="G1" s="21"/>
      <c r="H1" s="21"/>
      <c r="I1" s="21"/>
      <c r="J1" s="21"/>
    </row>
    <row r="2" spans="1:10" s="14" customFormat="1" ht="34.200000000000003" thickBot="1" x14ac:dyDescent="0.35">
      <c r="A2" s="170" t="s">
        <v>107</v>
      </c>
      <c r="B2" s="171" t="s">
        <v>23</v>
      </c>
      <c r="C2" s="171" t="s">
        <v>30</v>
      </c>
      <c r="D2" s="171" t="s">
        <v>22</v>
      </c>
      <c r="E2" s="172" t="s">
        <v>55</v>
      </c>
      <c r="F2" s="172" t="s">
        <v>31</v>
      </c>
      <c r="G2" s="171" t="s">
        <v>57</v>
      </c>
      <c r="H2" s="432" t="s">
        <v>92</v>
      </c>
      <c r="I2" s="171" t="s">
        <v>70</v>
      </c>
      <c r="J2" s="173" t="s">
        <v>1</v>
      </c>
    </row>
    <row r="3" spans="1:10" s="14" customFormat="1" ht="16.8" x14ac:dyDescent="0.3">
      <c r="A3" s="107" t="s">
        <v>59</v>
      </c>
      <c r="B3" s="108">
        <f>6</f>
        <v>6</v>
      </c>
      <c r="C3" s="51" t="s">
        <v>25</v>
      </c>
      <c r="D3" s="51" t="str">
        <f>IF(C3="Str",'Personal File'!$C$12,IF(C3="Dex",'Personal File'!$C$13,IF(C3="Con",'Personal File'!$C$14,IF(C3="Int",'Personal File'!$C$15,IF(C3="Wis",'Personal File'!$C$16,IF(C3="Cha",'Personal File'!$C$17))))))</f>
        <v>+3</v>
      </c>
      <c r="E3" s="250" t="str">
        <f>CONCATENATE(C3," (",D3,")")</f>
        <v>Con (+3)</v>
      </c>
      <c r="F3" s="450">
        <f>3</f>
        <v>3</v>
      </c>
      <c r="G3" s="251">
        <f>B3+D3+F3</f>
        <v>12</v>
      </c>
      <c r="H3" s="433">
        <f t="shared" ref="H3:H5" ca="1" si="0">RANDBETWEEN(1,20)</f>
        <v>16</v>
      </c>
      <c r="I3" s="252">
        <f ca="1">SUM(G3:H3)</f>
        <v>28</v>
      </c>
      <c r="J3" s="88"/>
    </row>
    <row r="4" spans="1:10" s="14" customFormat="1" ht="16.8" x14ac:dyDescent="0.3">
      <c r="A4" s="109" t="s">
        <v>60</v>
      </c>
      <c r="B4" s="108">
        <f>12</f>
        <v>12</v>
      </c>
      <c r="C4" s="51" t="s">
        <v>28</v>
      </c>
      <c r="D4" s="51" t="str">
        <f>IF(C4="Str",'Personal File'!$C$12,IF(C4="Dex",'Personal File'!$C$13,IF(C4="Con",'Personal File'!$C$14,IF(C4="Int",'Personal File'!$C$15,IF(C4="Wis",'Personal File'!$C$16,IF(C4="Cha",'Personal File'!$C$17))))))</f>
        <v>+10</v>
      </c>
      <c r="E4" s="79" t="str">
        <f t="shared" ref="E4:E5" si="1">CONCATENATE(C4," (",D4,")")</f>
        <v>Dex (+10)</v>
      </c>
      <c r="F4" s="450">
        <f>3+2</f>
        <v>5</v>
      </c>
      <c r="G4" s="251">
        <f t="shared" ref="G4:G43" si="2">B4+D4+F4</f>
        <v>27</v>
      </c>
      <c r="H4" s="433">
        <f t="shared" ca="1" si="0"/>
        <v>19</v>
      </c>
      <c r="I4" s="252">
        <f ca="1">SUM(G4:H4)</f>
        <v>46</v>
      </c>
      <c r="J4" s="88" t="s">
        <v>235</v>
      </c>
    </row>
    <row r="5" spans="1:10" s="14" customFormat="1" ht="16.8" x14ac:dyDescent="0.3">
      <c r="A5" s="110" t="s">
        <v>61</v>
      </c>
      <c r="B5" s="96">
        <f>6</f>
        <v>6</v>
      </c>
      <c r="C5" s="87" t="s">
        <v>27</v>
      </c>
      <c r="D5" s="87" t="str">
        <f>IF(C5="Str",'Personal File'!$C$12,IF(C5="Dex",'Personal File'!$C$13,IF(C5="Con",'Personal File'!$C$14,IF(C5="Int",'Personal File'!$C$15,IF(C5="Wis",'Personal File'!$C$16,IF(C5="Cha",'Personal File'!$C$17))))))</f>
        <v>+5</v>
      </c>
      <c r="E5" s="253" t="str">
        <f t="shared" si="1"/>
        <v>Wis (+5)</v>
      </c>
      <c r="F5" s="451">
        <f>3</f>
        <v>3</v>
      </c>
      <c r="G5" s="254">
        <f t="shared" si="2"/>
        <v>14</v>
      </c>
      <c r="H5" s="434">
        <f t="shared" ca="1" si="0"/>
        <v>16</v>
      </c>
      <c r="I5" s="255">
        <f ca="1">SUM(G5:H5)</f>
        <v>30</v>
      </c>
      <c r="J5" s="111" t="s">
        <v>93</v>
      </c>
    </row>
    <row r="6" spans="1:10" s="34" customFormat="1" ht="16.8" x14ac:dyDescent="0.3">
      <c r="A6" s="118" t="s">
        <v>32</v>
      </c>
      <c r="B6" s="120">
        <v>10</v>
      </c>
      <c r="C6" s="379" t="s">
        <v>26</v>
      </c>
      <c r="D6" s="380" t="str">
        <f>IF(C6="Str",'Personal File'!$C$12,IF(C6="Dex",'Personal File'!$C$13,IF(C6="Con",'Personal File'!$C$14,IF(C6="Int",'Personal File'!$C$15,IF(C6="Wis",'Personal File'!$C$16,IF(C6="Cha",'Personal File'!$C$17))))))</f>
        <v>+6</v>
      </c>
      <c r="E6" s="381" t="str">
        <f t="shared" ref="E6:E43" si="3">CONCATENATE(C6," (",D6,")")</f>
        <v>Int (+6)</v>
      </c>
      <c r="F6" s="279" t="s">
        <v>56</v>
      </c>
      <c r="G6" s="164">
        <f t="shared" si="2"/>
        <v>16</v>
      </c>
      <c r="H6" s="433">
        <f t="shared" ref="H6:H43" ca="1" si="4">RANDBETWEEN(1,20)</f>
        <v>14</v>
      </c>
      <c r="I6" s="124">
        <f t="shared" ref="I6:I7" ca="1" si="5">SUM(G6:H6)</f>
        <v>30</v>
      </c>
      <c r="J6" s="276"/>
    </row>
    <row r="7" spans="1:10" s="38" customFormat="1" ht="16.8" x14ac:dyDescent="0.3">
      <c r="A7" s="134" t="s">
        <v>33</v>
      </c>
      <c r="B7" s="120">
        <v>10</v>
      </c>
      <c r="C7" s="135" t="s">
        <v>28</v>
      </c>
      <c r="D7" s="136" t="str">
        <f>IF(C7="Str",'Personal File'!$C$12,IF(C7="Dex",'Personal File'!$C$13,IF(C7="Con",'Personal File'!$C$14,IF(C7="Int",'Personal File'!$C$15,IF(C7="Wis",'Personal File'!$C$16,IF(C7="Cha",'Personal File'!$C$17))))))</f>
        <v>+10</v>
      </c>
      <c r="E7" s="140" t="str">
        <f t="shared" si="3"/>
        <v>Dex (+10)</v>
      </c>
      <c r="F7" s="48" t="s">
        <v>56</v>
      </c>
      <c r="G7" s="164">
        <f t="shared" si="2"/>
        <v>20</v>
      </c>
      <c r="H7" s="433">
        <f t="shared" ca="1" si="4"/>
        <v>15</v>
      </c>
      <c r="I7" s="124">
        <f t="shared" ca="1" si="5"/>
        <v>35</v>
      </c>
      <c r="J7" s="125"/>
    </row>
    <row r="8" spans="1:10" s="36" customFormat="1" ht="16.8" x14ac:dyDescent="0.3">
      <c r="A8" s="119" t="s">
        <v>34</v>
      </c>
      <c r="B8" s="120">
        <v>10</v>
      </c>
      <c r="C8" s="121" t="s">
        <v>24</v>
      </c>
      <c r="D8" s="122" t="str">
        <f>IF(C8="Str",'Personal File'!$C$12,IF(C8="Dex",'Personal File'!$C$13,IF(C8="Con",'Personal File'!$C$14,IF(C8="Int",'Personal File'!$C$15,IF(C8="Wis",'Personal File'!$C$16,IF(C8="Cha",'Personal File'!$C$17))))))</f>
        <v>+2</v>
      </c>
      <c r="E8" s="123" t="str">
        <f t="shared" si="3"/>
        <v>Cha (+2)</v>
      </c>
      <c r="F8" s="48" t="s">
        <v>56</v>
      </c>
      <c r="G8" s="164">
        <f t="shared" si="2"/>
        <v>12</v>
      </c>
      <c r="H8" s="433">
        <f t="shared" ca="1" si="4"/>
        <v>19</v>
      </c>
      <c r="I8" s="124">
        <f t="shared" ref="I8:I43" ca="1" si="6">SUM(G8:H8)</f>
        <v>31</v>
      </c>
      <c r="J8" s="125"/>
    </row>
    <row r="9" spans="1:10" s="35" customFormat="1" ht="16.8" x14ac:dyDescent="0.3">
      <c r="A9" s="137" t="s">
        <v>35</v>
      </c>
      <c r="B9" s="120">
        <v>10</v>
      </c>
      <c r="C9" s="138" t="s">
        <v>29</v>
      </c>
      <c r="D9" s="139" t="str">
        <f>IF(C9="Str",'Personal File'!$C$12,IF(C9="Dex",'Personal File'!$C$13,IF(C9="Con",'Personal File'!$C$14,IF(C9="Int",'Personal File'!$C$15,IF(C9="Wis",'Personal File'!$C$16,IF(C9="Cha",'Personal File'!$C$17))))))</f>
        <v>+3</v>
      </c>
      <c r="E9" s="260" t="str">
        <f t="shared" si="3"/>
        <v>Str (+3)</v>
      </c>
      <c r="F9" s="124" t="s">
        <v>80</v>
      </c>
      <c r="G9" s="164">
        <f t="shared" si="2"/>
        <v>15</v>
      </c>
      <c r="H9" s="433">
        <f t="shared" ca="1" si="4"/>
        <v>1</v>
      </c>
      <c r="I9" s="124">
        <f t="shared" ca="1" si="6"/>
        <v>16</v>
      </c>
      <c r="J9" s="125"/>
    </row>
    <row r="10" spans="1:10" s="35" customFormat="1" ht="16.8" x14ac:dyDescent="0.3">
      <c r="A10" s="382" t="s">
        <v>9</v>
      </c>
      <c r="B10" s="51">
        <v>0</v>
      </c>
      <c r="C10" s="383" t="s">
        <v>25</v>
      </c>
      <c r="D10" s="384" t="str">
        <f>IF(C10="Str",'Personal File'!$C$12,IF(C10="Dex",'Personal File'!$C$13,IF(C10="Con",'Personal File'!$C$14,IF(C10="Int",'Personal File'!$C$15,IF(C10="Wis",'Personal File'!$C$16,IF(C10="Cha",'Personal File'!$C$17))))))</f>
        <v>+3</v>
      </c>
      <c r="E10" s="385" t="str">
        <f t="shared" si="3"/>
        <v>Con (+3)</v>
      </c>
      <c r="F10" s="52" t="s">
        <v>56</v>
      </c>
      <c r="G10" s="163">
        <f t="shared" si="2"/>
        <v>3</v>
      </c>
      <c r="H10" s="433">
        <f t="shared" ca="1" si="4"/>
        <v>10</v>
      </c>
      <c r="I10" s="52">
        <f t="shared" ca="1" si="6"/>
        <v>13</v>
      </c>
      <c r="J10" s="53"/>
    </row>
    <row r="11" spans="1:10" s="34" customFormat="1" ht="16.8" x14ac:dyDescent="0.3">
      <c r="A11" s="57" t="s">
        <v>187</v>
      </c>
      <c r="B11" s="47">
        <v>6</v>
      </c>
      <c r="C11" s="58" t="s">
        <v>26</v>
      </c>
      <c r="D11" s="59" t="str">
        <f>IF(C11="Str",'Personal File'!$C$12,IF(C11="Dex",'Personal File'!$C$13,IF(C11="Con",'Personal File'!$C$14,IF(C11="Int",'Personal File'!$C$15,IF(C11="Wis",'Personal File'!$C$16,IF(C11="Cha",'Personal File'!$C$17))))))</f>
        <v>+6</v>
      </c>
      <c r="E11" s="261" t="str">
        <f t="shared" si="3"/>
        <v>Int (+6)</v>
      </c>
      <c r="F11" s="48" t="s">
        <v>56</v>
      </c>
      <c r="G11" s="164">
        <f t="shared" si="2"/>
        <v>12</v>
      </c>
      <c r="H11" s="433">
        <f t="shared" ca="1" si="4"/>
        <v>16</v>
      </c>
      <c r="I11" s="124">
        <f t="shared" ref="I11" ca="1" si="7">SUM(G11:H11)</f>
        <v>28</v>
      </c>
      <c r="J11" s="86"/>
    </row>
    <row r="12" spans="1:10" s="37" customFormat="1" ht="16.8" x14ac:dyDescent="0.3">
      <c r="A12" s="97" t="s">
        <v>36</v>
      </c>
      <c r="B12" s="93">
        <v>10</v>
      </c>
      <c r="C12" s="98" t="s">
        <v>26</v>
      </c>
      <c r="D12" s="99" t="str">
        <f>IF(C12="Str",'Personal File'!$C$12,IF(C12="Dex",'Personal File'!$C$13,IF(C12="Con",'Personal File'!$C$14,IF(C12="Int",'Personal File'!$C$15,IF(C12="Wis",'Personal File'!$C$16,IF(C12="Cha",'Personal File'!$C$17))))))</f>
        <v>+6</v>
      </c>
      <c r="E12" s="262" t="str">
        <f t="shared" si="3"/>
        <v>Int (+6)</v>
      </c>
      <c r="F12" s="94" t="s">
        <v>56</v>
      </c>
      <c r="G12" s="165">
        <f t="shared" si="2"/>
        <v>16</v>
      </c>
      <c r="H12" s="433">
        <f t="shared" ca="1" si="4"/>
        <v>6</v>
      </c>
      <c r="I12" s="48">
        <f t="shared" ca="1" si="6"/>
        <v>22</v>
      </c>
      <c r="J12" s="95"/>
    </row>
    <row r="13" spans="1:10" s="38" customFormat="1" ht="16.8" x14ac:dyDescent="0.3">
      <c r="A13" s="119" t="s">
        <v>37</v>
      </c>
      <c r="B13" s="120">
        <v>6</v>
      </c>
      <c r="C13" s="121" t="s">
        <v>24</v>
      </c>
      <c r="D13" s="122" t="str">
        <f>IF(C13="Str",'Personal File'!$C$12,IF(C13="Dex",'Personal File'!$C$13,IF(C13="Con",'Personal File'!$C$14,IF(C13="Int",'Personal File'!$C$15,IF(C13="Wis",'Personal File'!$C$16,IF(C13="Cha",'Personal File'!$C$17))))))</f>
        <v>+2</v>
      </c>
      <c r="E13" s="123" t="str">
        <f t="shared" si="3"/>
        <v>Cha (+2)</v>
      </c>
      <c r="F13" s="94" t="s">
        <v>56</v>
      </c>
      <c r="G13" s="164">
        <f t="shared" si="2"/>
        <v>8</v>
      </c>
      <c r="H13" s="433">
        <f t="shared" ca="1" si="4"/>
        <v>2</v>
      </c>
      <c r="I13" s="124">
        <f t="shared" ca="1" si="6"/>
        <v>10</v>
      </c>
      <c r="J13" s="125"/>
    </row>
    <row r="14" spans="1:10" s="38" customFormat="1" ht="16.8" x14ac:dyDescent="0.3">
      <c r="A14" s="159" t="s">
        <v>38</v>
      </c>
      <c r="B14" s="130">
        <v>10</v>
      </c>
      <c r="C14" s="160" t="s">
        <v>26</v>
      </c>
      <c r="D14" s="161" t="str">
        <f>IF(C14="Str",'Personal File'!$C$12,IF(C14="Dex",'Personal File'!$C$13,IF(C14="Con",'Personal File'!$C$14,IF(C14="Int",'Personal File'!$C$15,IF(C14="Wis",'Personal File'!$C$16,IF(C14="Cha",'Personal File'!$C$17))))))</f>
        <v>+6</v>
      </c>
      <c r="E14" s="263" t="str">
        <f t="shared" si="3"/>
        <v>Int (+6)</v>
      </c>
      <c r="F14" s="48" t="s">
        <v>80</v>
      </c>
      <c r="G14" s="164">
        <f t="shared" si="2"/>
        <v>18</v>
      </c>
      <c r="H14" s="433">
        <f t="shared" ca="1" si="4"/>
        <v>10</v>
      </c>
      <c r="I14" s="124">
        <f t="shared" ref="I14" ca="1" si="8">SUM(G14:H14)</f>
        <v>28</v>
      </c>
      <c r="J14" s="125"/>
    </row>
    <row r="15" spans="1:10" s="38" customFormat="1" ht="16.8" x14ac:dyDescent="0.3">
      <c r="A15" s="119" t="s">
        <v>39</v>
      </c>
      <c r="B15" s="120">
        <v>10</v>
      </c>
      <c r="C15" s="121" t="s">
        <v>24</v>
      </c>
      <c r="D15" s="122" t="str">
        <f>IF(C15="Str",'Personal File'!$C$12,IF(C15="Dex",'Personal File'!$C$13,IF(C15="Con",'Personal File'!$C$14,IF(C15="Int",'Personal File'!$C$15,IF(C15="Wis",'Personal File'!$C$16,IF(C15="Cha",'Personal File'!$C$17))))))</f>
        <v>+2</v>
      </c>
      <c r="E15" s="123" t="str">
        <f t="shared" si="3"/>
        <v>Cha (+2)</v>
      </c>
      <c r="F15" s="124" t="s">
        <v>56</v>
      </c>
      <c r="G15" s="164">
        <f t="shared" si="2"/>
        <v>12</v>
      </c>
      <c r="H15" s="433">
        <f t="shared" ca="1" si="4"/>
        <v>12</v>
      </c>
      <c r="I15" s="124">
        <f t="shared" ca="1" si="6"/>
        <v>24</v>
      </c>
      <c r="J15" s="125"/>
    </row>
    <row r="16" spans="1:10" s="38" customFormat="1" ht="16.8" x14ac:dyDescent="0.3">
      <c r="A16" s="134" t="s">
        <v>40</v>
      </c>
      <c r="B16" s="120">
        <v>12</v>
      </c>
      <c r="C16" s="135" t="s">
        <v>28</v>
      </c>
      <c r="D16" s="136" t="str">
        <f>IF(C16="Str",'Personal File'!$C$12,IF(C16="Dex",'Personal File'!$C$13,IF(C16="Con",'Personal File'!$C$14,IF(C16="Int",'Personal File'!$C$15,IF(C16="Wis",'Personal File'!$C$16,IF(C16="Cha",'Personal File'!$C$17))))))</f>
        <v>+10</v>
      </c>
      <c r="E16" s="140" t="str">
        <f t="shared" si="3"/>
        <v>Dex (+10)</v>
      </c>
      <c r="F16" s="124" t="s">
        <v>56</v>
      </c>
      <c r="G16" s="164">
        <f t="shared" si="2"/>
        <v>22</v>
      </c>
      <c r="H16" s="433">
        <f t="shared" ca="1" si="4"/>
        <v>10</v>
      </c>
      <c r="I16" s="124">
        <f t="shared" ca="1" si="6"/>
        <v>32</v>
      </c>
      <c r="J16" s="125"/>
    </row>
    <row r="17" spans="1:10" s="38" customFormat="1" ht="16.8" x14ac:dyDescent="0.3">
      <c r="A17" s="118" t="s">
        <v>41</v>
      </c>
      <c r="B17" s="120">
        <v>10</v>
      </c>
      <c r="C17" s="379" t="s">
        <v>26</v>
      </c>
      <c r="D17" s="380" t="str">
        <f>IF(C17="Str",'Personal File'!$C$12,IF(C17="Dex",'Personal File'!$C$13,IF(C17="Con",'Personal File'!$C$14,IF(C17="Int",'Personal File'!$C$15,IF(C17="Wis",'Personal File'!$C$16,IF(C17="Cha",'Personal File'!$C$17))))))</f>
        <v>+6</v>
      </c>
      <c r="E17" s="381" t="str">
        <f t="shared" si="3"/>
        <v>Int (+6)</v>
      </c>
      <c r="F17" s="124" t="s">
        <v>56</v>
      </c>
      <c r="G17" s="164">
        <f t="shared" si="2"/>
        <v>16</v>
      </c>
      <c r="H17" s="433">
        <f t="shared" ca="1" si="4"/>
        <v>19</v>
      </c>
      <c r="I17" s="124">
        <f t="shared" ca="1" si="6"/>
        <v>35</v>
      </c>
      <c r="J17" s="125"/>
    </row>
    <row r="18" spans="1:10" s="38" customFormat="1" ht="16.8" x14ac:dyDescent="0.3">
      <c r="A18" s="119" t="s">
        <v>42</v>
      </c>
      <c r="B18" s="120">
        <v>10</v>
      </c>
      <c r="C18" s="121" t="s">
        <v>24</v>
      </c>
      <c r="D18" s="122" t="str">
        <f>IF(C18="Str",'Personal File'!$C$12,IF(C18="Dex",'Personal File'!$C$13,IF(C18="Con",'Personal File'!$C$14,IF(C18="Int",'Personal File'!$C$15,IF(C18="Wis",'Personal File'!$C$16,IF(C18="Cha",'Personal File'!$C$17))))))</f>
        <v>+2</v>
      </c>
      <c r="E18" s="123" t="str">
        <f t="shared" si="3"/>
        <v>Cha (+2)</v>
      </c>
      <c r="F18" s="124" t="s">
        <v>56</v>
      </c>
      <c r="G18" s="164">
        <f t="shared" si="2"/>
        <v>12</v>
      </c>
      <c r="H18" s="433">
        <f t="shared" ca="1" si="4"/>
        <v>13</v>
      </c>
      <c r="I18" s="124">
        <f t="shared" ca="1" si="6"/>
        <v>25</v>
      </c>
      <c r="J18" s="125"/>
    </row>
    <row r="19" spans="1:10" s="38" customFormat="1" ht="16.8" x14ac:dyDescent="0.3">
      <c r="A19" s="44" t="s">
        <v>11</v>
      </c>
      <c r="B19" s="41">
        <v>0</v>
      </c>
      <c r="C19" s="45" t="s">
        <v>24</v>
      </c>
      <c r="D19" s="46" t="str">
        <f>IF(C19="Str",'Personal File'!$C$12,IF(C19="Dex",'Personal File'!$C$13,IF(C19="Con",'Personal File'!$C$14,IF(C19="Int",'Personal File'!$C$15,IF(C19="Wis",'Personal File'!$C$16,IF(C19="Cha",'Personal File'!$C$17))))))</f>
        <v>+2</v>
      </c>
      <c r="E19" s="264" t="str">
        <f t="shared" si="3"/>
        <v>Cha (+2)</v>
      </c>
      <c r="F19" s="42" t="s">
        <v>56</v>
      </c>
      <c r="G19" s="166">
        <f t="shared" si="2"/>
        <v>2</v>
      </c>
      <c r="H19" s="433">
        <f t="shared" ca="1" si="4"/>
        <v>4</v>
      </c>
      <c r="I19" s="152">
        <f t="shared" ref="I19" ca="1" si="9">SUM(G19:H19)</f>
        <v>6</v>
      </c>
      <c r="J19" s="43"/>
    </row>
    <row r="20" spans="1:10" s="38" customFormat="1" ht="16.8" x14ac:dyDescent="0.3">
      <c r="A20" s="386" t="s">
        <v>43</v>
      </c>
      <c r="B20" s="51">
        <v>0</v>
      </c>
      <c r="C20" s="387" t="s">
        <v>27</v>
      </c>
      <c r="D20" s="388" t="str">
        <f>IF(C20="Str",'Personal File'!$C$12,IF(C20="Dex",'Personal File'!$C$13,IF(C20="Con",'Personal File'!$C$14,IF(C20="Int",'Personal File'!$C$15,IF(C20="Wis",'Personal File'!$C$16,IF(C20="Cha",'Personal File'!$C$17))))))</f>
        <v>+5</v>
      </c>
      <c r="E20" s="389" t="str">
        <f t="shared" si="3"/>
        <v>Wis (+5)</v>
      </c>
      <c r="F20" s="52" t="s">
        <v>56</v>
      </c>
      <c r="G20" s="163">
        <f t="shared" si="2"/>
        <v>5</v>
      </c>
      <c r="H20" s="433">
        <f t="shared" ca="1" si="4"/>
        <v>16</v>
      </c>
      <c r="I20" s="52">
        <f t="shared" ca="1" si="6"/>
        <v>21</v>
      </c>
      <c r="J20" s="88"/>
    </row>
    <row r="21" spans="1:10" s="38" customFormat="1" ht="16.8" x14ac:dyDescent="0.3">
      <c r="A21" s="134" t="s">
        <v>44</v>
      </c>
      <c r="B21" s="120">
        <v>10</v>
      </c>
      <c r="C21" s="135" t="s">
        <v>28</v>
      </c>
      <c r="D21" s="136" t="str">
        <f>IF(C21="Str",'Personal File'!$C$12,IF(C21="Dex",'Personal File'!$C$13,IF(C21="Con",'Personal File'!$C$14,IF(C21="Int",'Personal File'!$C$15,IF(C21="Wis",'Personal File'!$C$16,IF(C21="Cha",'Personal File'!$C$17))))))</f>
        <v>+10</v>
      </c>
      <c r="E21" s="140" t="str">
        <f t="shared" si="3"/>
        <v>Dex (+10)</v>
      </c>
      <c r="F21" s="124" t="s">
        <v>81</v>
      </c>
      <c r="G21" s="164">
        <f t="shared" si="2"/>
        <v>24</v>
      </c>
      <c r="H21" s="433">
        <f t="shared" ca="1" si="4"/>
        <v>17</v>
      </c>
      <c r="I21" s="124">
        <f t="shared" ca="1" si="6"/>
        <v>41</v>
      </c>
      <c r="J21" s="125"/>
    </row>
    <row r="22" spans="1:10" s="38" customFormat="1" ht="16.8" x14ac:dyDescent="0.3">
      <c r="A22" s="119" t="s">
        <v>45</v>
      </c>
      <c r="B22" s="120">
        <v>2</v>
      </c>
      <c r="C22" s="121" t="s">
        <v>24</v>
      </c>
      <c r="D22" s="122" t="str">
        <f>IF(C22="Str",'Personal File'!$C$12,IF(C22="Dex",'Personal File'!$C$13,IF(C22="Con",'Personal File'!$C$14,IF(C22="Int",'Personal File'!$C$15,IF(C22="Wis",'Personal File'!$C$16,IF(C22="Cha",'Personal File'!$C$17))))))</f>
        <v>+2</v>
      </c>
      <c r="E22" s="123" t="str">
        <f t="shared" si="3"/>
        <v>Cha (+2)</v>
      </c>
      <c r="F22" s="48" t="s">
        <v>56</v>
      </c>
      <c r="G22" s="164">
        <f t="shared" si="2"/>
        <v>4</v>
      </c>
      <c r="H22" s="433">
        <f t="shared" ca="1" si="4"/>
        <v>6</v>
      </c>
      <c r="I22" s="124">
        <f t="shared" ca="1" si="6"/>
        <v>10</v>
      </c>
      <c r="J22" s="125"/>
    </row>
    <row r="23" spans="1:10" s="38" customFormat="1" ht="16.8" x14ac:dyDescent="0.3">
      <c r="A23" s="137" t="s">
        <v>46</v>
      </c>
      <c r="B23" s="120">
        <v>10</v>
      </c>
      <c r="C23" s="138" t="s">
        <v>29</v>
      </c>
      <c r="D23" s="139" t="str">
        <f>IF(C23="Str",'Personal File'!$C$12,IF(C23="Dex",'Personal File'!$C$13,IF(C23="Con",'Personal File'!$C$14,IF(C23="Int",'Personal File'!$C$15,IF(C23="Wis",'Personal File'!$C$16,IF(C23="Cha",'Personal File'!$C$17))))))</f>
        <v>+3</v>
      </c>
      <c r="E23" s="260" t="str">
        <f t="shared" si="3"/>
        <v>Str (+3)</v>
      </c>
      <c r="F23" s="124" t="s">
        <v>80</v>
      </c>
      <c r="G23" s="164">
        <f t="shared" si="2"/>
        <v>15</v>
      </c>
      <c r="H23" s="433">
        <f t="shared" ca="1" si="4"/>
        <v>5</v>
      </c>
      <c r="I23" s="124">
        <f t="shared" ca="1" si="6"/>
        <v>20</v>
      </c>
      <c r="J23" s="125"/>
    </row>
    <row r="24" spans="1:10" s="38" customFormat="1" ht="16.8" x14ac:dyDescent="0.3">
      <c r="A24" s="118" t="s">
        <v>230</v>
      </c>
      <c r="B24" s="47">
        <v>2</v>
      </c>
      <c r="C24" s="58" t="s">
        <v>26</v>
      </c>
      <c r="D24" s="59" t="str">
        <f>IF(C24="Str",'Personal File'!$C$12,IF(C24="Dex",'Personal File'!$C$13,IF(C24="Con",'Personal File'!$C$14,IF(C24="Int",'Personal File'!$C$15,IF(C24="Wis",'Personal File'!$C$16,IF(C24="Cha",'Personal File'!$C$17))))))</f>
        <v>+6</v>
      </c>
      <c r="E24" s="261" t="str">
        <f t="shared" si="3"/>
        <v>Int (+6)</v>
      </c>
      <c r="F24" s="48" t="s">
        <v>56</v>
      </c>
      <c r="G24" s="165">
        <f t="shared" si="2"/>
        <v>8</v>
      </c>
      <c r="H24" s="433">
        <f t="shared" ca="1" si="4"/>
        <v>5</v>
      </c>
      <c r="I24" s="48">
        <f t="shared" ca="1" si="6"/>
        <v>13</v>
      </c>
      <c r="J24" s="125" t="s">
        <v>231</v>
      </c>
    </row>
    <row r="25" spans="1:10" s="38" customFormat="1" ht="16.8" x14ac:dyDescent="0.3">
      <c r="A25" s="118" t="s">
        <v>188</v>
      </c>
      <c r="B25" s="47">
        <v>10</v>
      </c>
      <c r="C25" s="58" t="s">
        <v>26</v>
      </c>
      <c r="D25" s="59" t="str">
        <f>IF(C25="Str",'Personal File'!$C$12,IF(C25="Dex",'Personal File'!$C$13,IF(C25="Con",'Personal File'!$C$14,IF(C25="Int",'Personal File'!$C$15,IF(C25="Wis",'Personal File'!$C$16,IF(C25="Cha",'Personal File'!$C$17))))))</f>
        <v>+6</v>
      </c>
      <c r="E25" s="261" t="str">
        <f t="shared" ref="E25" si="10">CONCATENATE(C25," (",D25,")")</f>
        <v>Int (+6)</v>
      </c>
      <c r="F25" s="48" t="s">
        <v>56</v>
      </c>
      <c r="G25" s="165">
        <f t="shared" ref="G25" si="11">B25+D25+F25</f>
        <v>16</v>
      </c>
      <c r="H25" s="433">
        <f t="shared" ca="1" si="4"/>
        <v>17</v>
      </c>
      <c r="I25" s="48">
        <f t="shared" ref="I25" ca="1" si="12">SUM(G25:H25)</f>
        <v>33</v>
      </c>
      <c r="J25" s="86"/>
    </row>
    <row r="26" spans="1:10" s="38" customFormat="1" ht="16.8" x14ac:dyDescent="0.3">
      <c r="A26" s="118" t="s">
        <v>229</v>
      </c>
      <c r="B26" s="47">
        <v>5</v>
      </c>
      <c r="C26" s="58" t="s">
        <v>26</v>
      </c>
      <c r="D26" s="59" t="str">
        <f>IF(C26="Str",'Personal File'!$C$12,IF(C26="Dex",'Personal File'!$C$13,IF(C26="Con",'Personal File'!$C$14,IF(C26="Int",'Personal File'!$C$15,IF(C26="Wis",'Personal File'!$C$16,IF(C26="Cha",'Personal File'!$C$17))))))</f>
        <v>+6</v>
      </c>
      <c r="E26" s="261" t="str">
        <f t="shared" ref="E26" si="13">CONCATENATE(C26," (",D26,")")</f>
        <v>Int (+6)</v>
      </c>
      <c r="F26" s="48" t="s">
        <v>56</v>
      </c>
      <c r="G26" s="165">
        <f t="shared" ref="G26" si="14">B26+D26+F26</f>
        <v>11</v>
      </c>
      <c r="H26" s="433">
        <f t="shared" ca="1" si="4"/>
        <v>19</v>
      </c>
      <c r="I26" s="48">
        <f t="shared" ref="I26" ca="1" si="15">SUM(G26:H26)</f>
        <v>30</v>
      </c>
      <c r="J26" s="125" t="s">
        <v>231</v>
      </c>
    </row>
    <row r="27" spans="1:10" s="38" customFormat="1" ht="16.8" x14ac:dyDescent="0.3">
      <c r="A27" s="147" t="s">
        <v>47</v>
      </c>
      <c r="B27" s="120">
        <v>10</v>
      </c>
      <c r="C27" s="148" t="s">
        <v>27</v>
      </c>
      <c r="D27" s="149" t="str">
        <f>IF(C27="Str",'Personal File'!$C$12,IF(C27="Dex",'Personal File'!$C$13,IF(C27="Con",'Personal File'!$C$14,IF(C27="Int",'Personal File'!$C$15,IF(C27="Wis",'Personal File'!$C$16,IF(C27="Cha",'Personal File'!$C$17))))))</f>
        <v>+5</v>
      </c>
      <c r="E27" s="150" t="str">
        <f t="shared" si="3"/>
        <v>Wis (+5)</v>
      </c>
      <c r="F27" s="418">
        <f>2+2</f>
        <v>4</v>
      </c>
      <c r="G27" s="164">
        <f t="shared" si="2"/>
        <v>19</v>
      </c>
      <c r="H27" s="433">
        <f t="shared" ca="1" si="4"/>
        <v>14</v>
      </c>
      <c r="I27" s="124">
        <f t="shared" ca="1" si="6"/>
        <v>33</v>
      </c>
      <c r="J27" s="125"/>
    </row>
    <row r="28" spans="1:10" s="38" customFormat="1" ht="16.8" x14ac:dyDescent="0.3">
      <c r="A28" s="134" t="s">
        <v>12</v>
      </c>
      <c r="B28" s="120">
        <v>14</v>
      </c>
      <c r="C28" s="135" t="s">
        <v>28</v>
      </c>
      <c r="D28" s="136" t="str">
        <f>IF(C28="Str",'Personal File'!$C$12,IF(C28="Dex",'Personal File'!$C$13,IF(C28="Con",'Personal File'!$C$14,IF(C28="Int",'Personal File'!$C$15,IF(C28="Wis",'Personal File'!$C$16,IF(C28="Cha",'Personal File'!$C$17))))))</f>
        <v>+10</v>
      </c>
      <c r="E28" s="140" t="str">
        <f t="shared" si="3"/>
        <v>Dex (+10)</v>
      </c>
      <c r="F28" s="48" t="s">
        <v>56</v>
      </c>
      <c r="G28" s="164">
        <f t="shared" si="2"/>
        <v>24</v>
      </c>
      <c r="H28" s="433">
        <f t="shared" ca="1" si="4"/>
        <v>8</v>
      </c>
      <c r="I28" s="124">
        <f t="shared" ca="1" si="6"/>
        <v>32</v>
      </c>
      <c r="J28" s="125"/>
    </row>
    <row r="29" spans="1:10" s="38" customFormat="1" ht="16.8" x14ac:dyDescent="0.3">
      <c r="A29" s="134" t="s">
        <v>48</v>
      </c>
      <c r="B29" s="120">
        <v>16</v>
      </c>
      <c r="C29" s="135" t="s">
        <v>28</v>
      </c>
      <c r="D29" s="136" t="str">
        <f>IF(C29="Str",'Personal File'!$C$12,IF(C29="Dex",'Personal File'!$C$13,IF(C29="Con",'Personal File'!$C$14,IF(C29="Int",'Personal File'!$C$15,IF(C29="Wis",'Personal File'!$C$16,IF(C29="Cha",'Personal File'!$C$17))))))</f>
        <v>+10</v>
      </c>
      <c r="E29" s="140" t="str">
        <f t="shared" si="3"/>
        <v>Dex (+10)</v>
      </c>
      <c r="F29" s="48" t="s">
        <v>80</v>
      </c>
      <c r="G29" s="164">
        <f t="shared" si="2"/>
        <v>28</v>
      </c>
      <c r="H29" s="433">
        <f t="shared" ca="1" si="4"/>
        <v>10</v>
      </c>
      <c r="I29" s="279">
        <f t="shared" ref="I29" ca="1" si="16">SUM(G29:H29)</f>
        <v>38</v>
      </c>
      <c r="J29" s="125"/>
    </row>
    <row r="30" spans="1:10" ht="16.8" x14ac:dyDescent="0.3">
      <c r="A30" s="54" t="s">
        <v>75</v>
      </c>
      <c r="B30" s="51">
        <v>0</v>
      </c>
      <c r="C30" s="55" t="s">
        <v>24</v>
      </c>
      <c r="D30" s="56" t="str">
        <f>IF(C30="Str",'Personal File'!$C$12,IF(C30="Dex",'Personal File'!$C$13,IF(C30="Con",'Personal File'!$C$14,IF(C30="Int",'Personal File'!$C$15,IF(C30="Wis",'Personal File'!$C$16,IF(C30="Cha",'Personal File'!$C$17))))))</f>
        <v>+2</v>
      </c>
      <c r="E30" s="265" t="str">
        <f t="shared" si="3"/>
        <v>Cha (+2)</v>
      </c>
      <c r="F30" s="52" t="s">
        <v>56</v>
      </c>
      <c r="G30" s="163">
        <f t="shared" si="2"/>
        <v>2</v>
      </c>
      <c r="H30" s="433">
        <f t="shared" ca="1" si="4"/>
        <v>11</v>
      </c>
      <c r="I30" s="52">
        <f t="shared" ca="1" si="6"/>
        <v>13</v>
      </c>
      <c r="J30" s="53"/>
    </row>
    <row r="31" spans="1:10" ht="16.8" x14ac:dyDescent="0.3">
      <c r="A31" s="54" t="s">
        <v>189</v>
      </c>
      <c r="B31" s="51">
        <v>0</v>
      </c>
      <c r="C31" s="387" t="s">
        <v>27</v>
      </c>
      <c r="D31" s="388" t="str">
        <f>IF(C31="Str",'Personal File'!$C$12,IF(C31="Dex",'Personal File'!$C$13,IF(C31="Con",'Personal File'!$C$14,IF(C31="Int",'Personal File'!$C$15,IF(C31="Wis",'Personal File'!$C$16,IF(C31="Cha",'Personal File'!$C$17))))))</f>
        <v>+5</v>
      </c>
      <c r="E31" s="389" t="str">
        <f t="shared" si="3"/>
        <v>Wis (+5)</v>
      </c>
      <c r="F31" s="52" t="s">
        <v>56</v>
      </c>
      <c r="G31" s="163">
        <f t="shared" si="2"/>
        <v>5</v>
      </c>
      <c r="H31" s="433">
        <f t="shared" ca="1" si="4"/>
        <v>15</v>
      </c>
      <c r="I31" s="52">
        <f t="shared" ca="1" si="6"/>
        <v>20</v>
      </c>
      <c r="J31" s="53"/>
    </row>
    <row r="32" spans="1:10" ht="16.8" x14ac:dyDescent="0.3">
      <c r="A32" s="134" t="s">
        <v>13</v>
      </c>
      <c r="B32" s="120">
        <v>1</v>
      </c>
      <c r="C32" s="135" t="s">
        <v>28</v>
      </c>
      <c r="D32" s="136" t="str">
        <f>IF(C32="Str",'Personal File'!$C$12,IF(C32="Dex",'Personal File'!$C$13,IF(C32="Con",'Personal File'!$C$14,IF(C32="Int",'Personal File'!$C$15,IF(C32="Wis",'Personal File'!$C$16,IF(C32="Cha",'Personal File'!$C$17))))))</f>
        <v>+10</v>
      </c>
      <c r="E32" s="140" t="str">
        <f t="shared" si="3"/>
        <v>Dex (+10)</v>
      </c>
      <c r="F32" s="124" t="s">
        <v>56</v>
      </c>
      <c r="G32" s="164">
        <f t="shared" si="2"/>
        <v>11</v>
      </c>
      <c r="H32" s="433">
        <f t="shared" ca="1" si="4"/>
        <v>10</v>
      </c>
      <c r="I32" s="124">
        <f t="shared" ca="1" si="6"/>
        <v>21</v>
      </c>
      <c r="J32" s="125" t="s">
        <v>231</v>
      </c>
    </row>
    <row r="33" spans="1:10" ht="16.8" x14ac:dyDescent="0.3">
      <c r="A33" s="57" t="s">
        <v>14</v>
      </c>
      <c r="B33" s="47">
        <v>11</v>
      </c>
      <c r="C33" s="58" t="s">
        <v>26</v>
      </c>
      <c r="D33" s="59" t="str">
        <f>IF(C33="Str",'Personal File'!$C$12,IF(C33="Dex",'Personal File'!$C$13,IF(C33="Con",'Personal File'!$C$14,IF(C33="Int",'Personal File'!$C$15,IF(C33="Wis",'Personal File'!$C$16,IF(C33="Cha",'Personal File'!$C$17))))))</f>
        <v>+6</v>
      </c>
      <c r="E33" s="261" t="str">
        <f t="shared" si="3"/>
        <v>Int (+6)</v>
      </c>
      <c r="F33" s="48" t="s">
        <v>80</v>
      </c>
      <c r="G33" s="165">
        <f t="shared" si="2"/>
        <v>19</v>
      </c>
      <c r="H33" s="433">
        <f t="shared" ca="1" si="4"/>
        <v>6</v>
      </c>
      <c r="I33" s="48">
        <f t="shared" ca="1" si="6"/>
        <v>25</v>
      </c>
      <c r="J33" s="86" t="s">
        <v>214</v>
      </c>
    </row>
    <row r="34" spans="1:10" ht="16.8" x14ac:dyDescent="0.3">
      <c r="A34" s="147" t="s">
        <v>49</v>
      </c>
      <c r="B34" s="120">
        <v>10</v>
      </c>
      <c r="C34" s="148" t="s">
        <v>27</v>
      </c>
      <c r="D34" s="149" t="str">
        <f>IF(C34="Str",'Personal File'!$C$12,IF(C34="Dex",'Personal File'!$C$13,IF(C34="Con",'Personal File'!$C$14,IF(C34="Int",'Personal File'!$C$15,IF(C34="Wis",'Personal File'!$C$16,IF(C34="Cha",'Personal File'!$C$17))))))</f>
        <v>+5</v>
      </c>
      <c r="E34" s="150" t="str">
        <f t="shared" si="3"/>
        <v>Wis (+5)</v>
      </c>
      <c r="F34" s="48" t="s">
        <v>56</v>
      </c>
      <c r="G34" s="164">
        <f t="shared" si="2"/>
        <v>15</v>
      </c>
      <c r="H34" s="433">
        <f t="shared" ca="1" si="4"/>
        <v>10</v>
      </c>
      <c r="I34" s="124">
        <f t="shared" ca="1" si="6"/>
        <v>25</v>
      </c>
      <c r="J34" s="125"/>
    </row>
    <row r="35" spans="1:10" ht="16.8" x14ac:dyDescent="0.3">
      <c r="A35" s="270" t="s">
        <v>76</v>
      </c>
      <c r="B35" s="130">
        <v>10</v>
      </c>
      <c r="C35" s="271" t="s">
        <v>28</v>
      </c>
      <c r="D35" s="272" t="str">
        <f>IF(C35="Str",'Personal File'!$C$12,IF(C35="Dex",'Personal File'!$C$13,IF(C35="Con",'Personal File'!$C$14,IF(C35="Int",'Personal File'!$C$15,IF(C35="Wis",'Personal File'!$C$16,IF(C35="Cha",'Personal File'!$C$17))))))</f>
        <v>+10</v>
      </c>
      <c r="E35" s="273" t="str">
        <f t="shared" si="3"/>
        <v>Dex (+10)</v>
      </c>
      <c r="F35" s="48" t="s">
        <v>56</v>
      </c>
      <c r="G35" s="164">
        <f t="shared" si="2"/>
        <v>20</v>
      </c>
      <c r="H35" s="433">
        <f t="shared" ca="1" si="4"/>
        <v>6</v>
      </c>
      <c r="I35" s="274">
        <f t="shared" ref="I35:I36" ca="1" si="17">SUM(G35:H35)</f>
        <v>26</v>
      </c>
      <c r="J35" s="275"/>
    </row>
    <row r="36" spans="1:10" ht="16.8" x14ac:dyDescent="0.3">
      <c r="A36" s="83" t="s">
        <v>73</v>
      </c>
      <c r="B36" s="80">
        <v>0</v>
      </c>
      <c r="C36" s="84" t="s">
        <v>26</v>
      </c>
      <c r="D36" s="85" t="str">
        <f>IF(C36="Str",'Personal File'!$C$12,IF(C36="Dex",'Personal File'!$C$13,IF(C36="Con",'Personal File'!$C$14,IF(C36="Int",'Personal File'!$C$15,IF(C36="Wis",'Personal File'!$C$16,IF(C36="Cha",'Personal File'!$C$17))))))</f>
        <v>+6</v>
      </c>
      <c r="E36" s="266" t="str">
        <f t="shared" si="3"/>
        <v>Int (+6)</v>
      </c>
      <c r="F36" s="81" t="s">
        <v>56</v>
      </c>
      <c r="G36" s="166">
        <f t="shared" si="2"/>
        <v>6</v>
      </c>
      <c r="H36" s="433">
        <f t="shared" ca="1" si="4"/>
        <v>11</v>
      </c>
      <c r="I36" s="152">
        <f t="shared" ca="1" si="17"/>
        <v>17</v>
      </c>
      <c r="J36" s="82"/>
    </row>
    <row r="37" spans="1:10" ht="16.8" x14ac:dyDescent="0.3">
      <c r="A37" s="63" t="s">
        <v>50</v>
      </c>
      <c r="B37" s="51">
        <v>0</v>
      </c>
      <c r="C37" s="64" t="s">
        <v>26</v>
      </c>
      <c r="D37" s="65" t="str">
        <f>IF(C37="Str",'Personal File'!$C$12,IF(C37="Dex",'Personal File'!$C$13,IF(C37="Con",'Personal File'!$C$14,IF(C37="Int",'Personal File'!$C$15,IF(C37="Wis",'Personal File'!$C$16,IF(C37="Cha",'Personal File'!$C$17))))))</f>
        <v>+6</v>
      </c>
      <c r="E37" s="259" t="str">
        <f t="shared" si="3"/>
        <v>Int (+6)</v>
      </c>
      <c r="F37" s="52" t="s">
        <v>56</v>
      </c>
      <c r="G37" s="163">
        <f t="shared" si="2"/>
        <v>6</v>
      </c>
      <c r="H37" s="433">
        <f t="shared" ca="1" si="4"/>
        <v>8</v>
      </c>
      <c r="I37" s="52">
        <f t="shared" ca="1" si="6"/>
        <v>14</v>
      </c>
      <c r="J37" s="88"/>
    </row>
    <row r="38" spans="1:10" ht="16.8" x14ac:dyDescent="0.3">
      <c r="A38" s="147" t="s">
        <v>51</v>
      </c>
      <c r="B38" s="120">
        <v>11</v>
      </c>
      <c r="C38" s="148" t="s">
        <v>27</v>
      </c>
      <c r="D38" s="149" t="str">
        <f>IF(C38="Str",'Personal File'!$C$12,IF(C38="Dex",'Personal File'!$C$13,IF(C38="Con",'Personal File'!$C$14,IF(C38="Int",'Personal File'!$C$15,IF(C38="Wis",'Personal File'!$C$16,IF(C38="Cha",'Personal File'!$C$17))))))</f>
        <v>+5</v>
      </c>
      <c r="E38" s="150" t="str">
        <f t="shared" si="3"/>
        <v>Wis (+5)</v>
      </c>
      <c r="F38" s="418">
        <f>2+2</f>
        <v>4</v>
      </c>
      <c r="G38" s="164">
        <f t="shared" si="2"/>
        <v>20</v>
      </c>
      <c r="H38" s="433">
        <f t="shared" ca="1" si="4"/>
        <v>3</v>
      </c>
      <c r="I38" s="124">
        <f t="shared" ca="1" si="6"/>
        <v>23</v>
      </c>
      <c r="J38" s="125"/>
    </row>
    <row r="39" spans="1:10" ht="16.8" x14ac:dyDescent="0.3">
      <c r="A39" s="147" t="s">
        <v>77</v>
      </c>
      <c r="B39" s="120">
        <v>1</v>
      </c>
      <c r="C39" s="148" t="s">
        <v>27</v>
      </c>
      <c r="D39" s="149" t="str">
        <f>IF(C39="Str",'Personal File'!$C$12,IF(C39="Dex",'Personal File'!$C$13,IF(C39="Con",'Personal File'!$C$14,IF(C39="Int",'Personal File'!$C$15,IF(C39="Wis",'Personal File'!$C$16,IF(C39="Cha",'Personal File'!$C$17))))))</f>
        <v>+5</v>
      </c>
      <c r="E39" s="150" t="str">
        <f t="shared" si="3"/>
        <v>Wis (+5)</v>
      </c>
      <c r="F39" s="124" t="s">
        <v>56</v>
      </c>
      <c r="G39" s="164">
        <f t="shared" si="2"/>
        <v>6</v>
      </c>
      <c r="H39" s="433">
        <f t="shared" ca="1" si="4"/>
        <v>13</v>
      </c>
      <c r="I39" s="124">
        <f t="shared" ca="1" si="6"/>
        <v>19</v>
      </c>
      <c r="J39" s="276" t="s">
        <v>231</v>
      </c>
    </row>
    <row r="40" spans="1:10" ht="16.8" x14ac:dyDescent="0.3">
      <c r="A40" s="137" t="s">
        <v>15</v>
      </c>
      <c r="B40" s="120">
        <v>4</v>
      </c>
      <c r="C40" s="138" t="s">
        <v>29</v>
      </c>
      <c r="D40" s="139" t="str">
        <f>IF(C40="Str",'Personal File'!$C$12,IF(C40="Dex",'Personal File'!$C$13,IF(C40="Con",'Personal File'!$C$14,IF(C40="Int",'Personal File'!$C$15,IF(C40="Wis",'Personal File'!$C$16,IF(C40="Cha",'Personal File'!$C$17))))))</f>
        <v>+3</v>
      </c>
      <c r="E40" s="260" t="str">
        <f t="shared" si="3"/>
        <v>Str (+3)</v>
      </c>
      <c r="F40" s="124" t="s">
        <v>80</v>
      </c>
      <c r="G40" s="164">
        <f t="shared" si="2"/>
        <v>9</v>
      </c>
      <c r="H40" s="433">
        <f t="shared" ca="1" si="4"/>
        <v>19</v>
      </c>
      <c r="I40" s="124">
        <f t="shared" ca="1" si="6"/>
        <v>28</v>
      </c>
      <c r="J40" s="125"/>
    </row>
    <row r="41" spans="1:10" ht="16.8" x14ac:dyDescent="0.3">
      <c r="A41" s="134" t="s">
        <v>52</v>
      </c>
      <c r="B41" s="120">
        <v>8</v>
      </c>
      <c r="C41" s="135" t="s">
        <v>28</v>
      </c>
      <c r="D41" s="136" t="str">
        <f>IF(C41="Str",'Personal File'!$C$12,IF(C41="Dex",'Personal File'!$C$13,IF(C41="Con",'Personal File'!$C$14,IF(C41="Int",'Personal File'!$C$15,IF(C41="Wis",'Personal File'!$C$16,IF(C41="Cha",'Personal File'!$C$17))))))</f>
        <v>+10</v>
      </c>
      <c r="E41" s="140" t="str">
        <f t="shared" si="3"/>
        <v>Dex (+10)</v>
      </c>
      <c r="F41" s="124" t="s">
        <v>80</v>
      </c>
      <c r="G41" s="164">
        <f t="shared" si="2"/>
        <v>20</v>
      </c>
      <c r="H41" s="433">
        <f t="shared" ca="1" si="4"/>
        <v>20</v>
      </c>
      <c r="I41" s="124">
        <f t="shared" ref="I41:I42" ca="1" si="18">SUM(G41:H41)</f>
        <v>40</v>
      </c>
      <c r="J41" s="125"/>
    </row>
    <row r="42" spans="1:10" ht="16.8" x14ac:dyDescent="0.3">
      <c r="A42" s="119" t="s">
        <v>53</v>
      </c>
      <c r="B42" s="120">
        <v>12</v>
      </c>
      <c r="C42" s="121" t="s">
        <v>24</v>
      </c>
      <c r="D42" s="122" t="str">
        <f>IF(C42="Str",'Personal File'!$C$12,IF(C42="Dex",'Personal File'!$C$13,IF(C42="Con",'Personal File'!$C$14,IF(C42="Int",'Personal File'!$C$15,IF(C42="Wis",'Personal File'!$C$16,IF(C42="Cha",'Personal File'!$C$17))))))</f>
        <v>+2</v>
      </c>
      <c r="E42" s="123" t="str">
        <f t="shared" si="3"/>
        <v>Cha (+2)</v>
      </c>
      <c r="F42" s="124" t="s">
        <v>56</v>
      </c>
      <c r="G42" s="164">
        <f t="shared" si="2"/>
        <v>14</v>
      </c>
      <c r="H42" s="433">
        <f t="shared" ca="1" si="4"/>
        <v>3</v>
      </c>
      <c r="I42" s="124">
        <f t="shared" ca="1" si="18"/>
        <v>17</v>
      </c>
      <c r="J42" s="125"/>
    </row>
    <row r="43" spans="1:10" ht="17.399999999999999" thickBot="1" x14ac:dyDescent="0.35">
      <c r="A43" s="141" t="s">
        <v>54</v>
      </c>
      <c r="B43" s="142">
        <v>6</v>
      </c>
      <c r="C43" s="143" t="s">
        <v>28</v>
      </c>
      <c r="D43" s="144" t="str">
        <f>IF(C43="Str",'Personal File'!$C$12,IF(C43="Dex",'Personal File'!$C$13,IF(C43="Con",'Personal File'!$C$14,IF(C43="Int",'Personal File'!$C$15,IF(C43="Wis",'Personal File'!$C$16,IF(C43="Cha",'Personal File'!$C$17))))))</f>
        <v>+10</v>
      </c>
      <c r="E43" s="267" t="str">
        <f t="shared" si="3"/>
        <v>Dex (+10)</v>
      </c>
      <c r="F43" s="145" t="s">
        <v>56</v>
      </c>
      <c r="G43" s="167">
        <f t="shared" si="2"/>
        <v>16</v>
      </c>
      <c r="H43" s="435">
        <f t="shared" ca="1" si="4"/>
        <v>16</v>
      </c>
      <c r="I43" s="145">
        <f t="shared" ca="1" si="6"/>
        <v>32</v>
      </c>
      <c r="J43" s="146"/>
    </row>
    <row r="44" spans="1:10" ht="16.2" thickTop="1" x14ac:dyDescent="0.3">
      <c r="B44" s="50">
        <f>SUM(B6:B43,B24,B26,B32,B39)</f>
        <v>276</v>
      </c>
      <c r="E44" s="448">
        <f>SUM(E45:E64)</f>
        <v>322</v>
      </c>
      <c r="F44" s="117" t="s">
        <v>57</v>
      </c>
    </row>
    <row r="45" spans="1:10" x14ac:dyDescent="0.3">
      <c r="B45" s="133"/>
      <c r="E45" s="258">
        <f>4*(8+'Personal File'!$C$15)</f>
        <v>56</v>
      </c>
      <c r="F45" s="117" t="s">
        <v>101</v>
      </c>
    </row>
    <row r="46" spans="1:10" x14ac:dyDescent="0.3">
      <c r="B46" s="133"/>
      <c r="E46" s="257">
        <f>8+'Personal File'!$C$15</f>
        <v>14</v>
      </c>
      <c r="F46" s="117" t="s">
        <v>114</v>
      </c>
    </row>
    <row r="47" spans="1:10" x14ac:dyDescent="0.3">
      <c r="B47" s="133"/>
      <c r="E47" s="257">
        <f>8+'Personal File'!$C$15</f>
        <v>14</v>
      </c>
      <c r="F47" s="117" t="s">
        <v>115</v>
      </c>
    </row>
    <row r="48" spans="1:10" x14ac:dyDescent="0.3">
      <c r="B48" s="133"/>
      <c r="E48" s="257">
        <f>8+'Personal File'!$C$15</f>
        <v>14</v>
      </c>
      <c r="F48" s="117" t="s">
        <v>116</v>
      </c>
    </row>
    <row r="49" spans="2:6" x14ac:dyDescent="0.3">
      <c r="B49" s="133"/>
      <c r="E49" s="257">
        <f>8+'Personal File'!$C$15</f>
        <v>14</v>
      </c>
      <c r="F49" s="117" t="s">
        <v>117</v>
      </c>
    </row>
    <row r="50" spans="2:6" x14ac:dyDescent="0.3">
      <c r="B50" s="133"/>
      <c r="E50" s="257">
        <f>8+'Personal File'!$C$15</f>
        <v>14</v>
      </c>
      <c r="F50" s="117" t="s">
        <v>118</v>
      </c>
    </row>
    <row r="51" spans="2:6" x14ac:dyDescent="0.3">
      <c r="B51" s="133"/>
      <c r="E51" s="257">
        <f>8+'Personal File'!$C$15</f>
        <v>14</v>
      </c>
      <c r="F51" s="117" t="s">
        <v>119</v>
      </c>
    </row>
    <row r="52" spans="2:6" x14ac:dyDescent="0.3">
      <c r="B52" s="133"/>
      <c r="E52" s="257">
        <f>8+'Personal File'!$C$15</f>
        <v>14</v>
      </c>
      <c r="F52" s="117" t="s">
        <v>176</v>
      </c>
    </row>
    <row r="53" spans="2:6" x14ac:dyDescent="0.3">
      <c r="B53" s="133"/>
      <c r="E53" s="257">
        <f>8+'Personal File'!$C$15</f>
        <v>14</v>
      </c>
      <c r="F53" s="117" t="s">
        <v>177</v>
      </c>
    </row>
    <row r="54" spans="2:6" x14ac:dyDescent="0.3">
      <c r="B54" s="133"/>
      <c r="E54" s="257">
        <f>8+'Personal File'!$C$15</f>
        <v>14</v>
      </c>
      <c r="F54" s="117" t="s">
        <v>178</v>
      </c>
    </row>
    <row r="55" spans="2:6" x14ac:dyDescent="0.3">
      <c r="B55" s="133"/>
      <c r="E55" s="257">
        <f>8+'Personal File'!$C$15</f>
        <v>14</v>
      </c>
      <c r="F55" s="117" t="s">
        <v>179</v>
      </c>
    </row>
    <row r="56" spans="2:6" x14ac:dyDescent="0.3">
      <c r="B56" s="133"/>
      <c r="E56" s="257">
        <f>8+'Personal File'!$C$15</f>
        <v>14</v>
      </c>
      <c r="F56" s="117" t="s">
        <v>180</v>
      </c>
    </row>
    <row r="57" spans="2:6" x14ac:dyDescent="0.3">
      <c r="B57" s="133"/>
      <c r="E57" s="257">
        <f>8+'Personal File'!$C$15</f>
        <v>14</v>
      </c>
      <c r="F57" s="117" t="s">
        <v>181</v>
      </c>
    </row>
    <row r="58" spans="2:6" x14ac:dyDescent="0.3">
      <c r="B58" s="133"/>
      <c r="E58" s="257">
        <f>8+'Personal File'!$C$15</f>
        <v>14</v>
      </c>
      <c r="F58" s="117" t="s">
        <v>182</v>
      </c>
    </row>
    <row r="59" spans="2:6" x14ac:dyDescent="0.3">
      <c r="B59" s="133"/>
      <c r="E59" s="257">
        <f>8+'Personal File'!$C$15</f>
        <v>14</v>
      </c>
      <c r="F59" s="117" t="s">
        <v>183</v>
      </c>
    </row>
    <row r="60" spans="2:6" x14ac:dyDescent="0.3">
      <c r="B60" s="133"/>
      <c r="E60" s="257">
        <f>8+'Personal File'!$C$15</f>
        <v>14</v>
      </c>
      <c r="F60" s="117" t="s">
        <v>184</v>
      </c>
    </row>
    <row r="61" spans="2:6" x14ac:dyDescent="0.3">
      <c r="B61" s="133"/>
      <c r="E61" s="257">
        <f>8+'Personal File'!$C$15</f>
        <v>14</v>
      </c>
      <c r="F61" s="117" t="s">
        <v>185</v>
      </c>
    </row>
    <row r="62" spans="2:6" x14ac:dyDescent="0.3">
      <c r="B62" s="133"/>
      <c r="E62" s="257">
        <f>8+'Personal File'!$C$15</f>
        <v>14</v>
      </c>
      <c r="F62" s="117" t="s">
        <v>228</v>
      </c>
    </row>
    <row r="63" spans="2:6" x14ac:dyDescent="0.3">
      <c r="E63" s="257">
        <f>8+'Personal File'!$C$15</f>
        <v>14</v>
      </c>
      <c r="F63" s="117" t="s">
        <v>241</v>
      </c>
    </row>
    <row r="64" spans="2:6" x14ac:dyDescent="0.3">
      <c r="E64" s="257">
        <f>8+'Personal File'!$C$15</f>
        <v>14</v>
      </c>
      <c r="F64" s="117" t="s">
        <v>267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7"/>
  <sheetViews>
    <sheetView showGridLines="0" zoomScaleNormal="100" workbookViewId="0"/>
  </sheetViews>
  <sheetFormatPr defaultColWidth="14.3984375" defaultRowHeight="15.6" x14ac:dyDescent="0.3"/>
  <cols>
    <col min="1" max="1" width="32.3984375" style="25" bestFit="1" customWidth="1"/>
    <col min="2" max="2" width="2.69921875" style="25" customWidth="1"/>
    <col min="3" max="3" width="31.59765625" style="29" bestFit="1" customWidth="1"/>
    <col min="4" max="4" width="14.3984375" style="1"/>
    <col min="5" max="16384" width="14.3984375" style="25"/>
  </cols>
  <sheetData>
    <row r="1" spans="1:5" ht="24" thickTop="1" thickBot="1" x14ac:dyDescent="0.45">
      <c r="A1" s="168" t="s">
        <v>102</v>
      </c>
      <c r="C1" s="131" t="s">
        <v>97</v>
      </c>
    </row>
    <row r="2" spans="1:5" ht="16.8" x14ac:dyDescent="0.3">
      <c r="A2" s="268" t="s">
        <v>242</v>
      </c>
      <c r="C2" s="415" t="s">
        <v>205</v>
      </c>
    </row>
    <row r="3" spans="1:5" ht="16.8" x14ac:dyDescent="0.3">
      <c r="A3" s="269" t="s">
        <v>120</v>
      </c>
      <c r="C3" s="416" t="s">
        <v>206</v>
      </c>
      <c r="E3" s="1"/>
    </row>
    <row r="4" spans="1:5" ht="16.8" x14ac:dyDescent="0.3">
      <c r="A4" s="269" t="s">
        <v>210</v>
      </c>
      <c r="C4" s="416" t="s">
        <v>207</v>
      </c>
    </row>
    <row r="5" spans="1:5" ht="16.8" x14ac:dyDescent="0.3">
      <c r="A5" s="269" t="s">
        <v>211</v>
      </c>
      <c r="C5" s="416" t="s">
        <v>186</v>
      </c>
    </row>
    <row r="6" spans="1:5" ht="16.8" x14ac:dyDescent="0.3">
      <c r="A6" s="269" t="s">
        <v>212</v>
      </c>
      <c r="C6" s="416" t="s">
        <v>208</v>
      </c>
    </row>
    <row r="7" spans="1:5" ht="16.8" x14ac:dyDescent="0.3">
      <c r="A7" s="269" t="s">
        <v>243</v>
      </c>
      <c r="C7" s="416" t="s">
        <v>209</v>
      </c>
    </row>
    <row r="8" spans="1:5" ht="17.399999999999999" thickBot="1" x14ac:dyDescent="0.35">
      <c r="A8" s="269" t="s">
        <v>121</v>
      </c>
      <c r="C8" s="417" t="s">
        <v>227</v>
      </c>
    </row>
    <row r="9" spans="1:5" ht="18" thickTop="1" thickBot="1" x14ac:dyDescent="0.35">
      <c r="A9" s="269" t="s">
        <v>190</v>
      </c>
    </row>
    <row r="10" spans="1:5" ht="22.2" thickTop="1" thickBot="1" x14ac:dyDescent="0.35">
      <c r="A10" s="269" t="s">
        <v>103</v>
      </c>
      <c r="C10" s="100" t="s">
        <v>79</v>
      </c>
    </row>
    <row r="11" spans="1:5" ht="17.399999999999999" thickBot="1" x14ac:dyDescent="0.35">
      <c r="A11" s="151" t="s">
        <v>268</v>
      </c>
      <c r="C11" s="92" t="s">
        <v>123</v>
      </c>
    </row>
    <row r="12" spans="1:5" ht="18" thickTop="1" thickBot="1" x14ac:dyDescent="0.35">
      <c r="C12" s="102" t="s">
        <v>122</v>
      </c>
    </row>
    <row r="13" spans="1:5" ht="16.8" thickTop="1" thickBot="1" x14ac:dyDescent="0.35">
      <c r="C13" s="25"/>
    </row>
    <row r="14" spans="1:5" ht="24" thickTop="1" thickBot="1" x14ac:dyDescent="0.45">
      <c r="A14" s="62" t="s">
        <v>82</v>
      </c>
      <c r="C14" s="132" t="s">
        <v>64</v>
      </c>
    </row>
    <row r="15" spans="1:5" ht="16.8" x14ac:dyDescent="0.3">
      <c r="A15" s="115" t="s">
        <v>129</v>
      </c>
      <c r="C15" s="92" t="s">
        <v>192</v>
      </c>
    </row>
    <row r="16" spans="1:5" ht="17.399999999999999" thickBot="1" x14ac:dyDescent="0.35">
      <c r="A16" s="169" t="s">
        <v>83</v>
      </c>
      <c r="C16" s="102" t="s">
        <v>193</v>
      </c>
    </row>
    <row r="17" ht="16.2" thickTop="1" x14ac:dyDescent="0.3"/>
  </sheetData>
  <sortState xmlns:xlrd2="http://schemas.microsoft.com/office/spreadsheetml/2017/richdata2" ref="C6:C9">
    <sortCondition ref="C6:C9"/>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5"/>
  <sheetViews>
    <sheetView showGridLines="0" workbookViewId="0"/>
  </sheetViews>
  <sheetFormatPr defaultColWidth="13" defaultRowHeight="15.6" x14ac:dyDescent="0.3"/>
  <cols>
    <col min="1" max="1" width="34.8984375" style="212" bestFit="1" customWidth="1"/>
    <col min="2" max="2" width="15" style="212" bestFit="1" customWidth="1"/>
    <col min="3" max="3" width="9.8984375" style="212" bestFit="1" customWidth="1"/>
    <col min="4" max="4" width="8.19921875" style="212" customWidth="1"/>
    <col min="5" max="5" width="8.5" style="212" bestFit="1" customWidth="1"/>
    <col min="6" max="6" width="8.3984375" style="212" bestFit="1" customWidth="1"/>
    <col min="7" max="7" width="5.59765625" style="212" customWidth="1"/>
    <col min="8" max="8" width="4.69921875" style="212" bestFit="1" customWidth="1"/>
    <col min="9" max="9" width="5.59765625" style="212" customWidth="1"/>
    <col min="10" max="10" width="6.296875" style="213" bestFit="1" customWidth="1"/>
    <col min="11" max="11" width="15.796875" style="212" bestFit="1" customWidth="1"/>
    <col min="12" max="12" width="2.09765625" style="204" customWidth="1"/>
    <col min="13" max="13" width="6.8984375" style="212" bestFit="1" customWidth="1"/>
    <col min="14" max="16384" width="13" style="204"/>
  </cols>
  <sheetData>
    <row r="1" spans="1:13" ht="23.4" thickBot="1" x14ac:dyDescent="0.35">
      <c r="A1" s="202" t="s">
        <v>16</v>
      </c>
      <c r="B1" s="202"/>
      <c r="C1" s="202"/>
      <c r="D1" s="202"/>
      <c r="E1" s="202"/>
      <c r="F1" s="202"/>
      <c r="G1" s="202"/>
      <c r="H1" s="202"/>
      <c r="I1" s="202"/>
      <c r="J1" s="203"/>
      <c r="K1" s="202"/>
    </row>
    <row r="2" spans="1:13" ht="16.8" thickTop="1" thickBot="1" x14ac:dyDescent="0.35">
      <c r="A2" s="205" t="s">
        <v>2</v>
      </c>
      <c r="B2" s="206" t="s">
        <v>3</v>
      </c>
      <c r="C2" s="206" t="s">
        <v>19</v>
      </c>
      <c r="D2" s="206" t="s">
        <v>20</v>
      </c>
      <c r="E2" s="207" t="s">
        <v>58</v>
      </c>
      <c r="F2" s="206" t="s">
        <v>17</v>
      </c>
      <c r="G2" s="206" t="s">
        <v>21</v>
      </c>
      <c r="H2" s="208" t="s">
        <v>78</v>
      </c>
      <c r="I2" s="436" t="s">
        <v>92</v>
      </c>
      <c r="J2" s="208" t="s">
        <v>70</v>
      </c>
      <c r="K2" s="209" t="s">
        <v>1</v>
      </c>
      <c r="M2" s="284" t="s">
        <v>126</v>
      </c>
    </row>
    <row r="3" spans="1:13" x14ac:dyDescent="0.3">
      <c r="A3" s="187" t="s">
        <v>244</v>
      </c>
      <c r="B3" s="220" t="s">
        <v>200</v>
      </c>
      <c r="C3" s="277" t="str">
        <f>CONCATENATE('Personal File'!$C$12+0,"+?")</f>
        <v>3+?</v>
      </c>
      <c r="D3" s="198" t="s">
        <v>80</v>
      </c>
      <c r="E3" s="198" t="s">
        <v>240</v>
      </c>
      <c r="F3" s="188" t="s">
        <v>106</v>
      </c>
      <c r="G3" s="189">
        <v>0.5</v>
      </c>
      <c r="H3" s="189" t="str">
        <f>CONCATENATE("+",('Personal File'!$B$9)+'Personal File'!$C$12+D3)</f>
        <v>+22</v>
      </c>
      <c r="I3" s="437">
        <f t="shared" ref="I3:I10" ca="1" si="0">RANDBETWEEN(1,20)</f>
        <v>15</v>
      </c>
      <c r="J3" s="190">
        <f t="shared" ref="J3:J9" ca="1" si="1">I3+H3</f>
        <v>37</v>
      </c>
      <c r="K3" s="191" t="str">
        <f>Feats!$A$2</f>
        <v>Sneak Attack 10d6</v>
      </c>
      <c r="M3" s="286">
        <v>56000</v>
      </c>
    </row>
    <row r="4" spans="1:13" x14ac:dyDescent="0.3">
      <c r="A4" s="482" t="s">
        <v>109</v>
      </c>
      <c r="B4" s="483" t="s">
        <v>200</v>
      </c>
      <c r="C4" s="484" t="str">
        <f>CONCATENATE('Personal File'!$C$12+0,"+?")</f>
        <v>3+?</v>
      </c>
      <c r="D4" s="485" t="s">
        <v>80</v>
      </c>
      <c r="E4" s="485" t="s">
        <v>240</v>
      </c>
      <c r="F4" s="486" t="s">
        <v>106</v>
      </c>
      <c r="G4" s="487" t="s">
        <v>88</v>
      </c>
      <c r="H4" s="491" t="str">
        <f>CONCATENATE("+",H3-5)</f>
        <v>+17</v>
      </c>
      <c r="I4" s="488">
        <f t="shared" ca="1" si="0"/>
        <v>16</v>
      </c>
      <c r="J4" s="489">
        <f t="shared" ref="J4" ca="1" si="2">I4+H4</f>
        <v>33</v>
      </c>
      <c r="K4" s="490" t="str">
        <f>Feats!$A$2</f>
        <v>Sneak Attack 10d6</v>
      </c>
      <c r="M4" s="285" t="s">
        <v>88</v>
      </c>
    </row>
    <row r="5" spans="1:13" x14ac:dyDescent="0.3">
      <c r="A5" s="192" t="s">
        <v>265</v>
      </c>
      <c r="B5" s="197" t="s">
        <v>200</v>
      </c>
      <c r="C5" s="278" t="str">
        <f>CONCATENATE('Personal File'!$C$12+0,"+?")</f>
        <v>3+?</v>
      </c>
      <c r="D5" s="199" t="s">
        <v>80</v>
      </c>
      <c r="E5" s="199" t="s">
        <v>240</v>
      </c>
      <c r="F5" s="193" t="s">
        <v>106</v>
      </c>
      <c r="G5" s="200" t="s">
        <v>88</v>
      </c>
      <c r="H5" s="194" t="str">
        <f>CONCATENATE("+",H4-5)</f>
        <v>+12</v>
      </c>
      <c r="I5" s="438">
        <f t="shared" ca="1" si="0"/>
        <v>12</v>
      </c>
      <c r="J5" s="195">
        <f t="shared" ca="1" si="1"/>
        <v>24</v>
      </c>
      <c r="K5" s="196" t="str">
        <f>Feats!$A$2</f>
        <v>Sneak Attack 10d6</v>
      </c>
      <c r="M5" s="285" t="s">
        <v>88</v>
      </c>
    </row>
    <row r="6" spans="1:13" x14ac:dyDescent="0.3">
      <c r="A6" s="421" t="s">
        <v>248</v>
      </c>
      <c r="B6" s="422" t="s">
        <v>252</v>
      </c>
      <c r="C6" s="423" t="s">
        <v>253</v>
      </c>
      <c r="D6" s="424" t="s">
        <v>254</v>
      </c>
      <c r="E6" s="424" t="s">
        <v>88</v>
      </c>
      <c r="F6" s="425" t="s">
        <v>88</v>
      </c>
      <c r="G6" s="426" t="s">
        <v>88</v>
      </c>
      <c r="H6" s="427" t="s">
        <v>88</v>
      </c>
      <c r="I6" s="439" t="s">
        <v>88</v>
      </c>
      <c r="J6" s="428" t="s">
        <v>88</v>
      </c>
      <c r="K6" s="429"/>
      <c r="M6" s="285">
        <v>10000</v>
      </c>
    </row>
    <row r="7" spans="1:13" x14ac:dyDescent="0.3">
      <c r="A7" s="478" t="s">
        <v>249</v>
      </c>
      <c r="B7" s="422" t="s">
        <v>250</v>
      </c>
      <c r="C7" s="423">
        <v>1</v>
      </c>
      <c r="D7" s="424" t="s">
        <v>251</v>
      </c>
      <c r="E7" s="424" t="s">
        <v>88</v>
      </c>
      <c r="F7" s="425" t="s">
        <v>88</v>
      </c>
      <c r="G7" s="426" t="s">
        <v>88</v>
      </c>
      <c r="H7" s="427" t="s">
        <v>88</v>
      </c>
      <c r="I7" s="439" t="s">
        <v>88</v>
      </c>
      <c r="J7" s="428" t="s">
        <v>88</v>
      </c>
      <c r="K7" s="429" t="s">
        <v>258</v>
      </c>
      <c r="M7" s="285">
        <v>6000</v>
      </c>
    </row>
    <row r="8" spans="1:13" x14ac:dyDescent="0.3">
      <c r="A8" s="421" t="s">
        <v>199</v>
      </c>
      <c r="B8" s="422" t="s">
        <v>88</v>
      </c>
      <c r="C8" s="423" t="s">
        <v>88</v>
      </c>
      <c r="D8" s="424" t="s">
        <v>88</v>
      </c>
      <c r="E8" s="424" t="s">
        <v>88</v>
      </c>
      <c r="F8" s="425" t="s">
        <v>88</v>
      </c>
      <c r="G8" s="426">
        <v>0</v>
      </c>
      <c r="H8" s="427" t="str">
        <f>CONCATENATE("+",H5-5)</f>
        <v>+7</v>
      </c>
      <c r="I8" s="439">
        <f t="shared" ca="1" si="0"/>
        <v>8</v>
      </c>
      <c r="J8" s="428">
        <f t="shared" ref="J8" ca="1" si="3">I8+H8</f>
        <v>15</v>
      </c>
      <c r="K8" s="429"/>
      <c r="M8" s="285">
        <v>300</v>
      </c>
    </row>
    <row r="9" spans="1:13" x14ac:dyDescent="0.3">
      <c r="A9" s="353" t="s">
        <v>157</v>
      </c>
      <c r="B9" s="354" t="s">
        <v>88</v>
      </c>
      <c r="C9" s="355" t="s">
        <v>88</v>
      </c>
      <c r="D9" s="356" t="s">
        <v>56</v>
      </c>
      <c r="E9" s="357" t="s">
        <v>88</v>
      </c>
      <c r="F9" s="358" t="s">
        <v>88</v>
      </c>
      <c r="G9" s="359" t="s">
        <v>88</v>
      </c>
      <c r="H9" s="360" t="str">
        <f>CONCATENATE("+",('Personal File'!$B$9)+'Personal File'!$C$12+D9)</f>
        <v>+20</v>
      </c>
      <c r="I9" s="439">
        <f t="shared" ca="1" si="0"/>
        <v>6</v>
      </c>
      <c r="J9" s="361">
        <f t="shared" ca="1" si="1"/>
        <v>26</v>
      </c>
      <c r="K9" s="362" t="str">
        <f>Feats!$A$2</f>
        <v>Sneak Attack 10d6</v>
      </c>
      <c r="M9" s="285" t="s">
        <v>88</v>
      </c>
    </row>
    <row r="10" spans="1:13" ht="16.2" thickBot="1" x14ac:dyDescent="0.35">
      <c r="A10" s="288" t="s">
        <v>168</v>
      </c>
      <c r="B10" s="248" t="s">
        <v>168</v>
      </c>
      <c r="C10" s="248" t="s">
        <v>88</v>
      </c>
      <c r="D10" s="248">
        <v>0</v>
      </c>
      <c r="E10" s="248" t="s">
        <v>88</v>
      </c>
      <c r="F10" s="248" t="s">
        <v>88</v>
      </c>
      <c r="G10" s="239" t="s">
        <v>88</v>
      </c>
      <c r="H10" s="240" t="str">
        <f>CONCATENATE("+",('Personal File'!$B$9)+'Personal File'!$C$12+D10)</f>
        <v>+20</v>
      </c>
      <c r="I10" s="440">
        <f t="shared" ca="1" si="0"/>
        <v>20</v>
      </c>
      <c r="J10" s="289">
        <f t="shared" ref="J10" ca="1" si="4">I10+H10</f>
        <v>40</v>
      </c>
      <c r="K10" s="290"/>
      <c r="M10" s="287" t="s">
        <v>88</v>
      </c>
    </row>
    <row r="11" spans="1:13" ht="6" customHeight="1" thickTop="1" thickBot="1" x14ac:dyDescent="0.35">
      <c r="M11" s="204"/>
    </row>
    <row r="12" spans="1:13" ht="16.8" thickTop="1" thickBot="1" x14ac:dyDescent="0.35">
      <c r="A12" s="205" t="s">
        <v>5</v>
      </c>
      <c r="B12" s="206" t="s">
        <v>6</v>
      </c>
      <c r="C12" s="206" t="s">
        <v>19</v>
      </c>
      <c r="D12" s="206" t="s">
        <v>20</v>
      </c>
      <c r="E12" s="207" t="s">
        <v>58</v>
      </c>
      <c r="F12" s="206" t="s">
        <v>7</v>
      </c>
      <c r="G12" s="206" t="s">
        <v>21</v>
      </c>
      <c r="H12" s="208" t="s">
        <v>78</v>
      </c>
      <c r="I12" s="436" t="s">
        <v>92</v>
      </c>
      <c r="J12" s="208" t="s">
        <v>70</v>
      </c>
      <c r="K12" s="209" t="s">
        <v>1</v>
      </c>
      <c r="M12" s="284" t="s">
        <v>126</v>
      </c>
    </row>
    <row r="13" spans="1:13" x14ac:dyDescent="0.3">
      <c r="A13" s="304" t="s">
        <v>108</v>
      </c>
      <c r="B13" s="305" t="s">
        <v>88</v>
      </c>
      <c r="C13" s="513" t="s">
        <v>88</v>
      </c>
      <c r="D13" s="306" t="s">
        <v>56</v>
      </c>
      <c r="E13" s="307" t="s">
        <v>88</v>
      </c>
      <c r="F13" s="308" t="s">
        <v>88</v>
      </c>
      <c r="G13" s="309" t="s">
        <v>88</v>
      </c>
      <c r="H13" s="310" t="str">
        <f>CONCATENATE("+",('Personal File'!$B$9)+'Personal File'!$C$13+D13)</f>
        <v>+27</v>
      </c>
      <c r="I13" s="441">
        <f t="shared" ref="I13:I22" ca="1" si="5">RANDBETWEEN(1,20)</f>
        <v>1</v>
      </c>
      <c r="J13" s="311">
        <f t="shared" ref="J13" ca="1" si="6">I13+H13</f>
        <v>28</v>
      </c>
      <c r="K13" s="312"/>
      <c r="M13" s="285" t="s">
        <v>88</v>
      </c>
    </row>
    <row r="14" spans="1:13" x14ac:dyDescent="0.3">
      <c r="A14" s="353" t="s">
        <v>272</v>
      </c>
      <c r="B14" s="344" t="s">
        <v>88</v>
      </c>
      <c r="C14" s="514" t="s">
        <v>88</v>
      </c>
      <c r="D14" s="356" t="s">
        <v>56</v>
      </c>
      <c r="E14" s="357" t="s">
        <v>88</v>
      </c>
      <c r="F14" s="358" t="s">
        <v>88</v>
      </c>
      <c r="G14" s="359" t="s">
        <v>88</v>
      </c>
      <c r="H14" s="350" t="str">
        <f>CONCATENATE("+",'Personal File'!$E$3+D14)</f>
        <v>+20</v>
      </c>
      <c r="I14" s="442">
        <f ca="1">RANDBETWEEN(1,20)</f>
        <v>16</v>
      </c>
      <c r="J14" s="351">
        <f ca="1">I14+H14</f>
        <v>36</v>
      </c>
      <c r="K14" s="362"/>
      <c r="M14" s="285"/>
    </row>
    <row r="15" spans="1:13" x14ac:dyDescent="0.3">
      <c r="A15" s="343" t="s">
        <v>74</v>
      </c>
      <c r="B15" s="344" t="s">
        <v>88</v>
      </c>
      <c r="C15" s="345" t="s">
        <v>88</v>
      </c>
      <c r="D15" s="346">
        <v>4</v>
      </c>
      <c r="E15" s="347" t="s">
        <v>88</v>
      </c>
      <c r="F15" s="348" t="s">
        <v>88</v>
      </c>
      <c r="G15" s="349" t="s">
        <v>88</v>
      </c>
      <c r="H15" s="350" t="str">
        <f>CONCATENATE("+",'Personal File'!$E$3+D15)</f>
        <v>+24</v>
      </c>
      <c r="I15" s="442">
        <f ca="1">RANDBETWEEN(1,20)</f>
        <v>10</v>
      </c>
      <c r="J15" s="351">
        <f ca="1">I15+H15</f>
        <v>34</v>
      </c>
      <c r="K15" s="352"/>
      <c r="M15" s="285" t="s">
        <v>88</v>
      </c>
    </row>
    <row r="16" spans="1:13" x14ac:dyDescent="0.3">
      <c r="A16" s="296" t="s">
        <v>260</v>
      </c>
      <c r="B16" s="297" t="s">
        <v>105</v>
      </c>
      <c r="C16" s="298">
        <v>2</v>
      </c>
      <c r="D16" s="299">
        <v>2</v>
      </c>
      <c r="E16" s="299" t="s">
        <v>128</v>
      </c>
      <c r="F16" s="452" t="s">
        <v>239</v>
      </c>
      <c r="G16" s="300">
        <v>2</v>
      </c>
      <c r="H16" s="301" t="str">
        <f>CONCATENATE("+",('Personal File'!$B$9)+'Personal File'!$C$13+D16)</f>
        <v>+29</v>
      </c>
      <c r="I16" s="443">
        <f t="shared" ca="1" si="5"/>
        <v>18</v>
      </c>
      <c r="J16" s="302">
        <f t="shared" ref="J16:J22" ca="1" si="7">I16+H16</f>
        <v>47</v>
      </c>
      <c r="K16" s="303" t="str">
        <f>Feats!$A$2</f>
        <v>Sneak Attack 10d6</v>
      </c>
      <c r="M16" s="285">
        <f>8000+2500</f>
        <v>10500</v>
      </c>
    </row>
    <row r="17" spans="1:13" x14ac:dyDescent="0.3">
      <c r="A17" s="296" t="s">
        <v>170</v>
      </c>
      <c r="B17" s="297" t="s">
        <v>105</v>
      </c>
      <c r="C17" s="298">
        <v>2</v>
      </c>
      <c r="D17" s="299">
        <v>2</v>
      </c>
      <c r="E17" s="299" t="s">
        <v>128</v>
      </c>
      <c r="F17" s="452" t="s">
        <v>239</v>
      </c>
      <c r="G17" s="300" t="s">
        <v>88</v>
      </c>
      <c r="H17" s="301" t="str">
        <f>CONCATENATE("+",H16-5)</f>
        <v>+24</v>
      </c>
      <c r="I17" s="443">
        <f t="shared" ca="1" si="5"/>
        <v>10</v>
      </c>
      <c r="J17" s="302">
        <f t="shared" ref="J17" ca="1" si="8">I17+H17</f>
        <v>34</v>
      </c>
      <c r="K17" s="303" t="str">
        <f>Feats!$A$2</f>
        <v>Sneak Attack 10d6</v>
      </c>
      <c r="M17" s="285" t="s">
        <v>88</v>
      </c>
    </row>
    <row r="18" spans="1:13" x14ac:dyDescent="0.3">
      <c r="A18" s="296" t="s">
        <v>266</v>
      </c>
      <c r="B18" s="297" t="s">
        <v>105</v>
      </c>
      <c r="C18" s="298">
        <v>2</v>
      </c>
      <c r="D18" s="299">
        <v>2</v>
      </c>
      <c r="E18" s="299" t="s">
        <v>128</v>
      </c>
      <c r="F18" s="452" t="s">
        <v>239</v>
      </c>
      <c r="G18" s="300" t="s">
        <v>88</v>
      </c>
      <c r="H18" s="301" t="str">
        <f>CONCATENATE("+",H17-5)</f>
        <v>+19</v>
      </c>
      <c r="I18" s="443">
        <f t="shared" ca="1" si="5"/>
        <v>9</v>
      </c>
      <c r="J18" s="302">
        <f t="shared" ref="J18" ca="1" si="9">I18+H18</f>
        <v>28</v>
      </c>
      <c r="K18" s="303" t="str">
        <f>Feats!$A$2</f>
        <v>Sneak Attack 10d6</v>
      </c>
      <c r="M18" s="285" t="s">
        <v>88</v>
      </c>
    </row>
    <row r="19" spans="1:13" x14ac:dyDescent="0.3">
      <c r="A19" s="296" t="s">
        <v>259</v>
      </c>
      <c r="B19" s="297" t="s">
        <v>105</v>
      </c>
      <c r="C19" s="298">
        <v>2</v>
      </c>
      <c r="D19" s="299">
        <v>2</v>
      </c>
      <c r="E19" s="299" t="s">
        <v>128</v>
      </c>
      <c r="F19" s="452" t="s">
        <v>239</v>
      </c>
      <c r="G19" s="300" t="s">
        <v>88</v>
      </c>
      <c r="H19" s="301" t="str">
        <f>CONCATENATE("+",('Personal File'!$B$9)+'Personal File'!$C$13+D19)</f>
        <v>+29</v>
      </c>
      <c r="I19" s="443">
        <f t="shared" ca="1" si="5"/>
        <v>7</v>
      </c>
      <c r="J19" s="302">
        <f t="shared" ref="J19" ca="1" si="10">I19+H19</f>
        <v>36</v>
      </c>
      <c r="K19" s="303" t="str">
        <f>Feats!$A$2</f>
        <v>Sneak Attack 10d6</v>
      </c>
      <c r="M19" s="285" t="s">
        <v>88</v>
      </c>
    </row>
    <row r="20" spans="1:13" x14ac:dyDescent="0.3">
      <c r="A20" s="192" t="s">
        <v>236</v>
      </c>
      <c r="B20" s="197" t="s">
        <v>105</v>
      </c>
      <c r="C20" s="278">
        <v>2</v>
      </c>
      <c r="D20" s="199">
        <v>2</v>
      </c>
      <c r="E20" s="199" t="s">
        <v>128</v>
      </c>
      <c r="F20" s="453" t="s">
        <v>239</v>
      </c>
      <c r="G20" s="200" t="s">
        <v>88</v>
      </c>
      <c r="H20" s="194" t="str">
        <f>CONCATENATE("+",('Personal File'!$B$9)+'Personal File'!$C$13+D20)</f>
        <v>+29</v>
      </c>
      <c r="I20" s="438">
        <f t="shared" ca="1" si="5"/>
        <v>15</v>
      </c>
      <c r="J20" s="195">
        <f t="shared" ref="J20" ca="1" si="11">I20+H20</f>
        <v>44</v>
      </c>
      <c r="K20" s="196" t="str">
        <f>Feats!$A$2</f>
        <v>Sneak Attack 10d6</v>
      </c>
      <c r="M20" s="285" t="s">
        <v>88</v>
      </c>
    </row>
    <row r="21" spans="1:13" x14ac:dyDescent="0.3">
      <c r="A21" s="323" t="s">
        <v>124</v>
      </c>
      <c r="B21" s="324" t="s">
        <v>87</v>
      </c>
      <c r="C21" s="325">
        <v>1</v>
      </c>
      <c r="D21" s="326" t="s">
        <v>99</v>
      </c>
      <c r="E21" s="327" t="s">
        <v>98</v>
      </c>
      <c r="F21" s="328" t="s">
        <v>94</v>
      </c>
      <c r="G21" s="329">
        <v>0.25</v>
      </c>
      <c r="H21" s="330" t="str">
        <f>CONCATENATE("+",('Personal File'!$B$9)+'Personal File'!$C$13+D21)</f>
        <v>+28</v>
      </c>
      <c r="I21" s="442">
        <f t="shared" ca="1" si="5"/>
        <v>13</v>
      </c>
      <c r="J21" s="331">
        <f t="shared" ref="J21" ca="1" si="12">I21+H21</f>
        <v>41</v>
      </c>
      <c r="K21" s="332" t="str">
        <f>Feats!$A$2</f>
        <v>Sneak Attack 10d6</v>
      </c>
      <c r="M21" s="285">
        <v>2000</v>
      </c>
    </row>
    <row r="22" spans="1:13" ht="16.2" thickBot="1" x14ac:dyDescent="0.35">
      <c r="A22" s="313" t="s">
        <v>111</v>
      </c>
      <c r="B22" s="314" t="s">
        <v>104</v>
      </c>
      <c r="C22" s="315" t="s">
        <v>104</v>
      </c>
      <c r="D22" s="316" t="s">
        <v>81</v>
      </c>
      <c r="E22" s="317" t="s">
        <v>98</v>
      </c>
      <c r="F22" s="318" t="s">
        <v>94</v>
      </c>
      <c r="G22" s="319">
        <v>0</v>
      </c>
      <c r="H22" s="320" t="str">
        <f>CONCATENATE("+",('Personal File'!$B$9)+'Personal File'!$C$13+D22)</f>
        <v>+31</v>
      </c>
      <c r="I22" s="444">
        <f t="shared" ca="1" si="5"/>
        <v>18</v>
      </c>
      <c r="J22" s="321">
        <f t="shared" ca="1" si="7"/>
        <v>49</v>
      </c>
      <c r="K22" s="322" t="str">
        <f>Feats!$A$2</f>
        <v>Sneak Attack 10d6</v>
      </c>
      <c r="M22" s="287" t="s">
        <v>88</v>
      </c>
    </row>
    <row r="23" spans="1:13" ht="6" customHeight="1" thickTop="1" thickBot="1" x14ac:dyDescent="0.35">
      <c r="D23" s="214"/>
      <c r="E23" s="214"/>
      <c r="G23" s="215"/>
      <c r="H23" s="215"/>
      <c r="I23" s="215"/>
      <c r="J23" s="216"/>
    </row>
    <row r="24" spans="1:13" ht="16.8" thickTop="1" thickBot="1" x14ac:dyDescent="0.35">
      <c r="A24" s="205" t="s">
        <v>62</v>
      </c>
      <c r="B24" s="206" t="s">
        <v>10</v>
      </c>
      <c r="C24" s="206" t="s">
        <v>28</v>
      </c>
      <c r="D24" s="206" t="s">
        <v>70</v>
      </c>
      <c r="E24" s="206" t="s">
        <v>71</v>
      </c>
      <c r="F24" s="206" t="s">
        <v>72</v>
      </c>
      <c r="G24" s="206" t="s">
        <v>21</v>
      </c>
      <c r="H24" s="217" t="s">
        <v>1</v>
      </c>
      <c r="I24" s="218"/>
      <c r="J24" s="218"/>
      <c r="K24" s="219"/>
      <c r="M24" s="284" t="s">
        <v>126</v>
      </c>
    </row>
    <row r="25" spans="1:13" x14ac:dyDescent="0.3">
      <c r="A25" s="391" t="s">
        <v>194</v>
      </c>
      <c r="B25" s="392">
        <v>5</v>
      </c>
      <c r="C25" s="245" t="s">
        <v>88</v>
      </c>
      <c r="D25" s="245" t="s">
        <v>88</v>
      </c>
      <c r="E25" s="393" t="s">
        <v>88</v>
      </c>
      <c r="F25" s="245" t="s">
        <v>88</v>
      </c>
      <c r="G25" s="394">
        <v>0</v>
      </c>
      <c r="H25" s="395"/>
      <c r="I25" s="396"/>
      <c r="J25" s="397"/>
      <c r="K25" s="398"/>
      <c r="M25" s="285">
        <v>50000</v>
      </c>
    </row>
    <row r="26" spans="1:13" x14ac:dyDescent="0.3">
      <c r="A26" s="391" t="s">
        <v>246</v>
      </c>
      <c r="B26" s="392">
        <f>5+5</f>
        <v>10</v>
      </c>
      <c r="C26" s="245">
        <v>7</v>
      </c>
      <c r="D26" s="245">
        <v>0</v>
      </c>
      <c r="E26" s="393">
        <v>0.3</v>
      </c>
      <c r="F26" s="245" t="s">
        <v>257</v>
      </c>
      <c r="G26" s="394">
        <v>10</v>
      </c>
      <c r="H26" s="395"/>
      <c r="I26" s="396"/>
      <c r="J26" s="397"/>
      <c r="K26" s="398"/>
      <c r="M26" s="285">
        <f>150+300+(9*9*1000)+3000</f>
        <v>84450</v>
      </c>
    </row>
    <row r="27" spans="1:13" x14ac:dyDescent="0.3">
      <c r="A27" s="469" t="s">
        <v>255</v>
      </c>
      <c r="B27" s="297">
        <v>5</v>
      </c>
      <c r="C27" s="470" t="s">
        <v>88</v>
      </c>
      <c r="D27" s="297" t="s">
        <v>88</v>
      </c>
      <c r="E27" s="471" t="s">
        <v>88</v>
      </c>
      <c r="F27" s="472" t="s">
        <v>88</v>
      </c>
      <c r="G27" s="300">
        <v>1</v>
      </c>
      <c r="H27" s="473"/>
      <c r="I27" s="474"/>
      <c r="J27" s="474"/>
      <c r="K27" s="475"/>
      <c r="L27" s="256"/>
      <c r="M27" s="285">
        <v>25000</v>
      </c>
    </row>
    <row r="28" spans="1:13" x14ac:dyDescent="0.3">
      <c r="A28" s="399" t="s">
        <v>198</v>
      </c>
      <c r="B28" s="245" t="s">
        <v>88</v>
      </c>
      <c r="C28" s="400" t="s">
        <v>88</v>
      </c>
      <c r="D28" s="245" t="s">
        <v>88</v>
      </c>
      <c r="E28" s="393" t="s">
        <v>88</v>
      </c>
      <c r="F28" s="401" t="s">
        <v>88</v>
      </c>
      <c r="G28" s="394">
        <v>0</v>
      </c>
      <c r="H28" s="402"/>
      <c r="I28" s="397"/>
      <c r="J28" s="397"/>
      <c r="K28" s="403"/>
      <c r="L28" s="256"/>
      <c r="M28" s="285">
        <v>1000</v>
      </c>
    </row>
    <row r="29" spans="1:13" ht="16.2" thickBot="1" x14ac:dyDescent="0.35">
      <c r="A29" s="210" t="s">
        <v>125</v>
      </c>
      <c r="B29" s="211">
        <v>2</v>
      </c>
      <c r="C29" s="222" t="s">
        <v>88</v>
      </c>
      <c r="D29" s="211" t="s">
        <v>88</v>
      </c>
      <c r="E29" s="223" t="s">
        <v>88</v>
      </c>
      <c r="F29" s="211" t="s">
        <v>88</v>
      </c>
      <c r="G29" s="224">
        <v>0</v>
      </c>
      <c r="H29" s="225"/>
      <c r="I29" s="226"/>
      <c r="J29" s="227"/>
      <c r="K29" s="228"/>
      <c r="M29" s="287" t="s">
        <v>88</v>
      </c>
    </row>
    <row r="30" spans="1:13" ht="6.75" customHeight="1" thickTop="1" thickBot="1" x14ac:dyDescent="0.35"/>
    <row r="31" spans="1:13" ht="16.8" thickTop="1" thickBot="1" x14ac:dyDescent="0.35">
      <c r="A31" s="229"/>
      <c r="B31" s="215"/>
      <c r="D31" s="230" t="s">
        <v>63</v>
      </c>
      <c r="E31" s="231"/>
      <c r="F31" s="217" t="s">
        <v>4</v>
      </c>
      <c r="G31" s="206" t="s">
        <v>21</v>
      </c>
      <c r="H31" s="208" t="s">
        <v>78</v>
      </c>
      <c r="I31" s="217" t="s">
        <v>68</v>
      </c>
      <c r="J31" s="218"/>
      <c r="K31" s="219"/>
      <c r="M31" s="284" t="s">
        <v>126</v>
      </c>
    </row>
    <row r="32" spans="1:13" x14ac:dyDescent="0.3">
      <c r="D32" s="232" t="s">
        <v>154</v>
      </c>
      <c r="E32" s="233"/>
      <c r="F32" s="234">
        <v>100</v>
      </c>
      <c r="G32" s="221">
        <v>2</v>
      </c>
      <c r="H32" s="235" t="s">
        <v>155</v>
      </c>
      <c r="I32" s="280"/>
      <c r="J32" s="281"/>
      <c r="K32" s="242"/>
      <c r="M32" s="285" t="s">
        <v>88</v>
      </c>
    </row>
    <row r="33" spans="4:13" ht="16.2" thickBot="1" x14ac:dyDescent="0.35">
      <c r="D33" s="236"/>
      <c r="E33" s="237"/>
      <c r="F33" s="238"/>
      <c r="G33" s="239"/>
      <c r="H33" s="342"/>
      <c r="I33" s="282"/>
      <c r="J33" s="283"/>
      <c r="K33" s="249"/>
      <c r="M33" s="287"/>
    </row>
    <row r="34" spans="4:13" ht="16.8" thickTop="1" thickBot="1" x14ac:dyDescent="0.35"/>
    <row r="35" spans="4:13" ht="16.8" thickTop="1" thickBot="1" x14ac:dyDescent="0.35">
      <c r="D35" s="230" t="s">
        <v>95</v>
      </c>
      <c r="E35" s="218"/>
      <c r="F35" s="218"/>
      <c r="G35" s="218"/>
      <c r="H35" s="241" t="s">
        <v>4</v>
      </c>
      <c r="I35" s="241" t="s">
        <v>0</v>
      </c>
      <c r="J35" s="241" t="s">
        <v>96</v>
      </c>
      <c r="K35" s="219" t="s">
        <v>68</v>
      </c>
      <c r="M35" s="284" t="s">
        <v>126</v>
      </c>
    </row>
    <row r="36" spans="4:13" x14ac:dyDescent="0.3">
      <c r="D36" s="243" t="s">
        <v>158</v>
      </c>
      <c r="E36" s="244"/>
      <c r="F36" s="244"/>
      <c r="G36" s="244"/>
      <c r="H36" s="245">
        <v>1</v>
      </c>
      <c r="I36" s="245">
        <v>2</v>
      </c>
      <c r="J36" s="245">
        <v>4</v>
      </c>
      <c r="K36" s="177"/>
      <c r="M36" s="285">
        <f>25*J36*I36*H36</f>
        <v>200</v>
      </c>
    </row>
    <row r="37" spans="4:13" x14ac:dyDescent="0.3">
      <c r="D37" s="243" t="s">
        <v>159</v>
      </c>
      <c r="E37" s="244"/>
      <c r="F37" s="244"/>
      <c r="G37" s="244"/>
      <c r="H37" s="245">
        <v>0</v>
      </c>
      <c r="I37" s="245">
        <v>3</v>
      </c>
      <c r="J37" s="245">
        <v>5</v>
      </c>
      <c r="K37" s="177"/>
      <c r="M37" s="285">
        <f t="shared" ref="M37:M42" si="13">25*J37*I37*H37</f>
        <v>0</v>
      </c>
    </row>
    <row r="38" spans="4:13" x14ac:dyDescent="0.3">
      <c r="D38" s="243" t="s">
        <v>169</v>
      </c>
      <c r="E38" s="244"/>
      <c r="F38" s="244"/>
      <c r="G38" s="244"/>
      <c r="H38" s="245">
        <v>2</v>
      </c>
      <c r="I38" s="245">
        <v>5</v>
      </c>
      <c r="J38" s="245">
        <v>8</v>
      </c>
      <c r="K38" s="177"/>
      <c r="M38" s="285">
        <f t="shared" si="13"/>
        <v>2000</v>
      </c>
    </row>
    <row r="39" spans="4:13" x14ac:dyDescent="0.3">
      <c r="D39" s="243" t="s">
        <v>160</v>
      </c>
      <c r="E39" s="244"/>
      <c r="F39" s="244"/>
      <c r="G39" s="244"/>
      <c r="H39" s="245">
        <v>0</v>
      </c>
      <c r="I39" s="245">
        <v>3</v>
      </c>
      <c r="J39" s="245">
        <v>6</v>
      </c>
      <c r="K39" s="177"/>
      <c r="M39" s="285">
        <f t="shared" si="13"/>
        <v>0</v>
      </c>
    </row>
    <row r="40" spans="4:13" x14ac:dyDescent="0.3">
      <c r="D40" s="243" t="s">
        <v>161</v>
      </c>
      <c r="E40" s="244"/>
      <c r="F40" s="244"/>
      <c r="G40" s="244"/>
      <c r="H40" s="245">
        <v>4</v>
      </c>
      <c r="I40" s="245">
        <v>4</v>
      </c>
      <c r="J40" s="245">
        <v>8</v>
      </c>
      <c r="K40" s="177"/>
      <c r="M40" s="285">
        <f t="shared" si="13"/>
        <v>3200</v>
      </c>
    </row>
    <row r="41" spans="4:13" x14ac:dyDescent="0.3">
      <c r="D41" s="243" t="s">
        <v>162</v>
      </c>
      <c r="E41" s="244"/>
      <c r="F41" s="244"/>
      <c r="G41" s="244"/>
      <c r="H41" s="245">
        <v>0</v>
      </c>
      <c r="I41" s="245">
        <v>4</v>
      </c>
      <c r="J41" s="245">
        <v>8</v>
      </c>
      <c r="K41" s="177"/>
      <c r="M41" s="285">
        <f t="shared" si="13"/>
        <v>0</v>
      </c>
    </row>
    <row r="42" spans="4:13" x14ac:dyDescent="0.3">
      <c r="D42" s="243" t="s">
        <v>163</v>
      </c>
      <c r="E42" s="244"/>
      <c r="F42" s="244"/>
      <c r="G42" s="244"/>
      <c r="H42" s="245">
        <v>0</v>
      </c>
      <c r="I42" s="245">
        <v>3</v>
      </c>
      <c r="J42" s="245">
        <v>5</v>
      </c>
      <c r="K42" s="177"/>
      <c r="M42" s="285">
        <f t="shared" si="13"/>
        <v>0</v>
      </c>
    </row>
    <row r="43" spans="4:13" x14ac:dyDescent="0.3">
      <c r="D43" s="370" t="s">
        <v>167</v>
      </c>
      <c r="E43" s="371"/>
      <c r="F43" s="371"/>
      <c r="G43" s="371"/>
      <c r="H43" s="372">
        <v>1</v>
      </c>
      <c r="I43" s="372">
        <v>3</v>
      </c>
      <c r="J43" s="372">
        <v>6</v>
      </c>
      <c r="K43" s="373" t="s">
        <v>273</v>
      </c>
      <c r="M43" s="374">
        <f>25*LEFT(K43,2)*J43*I43*H43</f>
        <v>4950</v>
      </c>
    </row>
    <row r="44" spans="4:13" ht="16.2" thickBot="1" x14ac:dyDescent="0.35">
      <c r="D44" s="246" t="s">
        <v>164</v>
      </c>
      <c r="E44" s="247"/>
      <c r="F44" s="247"/>
      <c r="G44" s="247"/>
      <c r="H44" s="248">
        <v>1</v>
      </c>
      <c r="I44" s="248">
        <v>1</v>
      </c>
      <c r="J44" s="248">
        <v>1</v>
      </c>
      <c r="K44" s="249" t="s">
        <v>215</v>
      </c>
      <c r="M44" s="287">
        <f>25*LEFT(K44,2)*J44*I44*H44</f>
        <v>1250</v>
      </c>
    </row>
    <row r="45" spans="4:13" ht="16.2" thickTop="1" x14ac:dyDescent="0.3"/>
  </sheetData>
  <sortState xmlns:xlrd2="http://schemas.microsoft.com/office/spreadsheetml/2017/richdata2" ref="D39:K48">
    <sortCondition ref="D39:D48"/>
  </sortState>
  <phoneticPr fontId="0" type="noConversion"/>
  <conditionalFormatting sqref="I3:I8 I21 I13">
    <cfRule type="cellIs" dxfId="20" priority="36" operator="equal">
      <formula>20</formula>
    </cfRule>
    <cfRule type="cellIs" dxfId="19" priority="37" operator="equal">
      <formula>1</formula>
    </cfRule>
  </conditionalFormatting>
  <conditionalFormatting sqref="I22">
    <cfRule type="cellIs" dxfId="18" priority="26" operator="equal">
      <formula>20</formula>
    </cfRule>
    <cfRule type="cellIs" dxfId="17" priority="27" operator="equal">
      <formula>1</formula>
    </cfRule>
  </conditionalFormatting>
  <conditionalFormatting sqref="I16:I17 I20">
    <cfRule type="cellIs" dxfId="16" priority="18" operator="equal">
      <formula>20</formula>
    </cfRule>
    <cfRule type="cellIs" dxfId="15" priority="19" operator="equal">
      <formula>1</formula>
    </cfRule>
  </conditionalFormatting>
  <conditionalFormatting sqref="I10">
    <cfRule type="cellIs" dxfId="14" priority="10" operator="equal">
      <formula>20</formula>
    </cfRule>
    <cfRule type="cellIs" dxfId="13" priority="11" operator="equal">
      <formula>1</formula>
    </cfRule>
  </conditionalFormatting>
  <conditionalFormatting sqref="I9">
    <cfRule type="cellIs" dxfId="12" priority="8" operator="equal">
      <formula>20</formula>
    </cfRule>
    <cfRule type="cellIs" dxfId="11" priority="9" operator="equal">
      <formula>1</formula>
    </cfRule>
  </conditionalFormatting>
  <conditionalFormatting sqref="H36:H44">
    <cfRule type="cellIs" dxfId="10" priority="7" operator="equal">
      <formula>0</formula>
    </cfRule>
  </conditionalFormatting>
  <conditionalFormatting sqref="I14:I15">
    <cfRule type="cellIs" dxfId="9" priority="5" operator="equal">
      <formula>20</formula>
    </cfRule>
    <cfRule type="cellIs" dxfId="8" priority="6" operator="equal">
      <formula>1</formula>
    </cfRule>
  </conditionalFormatting>
  <conditionalFormatting sqref="I19">
    <cfRule type="cellIs" dxfId="7" priority="3" operator="equal">
      <formula>20</formula>
    </cfRule>
    <cfRule type="cellIs" dxfId="6" priority="4" operator="equal">
      <formula>1</formula>
    </cfRule>
  </conditionalFormatting>
  <conditionalFormatting sqref="I18">
    <cfRule type="cellIs" dxfId="5" priority="1" operator="equal">
      <formula>20</formula>
    </cfRule>
    <cfRule type="cellIs" dxfId="4"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0"/>
  <sheetViews>
    <sheetView showGridLines="0" zoomScaleNormal="100" workbookViewId="0"/>
  </sheetViews>
  <sheetFormatPr defaultColWidth="13" defaultRowHeight="15.6" x14ac:dyDescent="0.3"/>
  <cols>
    <col min="1" max="1" width="30.8984375" style="23" bestFit="1" customWidth="1"/>
    <col min="2" max="2" width="4.69921875" style="23" bestFit="1" customWidth="1"/>
    <col min="3" max="3" width="4.69921875" style="24" bestFit="1" customWidth="1"/>
    <col min="4" max="5" width="27.5" style="1" customWidth="1"/>
    <col min="6" max="6" width="1.5" style="1" customWidth="1"/>
    <col min="7" max="7" width="9.296875" style="1" bestFit="1" customWidth="1"/>
    <col min="8" max="16384" width="13" style="1"/>
  </cols>
  <sheetData>
    <row r="1" spans="1:7" ht="23.4" thickBot="1" x14ac:dyDescent="0.45">
      <c r="A1" s="22" t="s">
        <v>65</v>
      </c>
      <c r="B1" s="22"/>
      <c r="C1" s="66"/>
      <c r="D1" s="22"/>
      <c r="E1" s="22"/>
    </row>
    <row r="2" spans="1:7" s="23" customFormat="1" ht="16.8" thickTop="1" thickBot="1" x14ac:dyDescent="0.35">
      <c r="A2" s="67" t="s">
        <v>66</v>
      </c>
      <c r="B2" s="67" t="s">
        <v>4</v>
      </c>
      <c r="C2" s="68" t="s">
        <v>21</v>
      </c>
      <c r="D2" s="69" t="s">
        <v>67</v>
      </c>
      <c r="E2" s="70" t="s">
        <v>68</v>
      </c>
      <c r="F2" s="409"/>
      <c r="G2" s="291" t="s">
        <v>126</v>
      </c>
    </row>
    <row r="3" spans="1:7" x14ac:dyDescent="0.3">
      <c r="A3" s="410" t="s">
        <v>269</v>
      </c>
      <c r="B3" s="411">
        <v>1</v>
      </c>
      <c r="C3" s="412">
        <v>2</v>
      </c>
      <c r="D3" s="413"/>
      <c r="E3" s="414"/>
      <c r="F3" s="256"/>
      <c r="G3" s="368">
        <f>8000+32000</f>
        <v>40000</v>
      </c>
    </row>
    <row r="4" spans="1:7" x14ac:dyDescent="0.3">
      <c r="A4" s="364" t="s">
        <v>165</v>
      </c>
      <c r="B4" s="365">
        <v>1</v>
      </c>
      <c r="C4" s="412">
        <v>0</v>
      </c>
      <c r="D4" s="413"/>
      <c r="E4" s="414"/>
      <c r="F4" s="256"/>
      <c r="G4" s="368">
        <v>4000</v>
      </c>
    </row>
    <row r="5" spans="1:7" x14ac:dyDescent="0.3">
      <c r="A5" s="364" t="s">
        <v>262</v>
      </c>
      <c r="B5" s="365">
        <v>1</v>
      </c>
      <c r="C5" s="412">
        <v>3</v>
      </c>
      <c r="D5" s="413"/>
      <c r="E5" s="414"/>
      <c r="F5" s="256"/>
      <c r="G5" s="368">
        <v>6000</v>
      </c>
    </row>
    <row r="6" spans="1:7" x14ac:dyDescent="0.3">
      <c r="A6" s="364" t="s">
        <v>263</v>
      </c>
      <c r="B6" s="365">
        <v>1</v>
      </c>
      <c r="C6" s="412">
        <v>2</v>
      </c>
      <c r="D6" s="413"/>
      <c r="E6" s="414"/>
      <c r="F6" s="256"/>
      <c r="G6" s="368">
        <v>7250</v>
      </c>
    </row>
    <row r="7" spans="1:7" x14ac:dyDescent="0.3">
      <c r="A7" s="364" t="s">
        <v>264</v>
      </c>
      <c r="B7" s="365">
        <v>1</v>
      </c>
      <c r="C7" s="412">
        <f>1+2</f>
        <v>3</v>
      </c>
      <c r="D7" s="413"/>
      <c r="E7" s="414"/>
      <c r="F7" s="256"/>
      <c r="G7" s="368">
        <v>15000</v>
      </c>
    </row>
    <row r="8" spans="1:7" x14ac:dyDescent="0.3">
      <c r="A8" s="154" t="s">
        <v>85</v>
      </c>
      <c r="B8" s="179">
        <v>1</v>
      </c>
      <c r="C8" s="71">
        <v>0.5</v>
      </c>
      <c r="D8" s="463"/>
      <c r="E8" s="72"/>
      <c r="G8" s="292" t="s">
        <v>88</v>
      </c>
    </row>
    <row r="9" spans="1:7" x14ac:dyDescent="0.3">
      <c r="A9" s="364" t="s">
        <v>222</v>
      </c>
      <c r="B9" s="430">
        <v>2</v>
      </c>
      <c r="C9" s="412">
        <f>0.25*B9</f>
        <v>0.5</v>
      </c>
      <c r="D9" s="464"/>
      <c r="E9" s="414"/>
      <c r="F9" s="256"/>
      <c r="G9" s="292">
        <v>0</v>
      </c>
    </row>
    <row r="10" spans="1:7" x14ac:dyDescent="0.3">
      <c r="A10" s="183" t="s">
        <v>84</v>
      </c>
      <c r="B10" s="184">
        <v>1</v>
      </c>
      <c r="C10" s="185" t="s">
        <v>223</v>
      </c>
      <c r="D10" s="155"/>
      <c r="E10" s="72"/>
      <c r="G10" s="292" t="s">
        <v>88</v>
      </c>
    </row>
    <row r="11" spans="1:7" x14ac:dyDescent="0.3">
      <c r="A11" s="186" t="s">
        <v>245</v>
      </c>
      <c r="B11" s="369">
        <v>1</v>
      </c>
      <c r="C11" s="182">
        <v>0</v>
      </c>
      <c r="D11" s="431"/>
      <c r="E11" s="414"/>
      <c r="F11" s="213"/>
      <c r="G11" s="292">
        <v>36000</v>
      </c>
    </row>
    <row r="12" spans="1:7" x14ac:dyDescent="0.3">
      <c r="A12" s="455" t="s">
        <v>110</v>
      </c>
      <c r="B12" s="457">
        <v>1</v>
      </c>
      <c r="C12" s="71">
        <v>1</v>
      </c>
      <c r="D12" s="465" t="s">
        <v>238</v>
      </c>
      <c r="E12" s="201"/>
      <c r="G12" s="368">
        <v>12000</v>
      </c>
    </row>
    <row r="13" spans="1:7" x14ac:dyDescent="0.3">
      <c r="A13" s="186" t="s">
        <v>89</v>
      </c>
      <c r="B13" s="181">
        <v>1</v>
      </c>
      <c r="C13" s="182">
        <v>0.5</v>
      </c>
      <c r="D13" s="176"/>
      <c r="E13" s="72"/>
      <c r="G13" s="292">
        <v>750</v>
      </c>
    </row>
    <row r="14" spans="1:7" x14ac:dyDescent="0.3">
      <c r="A14" s="521" t="s">
        <v>204</v>
      </c>
      <c r="B14" s="522">
        <v>1</v>
      </c>
      <c r="C14" s="523">
        <v>0</v>
      </c>
      <c r="D14" s="524" t="s">
        <v>216</v>
      </c>
      <c r="E14" s="525"/>
      <c r="F14" s="256"/>
      <c r="G14" s="526">
        <v>3500</v>
      </c>
    </row>
    <row r="15" spans="1:7" x14ac:dyDescent="0.3">
      <c r="A15" s="364" t="s">
        <v>247</v>
      </c>
      <c r="B15" s="365">
        <v>1</v>
      </c>
      <c r="C15" s="412">
        <v>0</v>
      </c>
      <c r="D15" s="468"/>
      <c r="E15" s="414"/>
      <c r="F15" s="256"/>
      <c r="G15" s="368">
        <v>4000</v>
      </c>
    </row>
    <row r="16" spans="1:7" x14ac:dyDescent="0.3">
      <c r="A16" s="364" t="s">
        <v>195</v>
      </c>
      <c r="B16" s="365">
        <v>1</v>
      </c>
      <c r="C16" s="182">
        <v>0.5</v>
      </c>
      <c r="D16" s="366"/>
      <c r="E16" s="367"/>
      <c r="F16" s="256"/>
      <c r="G16" s="368">
        <v>24000</v>
      </c>
    </row>
    <row r="17" spans="1:9" x14ac:dyDescent="0.3">
      <c r="A17" s="515" t="s">
        <v>196</v>
      </c>
      <c r="B17" s="516">
        <v>1</v>
      </c>
      <c r="C17" s="517">
        <v>0</v>
      </c>
      <c r="D17" s="518" t="s">
        <v>274</v>
      </c>
      <c r="E17" s="519"/>
      <c r="F17" s="256"/>
      <c r="G17" s="520">
        <v>2200</v>
      </c>
    </row>
    <row r="18" spans="1:9" x14ac:dyDescent="0.3">
      <c r="A18" s="364" t="s">
        <v>256</v>
      </c>
      <c r="B18" s="458">
        <v>1</v>
      </c>
      <c r="C18" s="412">
        <v>0</v>
      </c>
      <c r="D18" s="431"/>
      <c r="E18" s="414"/>
      <c r="F18" s="256"/>
      <c r="G18" s="368">
        <v>180000</v>
      </c>
    </row>
    <row r="19" spans="1:9" x14ac:dyDescent="0.3">
      <c r="A19" s="364" t="s">
        <v>197</v>
      </c>
      <c r="B19" s="365">
        <v>1</v>
      </c>
      <c r="C19" s="412">
        <v>4</v>
      </c>
      <c r="D19" s="431"/>
      <c r="E19" s="414"/>
      <c r="F19" s="256"/>
      <c r="G19" s="292">
        <v>10600</v>
      </c>
    </row>
    <row r="20" spans="1:9" x14ac:dyDescent="0.3">
      <c r="A20" s="405" t="s">
        <v>166</v>
      </c>
      <c r="B20" s="406">
        <v>1</v>
      </c>
      <c r="C20" s="459">
        <v>1</v>
      </c>
      <c r="D20" s="461"/>
      <c r="E20" s="466"/>
      <c r="G20" s="368">
        <v>9000</v>
      </c>
      <c r="I20" s="404"/>
    </row>
    <row r="21" spans="1:9" x14ac:dyDescent="0.3">
      <c r="A21" s="364" t="s">
        <v>201</v>
      </c>
      <c r="B21" s="365">
        <v>1</v>
      </c>
      <c r="C21" s="182">
        <v>0</v>
      </c>
      <c r="D21" s="366"/>
      <c r="E21" s="367"/>
      <c r="F21" s="256"/>
      <c r="G21" s="292">
        <v>3400</v>
      </c>
      <c r="I21" s="404"/>
    </row>
    <row r="22" spans="1:9" x14ac:dyDescent="0.3">
      <c r="A22" s="154" t="s">
        <v>86</v>
      </c>
      <c r="B22" s="179">
        <v>1</v>
      </c>
      <c r="C22" s="71">
        <v>0.5</v>
      </c>
      <c r="D22" s="155"/>
      <c r="E22" s="72"/>
      <c r="G22" s="292" t="s">
        <v>88</v>
      </c>
    </row>
    <row r="23" spans="1:9" ht="16.2" thickBot="1" x14ac:dyDescent="0.35">
      <c r="A23" s="454" t="s">
        <v>237</v>
      </c>
      <c r="B23" s="456">
        <v>1</v>
      </c>
      <c r="C23" s="460">
        <v>1</v>
      </c>
      <c r="D23" s="462"/>
      <c r="E23" s="467"/>
      <c r="F23" s="256"/>
      <c r="G23" s="293">
        <v>9000</v>
      </c>
    </row>
    <row r="24" spans="1:9" ht="24" thickTop="1" thickBot="1" x14ac:dyDescent="0.45">
      <c r="A24" s="22" t="s">
        <v>69</v>
      </c>
      <c r="B24" s="22"/>
      <c r="C24" s="75"/>
      <c r="D24" s="22"/>
      <c r="E24" s="76"/>
    </row>
    <row r="25" spans="1:9" ht="16.8" thickTop="1" thickBot="1" x14ac:dyDescent="0.35">
      <c r="A25" s="67" t="s">
        <v>66</v>
      </c>
      <c r="B25" s="67" t="s">
        <v>4</v>
      </c>
      <c r="C25" s="68" t="s">
        <v>21</v>
      </c>
      <c r="D25" s="69" t="s">
        <v>67</v>
      </c>
      <c r="E25" s="70" t="s">
        <v>68</v>
      </c>
      <c r="G25" s="291" t="s">
        <v>126</v>
      </c>
    </row>
    <row r="26" spans="1:9" x14ac:dyDescent="0.3">
      <c r="A26" s="153" t="s">
        <v>91</v>
      </c>
      <c r="B26" s="178">
        <v>1</v>
      </c>
      <c r="C26" s="78">
        <v>0</v>
      </c>
      <c r="D26" s="156"/>
      <c r="E26" s="77"/>
      <c r="G26" s="292">
        <v>500</v>
      </c>
    </row>
    <row r="27" spans="1:9" x14ac:dyDescent="0.3">
      <c r="A27" s="405" t="s">
        <v>202</v>
      </c>
      <c r="B27" s="406">
        <v>1</v>
      </c>
      <c r="C27" s="407">
        <v>2</v>
      </c>
      <c r="D27" s="176" t="s">
        <v>203</v>
      </c>
      <c r="E27" s="408"/>
      <c r="F27" s="409"/>
      <c r="G27" s="368">
        <v>300</v>
      </c>
    </row>
    <row r="28" spans="1:9" x14ac:dyDescent="0.3">
      <c r="A28" s="154" t="s">
        <v>90</v>
      </c>
      <c r="B28" s="179">
        <v>1</v>
      </c>
      <c r="C28" s="71">
        <v>1</v>
      </c>
      <c r="D28" s="157"/>
      <c r="E28" s="72"/>
      <c r="G28" s="292">
        <v>350</v>
      </c>
    </row>
    <row r="29" spans="1:9" x14ac:dyDescent="0.3">
      <c r="A29" s="364" t="s">
        <v>219</v>
      </c>
      <c r="B29" s="430">
        <v>1</v>
      </c>
      <c r="C29" s="412">
        <v>0</v>
      </c>
      <c r="D29" s="431"/>
      <c r="E29" s="414"/>
      <c r="F29" s="256"/>
      <c r="G29" s="292">
        <v>1</v>
      </c>
    </row>
    <row r="30" spans="1:9" x14ac:dyDescent="0.3">
      <c r="A30" s="364" t="s">
        <v>220</v>
      </c>
      <c r="B30" s="369">
        <v>1</v>
      </c>
      <c r="C30" s="182">
        <v>4</v>
      </c>
      <c r="D30" s="366"/>
      <c r="E30" s="367"/>
      <c r="F30" s="213"/>
      <c r="G30" s="292">
        <v>1</v>
      </c>
    </row>
    <row r="31" spans="1:9" x14ac:dyDescent="0.3">
      <c r="A31" s="364" t="s">
        <v>221</v>
      </c>
      <c r="B31" s="369">
        <v>1</v>
      </c>
      <c r="C31" s="182">
        <v>5</v>
      </c>
      <c r="D31" s="366"/>
      <c r="E31" s="367"/>
      <c r="F31" s="213"/>
      <c r="G31" s="292">
        <v>0</v>
      </c>
    </row>
    <row r="32" spans="1:9" x14ac:dyDescent="0.3">
      <c r="A32" s="364" t="s">
        <v>218</v>
      </c>
      <c r="B32" s="430">
        <v>1</v>
      </c>
      <c r="C32" s="412">
        <v>0</v>
      </c>
      <c r="D32" s="431"/>
      <c r="E32" s="414"/>
      <c r="F32" s="256"/>
      <c r="G32" s="292">
        <v>0</v>
      </c>
    </row>
    <row r="33" spans="1:7" x14ac:dyDescent="0.3">
      <c r="A33" s="410" t="s">
        <v>224</v>
      </c>
      <c r="B33" s="411">
        <v>1</v>
      </c>
      <c r="C33" s="412">
        <v>3.5</v>
      </c>
      <c r="D33" s="413"/>
      <c r="E33" s="414"/>
      <c r="F33" s="256"/>
      <c r="G33" s="292">
        <v>0</v>
      </c>
    </row>
    <row r="34" spans="1:7" x14ac:dyDescent="0.3">
      <c r="A34" s="410" t="s">
        <v>217</v>
      </c>
      <c r="B34" s="411">
        <v>2</v>
      </c>
      <c r="C34" s="182">
        <f>B34*2</f>
        <v>4</v>
      </c>
      <c r="D34" s="366"/>
      <c r="E34" s="367"/>
      <c r="F34" s="256"/>
      <c r="G34" s="449">
        <v>0</v>
      </c>
    </row>
    <row r="35" spans="1:7" ht="16.2" thickBot="1" x14ac:dyDescent="0.35">
      <c r="A35" s="158" t="s">
        <v>234</v>
      </c>
      <c r="B35" s="180">
        <v>0</v>
      </c>
      <c r="C35" s="73">
        <f>B35/100</f>
        <v>0</v>
      </c>
      <c r="D35" s="363"/>
      <c r="E35" s="74"/>
      <c r="G35" s="293">
        <f>B35</f>
        <v>0</v>
      </c>
    </row>
    <row r="36" spans="1:7" ht="22.8" thickTop="1" thickBot="1" x14ac:dyDescent="0.35">
      <c r="A36" s="492"/>
      <c r="B36" s="492"/>
      <c r="C36" s="492"/>
      <c r="D36" s="493" t="s">
        <v>270</v>
      </c>
      <c r="E36" s="494"/>
      <c r="F36" s="213"/>
      <c r="G36" s="213">
        <v>7400</v>
      </c>
    </row>
    <row r="37" spans="1:7" ht="16.8" thickTop="1" thickBot="1" x14ac:dyDescent="0.35">
      <c r="A37" s="495" t="s">
        <v>66</v>
      </c>
      <c r="B37" s="495" t="s">
        <v>4</v>
      </c>
      <c r="C37" s="496" t="s">
        <v>21</v>
      </c>
      <c r="D37" s="497" t="s">
        <v>67</v>
      </c>
      <c r="E37" s="498" t="s">
        <v>68</v>
      </c>
      <c r="F37" s="213"/>
      <c r="G37" s="499" t="s">
        <v>126</v>
      </c>
    </row>
    <row r="38" spans="1:7" x14ac:dyDescent="0.3">
      <c r="A38" s="500"/>
      <c r="B38" s="501"/>
      <c r="C38" s="502"/>
      <c r="D38" s="503"/>
      <c r="E38" s="504"/>
      <c r="F38" s="213"/>
      <c r="G38" s="292"/>
    </row>
    <row r="39" spans="1:7" x14ac:dyDescent="0.3">
      <c r="A39" s="500"/>
      <c r="B39" s="501"/>
      <c r="C39" s="502"/>
      <c r="D39" s="503"/>
      <c r="E39" s="504"/>
      <c r="F39" s="213"/>
      <c r="G39" s="292"/>
    </row>
    <row r="40" spans="1:7" x14ac:dyDescent="0.3">
      <c r="A40" s="500"/>
      <c r="B40" s="501"/>
      <c r="C40" s="502"/>
      <c r="D40" s="503"/>
      <c r="E40" s="504"/>
      <c r="F40" s="213"/>
      <c r="G40" s="292"/>
    </row>
    <row r="41" spans="1:7" x14ac:dyDescent="0.3">
      <c r="A41" s="500"/>
      <c r="B41" s="501"/>
      <c r="C41" s="502"/>
      <c r="D41" s="503"/>
      <c r="E41" s="504"/>
      <c r="F41" s="213"/>
      <c r="G41" s="292"/>
    </row>
    <row r="42" spans="1:7" x14ac:dyDescent="0.3">
      <c r="A42" s="500"/>
      <c r="B42" s="501"/>
      <c r="C42" s="502"/>
      <c r="D42" s="503"/>
      <c r="E42" s="504"/>
      <c r="F42" s="213"/>
      <c r="G42" s="292"/>
    </row>
    <row r="43" spans="1:7" x14ac:dyDescent="0.3">
      <c r="A43" s="505"/>
      <c r="B43" s="501"/>
      <c r="C43" s="182"/>
      <c r="D43" s="366"/>
      <c r="E43" s="367"/>
      <c r="F43" s="213"/>
      <c r="G43" s="368"/>
    </row>
    <row r="44" spans="1:7" x14ac:dyDescent="0.3">
      <c r="A44" s="505"/>
      <c r="B44" s="501"/>
      <c r="C44" s="182"/>
      <c r="D44" s="366"/>
      <c r="E44" s="367"/>
      <c r="F44" s="213"/>
      <c r="G44" s="368"/>
    </row>
    <row r="45" spans="1:7" ht="16.2" thickBot="1" x14ac:dyDescent="0.35">
      <c r="A45" s="506"/>
      <c r="B45" s="507"/>
      <c r="C45" s="460"/>
      <c r="D45" s="508"/>
      <c r="E45" s="467"/>
      <c r="F45" s="213"/>
      <c r="G45" s="293"/>
    </row>
    <row r="46" spans="1:7" ht="16.2" thickTop="1" x14ac:dyDescent="0.3">
      <c r="A46" s="294" t="s">
        <v>271</v>
      </c>
      <c r="B46" s="509">
        <f>C46/1000</f>
        <v>0</v>
      </c>
      <c r="C46" s="216">
        <f>SUM(C37:C45)</f>
        <v>0</v>
      </c>
      <c r="D46" s="256"/>
      <c r="E46" s="256"/>
      <c r="F46" s="256"/>
      <c r="G46" s="256"/>
    </row>
    <row r="47" spans="1:7" x14ac:dyDescent="0.3">
      <c r="A47" s="1"/>
      <c r="B47" s="1"/>
      <c r="E47" s="294" t="s">
        <v>213</v>
      </c>
      <c r="F47" s="256"/>
      <c r="G47" s="295">
        <f>SUM(G3:G45)</f>
        <v>375252</v>
      </c>
    </row>
    <row r="48" spans="1:7" x14ac:dyDescent="0.3">
      <c r="E48" s="294" t="s">
        <v>127</v>
      </c>
      <c r="F48" s="256"/>
      <c r="G48" s="295">
        <f>SUM(Martial!M3:M44,Equipment!G3:G45)</f>
        <v>632102</v>
      </c>
    </row>
    <row r="49" spans="5:7" x14ac:dyDescent="0.3">
      <c r="E49" s="294" t="s">
        <v>156</v>
      </c>
      <c r="F49" s="213"/>
      <c r="G49" s="295">
        <v>580000</v>
      </c>
    </row>
    <row r="50" spans="5:7" x14ac:dyDescent="0.3">
      <c r="G50" s="476"/>
    </row>
  </sheetData>
  <sortState xmlns:xlrd2="http://schemas.microsoft.com/office/spreadsheetml/2017/richdata2" ref="A3:G23">
    <sortCondition ref="A3:A23"/>
  </sortState>
  <phoneticPr fontId="0" type="noConversion"/>
  <conditionalFormatting sqref="G48">
    <cfRule type="cellIs" dxfId="3" priority="6" operator="lessThan">
      <formula>0</formula>
    </cfRule>
  </conditionalFormatting>
  <conditionalFormatting sqref="G47">
    <cfRule type="cellIs" dxfId="2" priority="4" operator="lessThan">
      <formula>0</formula>
    </cfRule>
  </conditionalFormatting>
  <conditionalFormatting sqref="G49">
    <cfRule type="cellIs" dxfId="1" priority="2" operator="lessThan">
      <formula>0</formula>
    </cfRule>
  </conditionalFormatting>
  <conditionalFormatting sqref="B46">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2013-01-08T01:31:57Z</cp:lastPrinted>
  <dcterms:created xsi:type="dcterms:W3CDTF">2000-10-24T15:39:59Z</dcterms:created>
  <dcterms:modified xsi:type="dcterms:W3CDTF">2023-02-11T13:11:14Z</dcterms:modified>
</cp:coreProperties>
</file>