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C:\A\Juegos\NLM\PCs\"/>
    </mc:Choice>
  </mc:AlternateContent>
  <xr:revisionPtr revIDLastSave="0" documentId="13_ncr:1_{34FEAE9E-60B4-460E-886F-1D83685DAD96}"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Warmage" sheetId="21" r:id="rId3"/>
    <sheet name="Feats &amp; Spells" sheetId="20" r:id="rId4"/>
    <sheet name="Martial" sheetId="6" r:id="rId5"/>
    <sheet name="Equipment" sheetId="19" r:id="rId6"/>
  </sheets>
  <externalReferences>
    <externalReference r:id="rId7"/>
  </externalReferences>
  <definedNames>
    <definedName name="NoShade">'[1]Spell Sheet'!$FH$1</definedName>
    <definedName name="OLE_LINK1" localSheetId="3">'Feats &amp; Spells'!#REF!</definedName>
    <definedName name="_xlnm.Print_Area" localSheetId="5">Equipment!#REF!</definedName>
    <definedName name="_xlnm.Print_Area" localSheetId="3">'Feats &amp; Spells'!#REF!</definedName>
    <definedName name="_xlnm.Print_Area" localSheetId="4">Martial!#REF!</definedName>
    <definedName name="_xlnm.Print_Area" localSheetId="0">'Personal File'!$A$1:$H$20</definedName>
    <definedName name="_xlnm.Print_Area" localSheetId="1">Skills!$A$1:$K$30</definedName>
    <definedName name="_xlnm.Print_Area" localSheetId="2">Warmage!$A$1:$I$4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4" l="1"/>
  <c r="B15" i="4"/>
  <c r="B14" i="4"/>
  <c r="B13" i="4"/>
  <c r="B12" i="4"/>
  <c r="B11" i="4"/>
  <c r="C44" i="19"/>
  <c r="B44" i="19"/>
  <c r="G11" i="19"/>
  <c r="B8" i="4" l="1"/>
  <c r="B5" i="15"/>
  <c r="M22" i="6" l="1"/>
  <c r="B22" i="6"/>
  <c r="M35" i="6" l="1"/>
  <c r="H9" i="6" l="1"/>
  <c r="I10" i="6"/>
  <c r="M34" i="6" l="1"/>
  <c r="M5" i="20" l="1"/>
  <c r="N5" i="20"/>
  <c r="O5" i="20"/>
  <c r="B4" i="15" l="1"/>
  <c r="B3" i="15"/>
  <c r="H25" i="15"/>
  <c r="C4" i="19" l="1"/>
  <c r="G30" i="6" l="1"/>
  <c r="E10" i="4" l="1"/>
  <c r="H42" i="15" l="1"/>
  <c r="H41" i="15"/>
  <c r="H40" i="15"/>
  <c r="H39" i="15"/>
  <c r="H38" i="15"/>
  <c r="H37" i="15"/>
  <c r="H36" i="15"/>
  <c r="H35" i="15"/>
  <c r="H34" i="15"/>
  <c r="H33" i="15"/>
  <c r="H32" i="15"/>
  <c r="H31" i="15"/>
  <c r="H30" i="15"/>
  <c r="H29" i="15"/>
  <c r="H28" i="15"/>
  <c r="H27" i="15"/>
  <c r="H26" i="15"/>
  <c r="H24" i="15"/>
  <c r="H23" i="15"/>
  <c r="H22" i="15"/>
  <c r="H21" i="15"/>
  <c r="H20" i="15"/>
  <c r="H19" i="15"/>
  <c r="H18" i="15"/>
  <c r="H17" i="15"/>
  <c r="H16" i="15"/>
  <c r="H15" i="15"/>
  <c r="H14" i="15"/>
  <c r="H13" i="15"/>
  <c r="H12" i="15"/>
  <c r="H11" i="15"/>
  <c r="H10" i="15"/>
  <c r="H9" i="15"/>
  <c r="H8" i="15"/>
  <c r="H7" i="15"/>
  <c r="B45" i="15"/>
  <c r="K5" i="20" l="1"/>
  <c r="L5" i="20"/>
  <c r="H43" i="15" l="1"/>
  <c r="C29" i="19" l="1"/>
  <c r="C30" i="19" l="1"/>
  <c r="E12" i="4" s="1"/>
  <c r="M17" i="6" l="1"/>
  <c r="G17" i="6"/>
  <c r="I17" i="6" l="1"/>
  <c r="F5" i="20" l="1"/>
  <c r="G5" i="20"/>
  <c r="H5" i="20"/>
  <c r="I5" i="20"/>
  <c r="J5" i="20"/>
  <c r="F10" i="20"/>
  <c r="H10" i="20" s="1"/>
  <c r="F36" i="15" l="1"/>
  <c r="F23" i="15"/>
  <c r="F21" i="15"/>
  <c r="F16" i="15"/>
  <c r="F9" i="15"/>
  <c r="F7" i="15"/>
  <c r="F29" i="15"/>
  <c r="F42" i="15"/>
  <c r="I15" i="6" l="1"/>
  <c r="I5" i="6"/>
  <c r="I16" i="6" l="1"/>
  <c r="I4" i="6"/>
  <c r="H19" i="6" l="1"/>
  <c r="H8" i="6" l="1"/>
  <c r="I8" i="6"/>
  <c r="G30" i="19" l="1"/>
  <c r="G45" i="19" s="1"/>
  <c r="I9" i="6" l="1"/>
  <c r="J9" i="6" s="1"/>
  <c r="M30" i="6" l="1"/>
  <c r="I14" i="6"/>
  <c r="I18" i="6"/>
  <c r="I11" i="6" l="1"/>
  <c r="I19" i="6" l="1"/>
  <c r="I3" i="6" l="1"/>
  <c r="H6" i="15" l="1"/>
  <c r="J19" i="6" l="1"/>
  <c r="M37" i="6" l="1"/>
  <c r="H4" i="15" l="1"/>
  <c r="H3" i="15"/>
  <c r="G46" i="19" l="1"/>
  <c r="H5" i="15"/>
  <c r="C11" i="4" l="1"/>
  <c r="C8" i="6" l="1"/>
  <c r="C3" i="6"/>
  <c r="C4" i="6"/>
  <c r="C5" i="6"/>
  <c r="J8" i="6"/>
  <c r="H3" i="6"/>
  <c r="H5" i="6" s="1"/>
  <c r="J5" i="6" s="1"/>
  <c r="H11" i="6"/>
  <c r="J11" i="6" s="1"/>
  <c r="D9" i="15"/>
  <c r="C11" i="6"/>
  <c r="J3" i="6" l="1"/>
  <c r="H4" i="6"/>
  <c r="J4" i="6" s="1"/>
  <c r="E9" i="15"/>
  <c r="G9" i="15"/>
  <c r="I9" i="15" s="1"/>
  <c r="C13" i="4"/>
  <c r="E13" i="4" s="1"/>
  <c r="D3" i="15" l="1"/>
  <c r="D10" i="15"/>
  <c r="C12" i="4"/>
  <c r="E14" i="4" s="1"/>
  <c r="C14" i="4"/>
  <c r="C15" i="4"/>
  <c r="D5" i="15" s="1"/>
  <c r="C16" i="4"/>
  <c r="H10" i="6" s="1"/>
  <c r="J10" i="6" s="1"/>
  <c r="E63" i="15" l="1"/>
  <c r="E65" i="15"/>
  <c r="E16" i="4"/>
  <c r="E15" i="4" s="1"/>
  <c r="E64" i="15"/>
  <c r="D25" i="15"/>
  <c r="E62" i="15"/>
  <c r="E61" i="15"/>
  <c r="E60" i="15"/>
  <c r="B9" i="4"/>
  <c r="M6" i="20"/>
  <c r="N6" i="20"/>
  <c r="L6" i="20"/>
  <c r="K6" i="20"/>
  <c r="E59" i="15"/>
  <c r="E58" i="15"/>
  <c r="E57" i="15"/>
  <c r="E56" i="15"/>
  <c r="H6" i="20"/>
  <c r="I6" i="20"/>
  <c r="O6" i="20"/>
  <c r="F6" i="20"/>
  <c r="J6" i="20"/>
  <c r="G6" i="20"/>
  <c r="C18" i="6"/>
  <c r="E55" i="15"/>
  <c r="E53" i="15"/>
  <c r="E52" i="15"/>
  <c r="E54" i="15"/>
  <c r="E48" i="15"/>
  <c r="E51" i="15"/>
  <c r="E47" i="15"/>
  <c r="E50" i="15"/>
  <c r="E46" i="15"/>
  <c r="E49" i="15"/>
  <c r="H18" i="6"/>
  <c r="J18" i="6" s="1"/>
  <c r="H14" i="6"/>
  <c r="D8" i="15"/>
  <c r="D15" i="15"/>
  <c r="D13" i="15"/>
  <c r="G3" i="15"/>
  <c r="I3" i="15" s="1"/>
  <c r="E3" i="15"/>
  <c r="E10" i="15"/>
  <c r="G10" i="15"/>
  <c r="I10" i="15" s="1"/>
  <c r="D4" i="15"/>
  <c r="D7" i="15"/>
  <c r="E5" i="15"/>
  <c r="G5" i="15"/>
  <c r="I5" i="15" s="1"/>
  <c r="D14" i="15"/>
  <c r="D6" i="15"/>
  <c r="D11" i="15"/>
  <c r="D12" i="15"/>
  <c r="D26" i="15"/>
  <c r="D27" i="15"/>
  <c r="H44" i="15"/>
  <c r="E45" i="15" l="1"/>
  <c r="E25" i="15"/>
  <c r="G25" i="15"/>
  <c r="I25" i="15" s="1"/>
  <c r="H16" i="6"/>
  <c r="J16" i="6" s="1"/>
  <c r="H15" i="6"/>
  <c r="J14" i="6"/>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26" i="15"/>
  <c r="G26" i="15"/>
  <c r="E27" i="15"/>
  <c r="G27" i="15"/>
  <c r="J15" i="6" l="1"/>
  <c r="H17" i="6"/>
  <c r="J17" i="6" s="1"/>
  <c r="I27" i="15"/>
  <c r="I26" i="15"/>
  <c r="D32" i="15" l="1"/>
  <c r="E32" i="15" l="1"/>
  <c r="G32" i="15"/>
  <c r="D38" i="15"/>
  <c r="D19" i="15"/>
  <c r="D24" i="15"/>
  <c r="D40" i="15"/>
  <c r="D37" i="15"/>
  <c r="D42" i="15"/>
  <c r="D39" i="15"/>
  <c r="D41" i="15"/>
  <c r="D34" i="15"/>
  <c r="D43" i="15"/>
  <c r="D30" i="15"/>
  <c r="D36" i="15"/>
  <c r="D44" i="15"/>
  <c r="D35" i="15"/>
  <c r="D33" i="15"/>
  <c r="G33" i="15" s="1"/>
  <c r="I33" i="15" s="1"/>
  <c r="D31" i="15"/>
  <c r="D29" i="15"/>
  <c r="D28" i="15"/>
  <c r="D23" i="15"/>
  <c r="D22" i="15"/>
  <c r="D21" i="15"/>
  <c r="D20" i="15"/>
  <c r="D18" i="15"/>
  <c r="D17" i="15"/>
  <c r="D16" i="15"/>
  <c r="I32" i="15" l="1"/>
  <c r="E16" i="15"/>
  <c r="G16" i="15"/>
  <c r="E18" i="15"/>
  <c r="G18" i="15"/>
  <c r="E21" i="15"/>
  <c r="G21" i="15"/>
  <c r="E23" i="15"/>
  <c r="G23" i="15"/>
  <c r="E29" i="15"/>
  <c r="G29" i="15"/>
  <c r="E33" i="15"/>
  <c r="E44" i="15"/>
  <c r="G44" i="15"/>
  <c r="E30" i="15"/>
  <c r="G30" i="15"/>
  <c r="E34" i="15"/>
  <c r="G34" i="15"/>
  <c r="E39" i="15"/>
  <c r="G39" i="15"/>
  <c r="E40" i="15"/>
  <c r="G40" i="15"/>
  <c r="E19" i="15"/>
  <c r="G19" i="15"/>
  <c r="E17" i="15"/>
  <c r="G17" i="15"/>
  <c r="E20" i="15"/>
  <c r="G20" i="15"/>
  <c r="E22" i="15"/>
  <c r="G22" i="15"/>
  <c r="E28" i="15"/>
  <c r="G28" i="15"/>
  <c r="E31" i="15"/>
  <c r="G31" i="15"/>
  <c r="E35" i="15"/>
  <c r="G35" i="15"/>
  <c r="E36" i="15"/>
  <c r="G36" i="15"/>
  <c r="E43" i="15"/>
  <c r="G43" i="15"/>
  <c r="E41" i="15"/>
  <c r="G41" i="15"/>
  <c r="E42" i="15"/>
  <c r="G42" i="15"/>
  <c r="E37" i="15"/>
  <c r="G37" i="15"/>
  <c r="E24" i="15"/>
  <c r="G24" i="15"/>
  <c r="E38" i="15"/>
  <c r="G38" i="15"/>
  <c r="I38" i="15" l="1"/>
  <c r="I24" i="15"/>
  <c r="I37" i="15"/>
  <c r="I42" i="15"/>
  <c r="I41" i="15"/>
  <c r="I43" i="15"/>
  <c r="I36" i="15"/>
  <c r="I35" i="15"/>
  <c r="I31" i="15"/>
  <c r="I28" i="15"/>
  <c r="I22" i="15"/>
  <c r="I20" i="15"/>
  <c r="I17" i="15"/>
  <c r="I19" i="15"/>
  <c r="I40" i="15"/>
  <c r="I39" i="15"/>
  <c r="I34" i="15"/>
  <c r="I30" i="15"/>
  <c r="I44" i="15"/>
  <c r="I29" i="15"/>
  <c r="I23" i="15"/>
  <c r="I21" i="15"/>
  <c r="I18" i="15"/>
  <c r="I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98D95F2E-DE56-44C8-A941-404F27DDC393}">
      <text>
        <r>
          <rPr>
            <i/>
            <sz val="12"/>
            <color indexed="81"/>
            <rFont val="Times New Roman"/>
            <family val="1"/>
          </rPr>
          <t>lion’s roar +1
haste +1</t>
        </r>
      </text>
    </comment>
    <comment ref="B11" authorId="0" shapeId="0" xr:uid="{00000000-0006-0000-0000-000001000000}">
      <text>
        <r>
          <rPr>
            <i/>
            <sz val="12"/>
            <color indexed="81"/>
            <rFont val="Times New Roman"/>
            <family val="1"/>
          </rPr>
          <t>bear’s heart +4
fist of stone +6</t>
        </r>
      </text>
    </comment>
    <comment ref="E11" authorId="0" shapeId="0" xr:uid="{6F524804-6FA8-4E5F-90E8-666D3C18A84C}">
      <text>
        <r>
          <rPr>
            <sz val="12"/>
            <color indexed="81"/>
            <rFont val="Times New Roman"/>
            <family val="1"/>
          </rPr>
          <t>See PHB 162</t>
        </r>
      </text>
    </comment>
    <comment ref="B12" authorId="0" shapeId="0" xr:uid="{00000000-0006-0000-0000-000003000000}">
      <text>
        <r>
          <rPr>
            <sz val="12"/>
            <color indexed="81"/>
            <rFont val="Times New Roman"/>
            <family val="1"/>
          </rPr>
          <t>Gloves of Dexterity +6</t>
        </r>
      </text>
    </comment>
    <comment ref="E12" authorId="0" shapeId="0" xr:uid="{00000000-0006-0000-0000-000004000000}">
      <text>
        <r>
          <rPr>
            <sz val="12"/>
            <color indexed="81"/>
            <rFont val="Times New Roman"/>
            <family val="1"/>
          </rPr>
          <t>Haversack weighs 5 lbs.; included in the formula</t>
        </r>
      </text>
    </comment>
    <comment ref="E13" authorId="0" shapeId="0" xr:uid="{00000000-0006-0000-0000-000005000000}">
      <text>
        <r>
          <rPr>
            <sz val="12"/>
            <color indexed="81"/>
            <rFont val="Times New Roman"/>
            <family val="1"/>
          </rPr>
          <t>[(20 * 6 Warmage) * 75%] + (20 * 1 Con)</t>
        </r>
      </text>
    </comment>
    <comment ref="E14" authorId="0" shapeId="0" xr:uid="{00000000-0006-0000-0000-000006000000}">
      <text>
        <r>
          <rPr>
            <i/>
            <sz val="12"/>
            <color indexed="81"/>
            <rFont val="Times New Roman"/>
            <family val="1"/>
          </rPr>
          <t>+4 shield
+1 haste</t>
        </r>
      </text>
    </comment>
    <comment ref="B16" authorId="0" shapeId="0" xr:uid="{00000000-0006-0000-0000-000007000000}">
      <text>
        <r>
          <rPr>
            <sz val="12"/>
            <color indexed="81"/>
            <rFont val="Times New Roman"/>
            <family val="1"/>
          </rPr>
          <t>Cloak of Charisma +6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Vest of Resistance +3</t>
        </r>
      </text>
    </comment>
    <comment ref="F4" authorId="0" shapeId="0" xr:uid="{9D613B00-F55B-411D-9D2D-A313E98D0B4C}">
      <text>
        <r>
          <rPr>
            <sz val="12"/>
            <color indexed="81"/>
            <rFont val="Times New Roman"/>
            <family val="1"/>
          </rPr>
          <t>Vest of Resistance +3</t>
        </r>
      </text>
    </comment>
    <comment ref="F5" authorId="0" shapeId="0" xr:uid="{90B8B5DA-B18D-4ADF-822F-220F6EA50DC0}">
      <text>
        <r>
          <rPr>
            <sz val="12"/>
            <color indexed="81"/>
            <rFont val="Times New Roman"/>
            <family val="1"/>
          </rPr>
          <t>Vest of Resistance +3</t>
        </r>
      </text>
    </comment>
    <comment ref="F7" authorId="0" shapeId="0" xr:uid="{00000000-0006-0000-0100-000004000000}">
      <text>
        <r>
          <rPr>
            <sz val="12"/>
            <color indexed="81"/>
            <rFont val="Times New Roman"/>
            <family val="1"/>
          </rPr>
          <t>Armor Penalty</t>
        </r>
      </text>
    </comment>
    <comment ref="F8" authorId="0" shapeId="0" xr:uid="{F6FB13FB-D38F-4A21-87BC-35DD54EB5576}">
      <text>
        <r>
          <rPr>
            <sz val="12"/>
            <color indexed="81"/>
            <rFont val="Times New Roman"/>
            <family val="1"/>
          </rPr>
          <t>Jungle Half-elf +2</t>
        </r>
      </text>
    </comment>
    <comment ref="F9" authorId="0" shapeId="0" xr:uid="{00000000-0006-0000-0100-000005000000}">
      <text>
        <r>
          <rPr>
            <sz val="12"/>
            <color indexed="81"/>
            <rFont val="Times New Roman"/>
            <family val="1"/>
          </rPr>
          <t>Armor Penalty</t>
        </r>
      </text>
    </comment>
    <comment ref="F10" authorId="0" shapeId="0" xr:uid="{00000000-0006-0000-0100-000006000000}">
      <text>
        <r>
          <rPr>
            <sz val="12"/>
            <color indexed="81"/>
            <rFont val="Times New Roman"/>
            <family val="1"/>
          </rPr>
          <t>Circlet of Mages +2</t>
        </r>
      </text>
    </comment>
    <comment ref="F13" authorId="0" shapeId="0" xr:uid="{68E9E8BD-EC75-4865-A9F3-3A6D7016BDAB}">
      <text>
        <r>
          <rPr>
            <sz val="12"/>
            <color indexed="81"/>
            <rFont val="Times New Roman"/>
            <family val="1"/>
          </rPr>
          <t>Jungle Half-elf +2</t>
        </r>
      </text>
    </comment>
    <comment ref="F16" authorId="0" shapeId="0" xr:uid="{00000000-0006-0000-0100-000007000000}">
      <text>
        <r>
          <rPr>
            <sz val="12"/>
            <color indexed="81"/>
            <rFont val="Times New Roman"/>
            <family val="1"/>
          </rPr>
          <t>Armor Penalty</t>
        </r>
      </text>
    </comment>
    <comment ref="F18" authorId="0" shapeId="0" xr:uid="{31139FAB-EEE9-4125-8E85-087F337A4BD6}">
      <text>
        <r>
          <rPr>
            <sz val="12"/>
            <color indexed="81"/>
            <rFont val="Times New Roman"/>
            <family val="1"/>
          </rPr>
          <t>Jungle Half-elf +2</t>
        </r>
      </text>
    </comment>
    <comment ref="F21" authorId="0" shapeId="0" xr:uid="{00000000-0006-0000-0100-000008000000}">
      <text>
        <r>
          <rPr>
            <sz val="12"/>
            <color indexed="81"/>
            <rFont val="Times New Roman"/>
            <family val="1"/>
          </rPr>
          <t>Armor Penalty</t>
        </r>
      </text>
    </comment>
    <comment ref="F23" authorId="0" shapeId="0" xr:uid="{00000000-0006-0000-0100-000009000000}">
      <text>
        <r>
          <rPr>
            <sz val="12"/>
            <color indexed="81"/>
            <rFont val="Times New Roman"/>
            <family val="1"/>
          </rPr>
          <t>Armor Penalty</t>
        </r>
      </text>
    </comment>
    <comment ref="F28" authorId="0" shapeId="0" xr:uid="{902373CF-BC11-4207-B3D4-6CAC0A0B3519}">
      <text>
        <r>
          <rPr>
            <sz val="12"/>
            <color indexed="81"/>
            <rFont val="Times New Roman"/>
            <family val="1"/>
          </rPr>
          <t>Jungle Half-elf +1</t>
        </r>
      </text>
    </comment>
    <comment ref="F29" authorId="0" shapeId="0" xr:uid="{00000000-0006-0000-0100-00000A000000}">
      <text>
        <r>
          <rPr>
            <sz val="12"/>
            <color indexed="81"/>
            <rFont val="Times New Roman"/>
            <family val="1"/>
          </rPr>
          <t>Armor Penalty</t>
        </r>
      </text>
    </comment>
    <comment ref="F34" authorId="0" shapeId="0" xr:uid="{ABF559CD-9066-4E1C-AE8C-47AB9554368F}">
      <text>
        <r>
          <rPr>
            <sz val="12"/>
            <color indexed="81"/>
            <rFont val="Times New Roman"/>
            <family val="1"/>
          </rPr>
          <t>Jungle Half-elf +1</t>
        </r>
      </text>
    </comment>
    <comment ref="F35" authorId="0" shapeId="0" xr:uid="{6CAA0AA8-8851-4EB4-B534-300A2B2FCC2F}">
      <text>
        <r>
          <rPr>
            <sz val="12"/>
            <color indexed="81"/>
            <rFont val="Times New Roman"/>
            <family val="1"/>
          </rPr>
          <t>Jungle Half-elf +2</t>
        </r>
      </text>
    </comment>
    <comment ref="F36" authorId="0" shapeId="0" xr:uid="{00000000-0006-0000-0100-00000B000000}">
      <text>
        <r>
          <rPr>
            <sz val="12"/>
            <color indexed="81"/>
            <rFont val="Times New Roman"/>
            <family val="1"/>
          </rPr>
          <t>Armor Penalty</t>
        </r>
      </text>
    </comment>
    <comment ref="F39" authorId="0" shapeId="0" xr:uid="{F3987C35-61B4-4364-829F-72A320334984}">
      <text>
        <r>
          <rPr>
            <sz val="12"/>
            <color indexed="81"/>
            <rFont val="Times New Roman"/>
            <family val="1"/>
          </rPr>
          <t>Jungle Half-elf +1</t>
        </r>
      </text>
    </comment>
    <comment ref="F41" authorId="0" shapeId="0" xr:uid="{00000000-0006-0000-0100-00000C000000}">
      <text>
        <r>
          <rPr>
            <sz val="12"/>
            <color indexed="81"/>
            <rFont val="Times New Roman"/>
            <family val="1"/>
          </rPr>
          <t>Armor Penalty</t>
        </r>
      </text>
    </comment>
    <comment ref="F42" authorId="0" shapeId="0" xr:uid="{00000000-0006-0000-0100-00000D000000}">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Phosphorescent moss</t>
        </r>
      </text>
    </comment>
    <comment ref="D7" authorId="0" shapeId="0" xr:uid="{00000000-0006-0000-0200-000002000000}">
      <text>
        <r>
          <rPr>
            <sz val="12"/>
            <color indexed="81"/>
            <rFont val="Times New Roman"/>
            <family val="1"/>
          </rPr>
          <t>Ink and weapon of choice</t>
        </r>
      </text>
    </comment>
    <comment ref="D10" authorId="0" shapeId="0" xr:uid="{00000000-0006-0000-0200-000003000000}">
      <text>
        <r>
          <rPr>
            <sz val="12"/>
            <color indexed="81"/>
            <rFont val="Times New Roman"/>
            <family val="1"/>
          </rPr>
          <t>pebble incribed with a sytlized fist</t>
        </r>
      </text>
    </comment>
    <comment ref="D11" authorId="0" shapeId="0" xr:uid="{00000000-0006-0000-0200-000004000000}">
      <text>
        <r>
          <rPr>
            <sz val="12"/>
            <color indexed="81"/>
            <rFont val="Times New Roman"/>
            <family val="1"/>
          </rPr>
          <t>5 GP worth of jade</t>
        </r>
      </text>
    </comment>
    <comment ref="D12" authorId="0" shapeId="0" xr:uid="{43B292D1-EBFD-441E-9E75-71560ABF138B}">
      <text>
        <r>
          <rPr>
            <sz val="12"/>
            <color indexed="81"/>
            <rFont val="Times New Roman"/>
            <family val="1"/>
          </rPr>
          <t>Cured leather</t>
        </r>
      </text>
    </comment>
    <comment ref="D22" authorId="0" shapeId="0" xr:uid="{00000000-0006-0000-0200-000005000000}">
      <text>
        <r>
          <rPr>
            <sz val="12"/>
            <color indexed="81"/>
            <rFont val="Times New Roman"/>
            <family val="1"/>
          </rPr>
          <t>Phosphorous, sulfur, or other combustible powder</t>
        </r>
      </text>
    </comment>
    <comment ref="D23" authorId="0" shapeId="0" xr:uid="{00000000-0006-0000-0200-000006000000}">
      <text>
        <r>
          <rPr>
            <sz val="12"/>
            <color indexed="81"/>
            <rFont val="Times New Roman"/>
            <family val="1"/>
          </rPr>
          <t>½ lb. gold dust
(25-GP value)</t>
        </r>
      </text>
    </comment>
    <comment ref="D24" authorId="0" shapeId="0" xr:uid="{00000000-0006-0000-0200-000007000000}">
      <text>
        <r>
          <rPr>
            <sz val="12"/>
            <color indexed="81"/>
            <rFont val="Times New Roman"/>
            <family val="1"/>
          </rPr>
          <t>bit of sulfur</t>
        </r>
      </text>
    </comment>
    <comment ref="D25" authorId="0" shapeId="0" xr:uid="{00000000-0006-0000-0200-000008000000}">
      <text>
        <r>
          <rPr>
            <sz val="12"/>
            <color indexed="81"/>
            <rFont val="Times New Roman"/>
            <family val="1"/>
          </rPr>
          <t>tallow, bringstone, powdered iron</t>
        </r>
      </text>
    </comment>
    <comment ref="D27" authorId="0" shapeId="0" xr:uid="{00000000-0006-0000-0200-000009000000}">
      <text>
        <r>
          <rPr>
            <sz val="12"/>
            <color indexed="81"/>
            <rFont val="Times New Roman"/>
            <family val="1"/>
          </rPr>
          <t>drop of water or piece of ice</t>
        </r>
      </text>
    </comment>
    <comment ref="D28" authorId="0" shapeId="0" xr:uid="{00000000-0006-0000-0200-00000A000000}">
      <text>
        <r>
          <rPr>
            <sz val="12"/>
            <color indexed="81"/>
            <rFont val="Times New Roman"/>
            <family val="1"/>
          </rPr>
          <t>Powdered rhubarb leaf and adder's stomach</t>
        </r>
      </text>
    </comment>
    <comment ref="D29" authorId="0" shapeId="0" xr:uid="{00000000-0006-0000-0200-00000B000000}">
      <text>
        <r>
          <rPr>
            <sz val="12"/>
            <color indexed="81"/>
            <rFont val="Times New Roman"/>
            <family val="1"/>
          </rPr>
          <t>Fire source</t>
        </r>
      </text>
    </comment>
    <comment ref="D31" authorId="0" shapeId="0" xr:uid="{00000000-0006-0000-0200-00000C000000}">
      <text/>
    </comment>
    <comment ref="D33" authorId="0" shapeId="0" xr:uid="{00000000-0006-0000-0200-000015000000}">
      <text>
        <r>
          <rPr>
            <sz val="12"/>
            <color indexed="81"/>
            <rFont val="Times New Roman"/>
            <family val="1"/>
          </rPr>
          <t>piece of coal and dried eyeball of any creature</t>
        </r>
      </text>
    </comment>
    <comment ref="D34" authorId="0" shapeId="0" xr:uid="{00000000-0006-0000-0200-00000D000000}">
      <text>
        <r>
          <rPr>
            <sz val="12"/>
            <color indexed="81"/>
            <rFont val="Times New Roman"/>
            <family val="1"/>
          </rPr>
          <t>phosphorous (warm) or glowworm (chill)</t>
        </r>
      </text>
    </comment>
    <comment ref="D35" authorId="0" shapeId="0" xr:uid="{00000000-0006-0000-0200-00000E000000}">
      <text>
        <r>
          <rPr>
            <sz val="12"/>
            <color indexed="81"/>
            <rFont val="Times New Roman"/>
            <family val="1"/>
          </rPr>
          <t>Bat guano &amp; sulfur</t>
        </r>
      </text>
    </comment>
    <comment ref="D36" authorId="0" shapeId="0" xr:uid="{00000000-0006-0000-0200-00000F000000}">
      <text>
        <r>
          <rPr>
            <sz val="12"/>
            <color indexed="81"/>
            <rFont val="Times New Roman"/>
            <family val="1"/>
          </rPr>
          <t>Bat guano &amp; sulfur</t>
        </r>
      </text>
    </comment>
    <comment ref="D38" authorId="0" shapeId="0" xr:uid="{00000000-0006-0000-0200-000010000000}">
      <text>
        <r>
          <rPr>
            <sz val="12"/>
            <color indexed="81"/>
            <rFont val="Times New Roman"/>
            <family val="1"/>
          </rPr>
          <t>pinch of dust &amp; a few drops of water</t>
        </r>
      </text>
    </comment>
    <comment ref="D39" authorId="0" shapeId="0" xr:uid="{00000000-0006-0000-0200-000011000000}">
      <text>
        <r>
          <rPr>
            <sz val="12"/>
            <color indexed="81"/>
            <rFont val="Times New Roman"/>
            <family val="1"/>
          </rPr>
          <t>Fur AND rod of amber or crystal</t>
        </r>
      </text>
    </comment>
    <comment ref="D41" authorId="0" shapeId="0" xr:uid="{00000000-0006-0000-0200-000012000000}">
      <text>
        <r>
          <rPr>
            <sz val="12"/>
            <color indexed="81"/>
            <rFont val="Times New Roman"/>
            <family val="1"/>
          </rPr>
          <t>small dagger</t>
        </r>
      </text>
    </comment>
    <comment ref="D42" authorId="0" shapeId="0" xr:uid="{00000000-0006-0000-0200-000013000000}">
      <text>
        <r>
          <rPr>
            <sz val="12"/>
            <color indexed="81"/>
            <rFont val="Times New Roman"/>
            <family val="1"/>
          </rPr>
          <t>pinch of dust &amp; few drops of water</t>
        </r>
      </text>
    </comment>
    <comment ref="D43" authorId="0" shapeId="0" xr:uid="{00000000-0006-0000-0200-000014000000}">
      <text>
        <r>
          <rPr>
            <sz val="12"/>
            <color indexed="81"/>
            <rFont val="Times New Roman"/>
            <family val="1"/>
          </rPr>
          <t>rotten egg or skunk cabbage leaves</t>
        </r>
      </text>
    </comment>
    <comment ref="D57" authorId="0" shapeId="0" xr:uid="{00000000-0006-0000-0200-000016000000}">
      <text>
        <r>
          <rPr>
            <sz val="12"/>
            <color indexed="81"/>
            <rFont val="Times New Roman"/>
            <family val="1"/>
          </rPr>
          <t>two small iron rods</t>
        </r>
      </text>
    </comment>
    <comment ref="D59" authorId="0" shapeId="0" xr:uid="{00000000-0006-0000-0200-000017000000}">
      <text>
        <r>
          <rPr>
            <sz val="12"/>
            <color indexed="81"/>
            <rFont val="Times New Roman"/>
            <family val="1"/>
          </rPr>
          <t>pebble found in a node</t>
        </r>
      </text>
    </comment>
    <comment ref="D60" authorId="0" shapeId="0" xr:uid="{00000000-0006-0000-0200-000018000000}">
      <text>
        <r>
          <rPr>
            <sz val="12"/>
            <color indexed="81"/>
            <rFont val="Times New Roman"/>
            <family val="1"/>
          </rPr>
          <t>bone from fiendish creature</t>
        </r>
      </text>
    </comment>
    <comment ref="D61" authorId="0" shapeId="0" xr:uid="{00000000-0006-0000-0200-000019000000}">
      <text>
        <r>
          <rPr>
            <sz val="12"/>
            <color indexed="81"/>
            <rFont val="Times New Roman"/>
            <family val="1"/>
          </rPr>
          <t>bit of sulfur</t>
        </r>
      </text>
    </comment>
    <comment ref="D63" authorId="0" shapeId="0" xr:uid="{00000000-0006-0000-0200-00001A000000}">
      <text>
        <r>
          <rPr>
            <sz val="12"/>
            <color indexed="81"/>
            <rFont val="Times New Roman"/>
            <family val="1"/>
          </rPr>
          <t>A pinch of dried, powdered peas combined with powdered animal hoof.</t>
        </r>
      </text>
    </comment>
    <comment ref="D65" authorId="0" shapeId="0" xr:uid="{00000000-0006-0000-0200-00001B000000}">
      <text>
        <r>
          <rPr>
            <sz val="12"/>
            <color indexed="81"/>
            <rFont val="Times New Roman"/>
            <family val="1"/>
          </rPr>
          <t>Fur, amber, and glass</t>
        </r>
      </text>
    </comment>
    <comment ref="D66" authorId="0" shapeId="0" xr:uid="{00000000-0006-0000-0200-00001C000000}">
      <text>
        <r>
          <rPr>
            <sz val="12"/>
            <color indexed="81"/>
            <rFont val="Times New Roman"/>
            <family val="1"/>
          </rPr>
          <t>crushed black pearl</t>
        </r>
      </text>
    </comment>
    <comment ref="D67" authorId="0" shapeId="0" xr:uid="{00000000-0006-0000-0200-00001D000000}">
      <text>
        <r>
          <rPr>
            <sz val="12"/>
            <rFont val="Times New Roman"/>
            <family val="1"/>
          </rPr>
          <t>lodestone and dust</t>
        </r>
      </text>
    </comment>
    <comment ref="D68" authorId="0" shapeId="0" xr:uid="{00000000-0006-0000-0200-00001E000000}">
      <text>
        <r>
          <rPr>
            <sz val="12"/>
            <color indexed="81"/>
            <rFont val="Times New Roman"/>
            <family val="1"/>
          </rPr>
          <t>Acorns or holly berries</t>
        </r>
      </text>
    </comment>
    <comment ref="D70" authorId="0" shapeId="0" xr:uid="{00000000-0006-0000-0200-00001F000000}">
      <text>
        <r>
          <rPr>
            <sz val="12"/>
            <color indexed="81"/>
            <rFont val="Times New Roman"/>
            <family val="1"/>
          </rPr>
          <t xml:space="preserve">Potion of </t>
        </r>
        <r>
          <rPr>
            <i/>
            <sz val="12"/>
            <color indexed="81"/>
            <rFont val="Times New Roman"/>
            <family val="1"/>
          </rPr>
          <t>bull’s strength</t>
        </r>
      </text>
    </comment>
    <comment ref="D71" authorId="0" shapeId="0" xr:uid="{00000000-0006-0000-0200-000020000000}">
      <text>
        <r>
          <rPr>
            <sz val="12"/>
            <color indexed="81"/>
            <rFont val="Times New Roman"/>
            <family val="1"/>
          </rPr>
          <t>Bat guano &amp; sulfur</t>
        </r>
      </text>
    </comment>
    <comment ref="D79" authorId="0" shapeId="0" xr:uid="{53F2EAA1-1632-4094-A082-EFC15C3382DF}">
      <text>
        <r>
          <rPr>
            <sz val="12"/>
            <color indexed="81"/>
            <rFont val="Times New Roman"/>
            <family val="1"/>
          </rPr>
          <t>Sponge</t>
        </r>
      </text>
    </comment>
    <comment ref="D83" authorId="0" shapeId="0" xr:uid="{633D2807-ED4F-49E1-B3F7-3024EF8E5B9E}">
      <text>
        <r>
          <rPr>
            <sz val="12"/>
            <color indexed="81"/>
            <rFont val="Times New Roman"/>
            <family val="1"/>
          </rPr>
          <t>Small crystal
prism</t>
        </r>
      </text>
    </comment>
    <comment ref="D85" authorId="0" shapeId="0" xr:uid="{E573C0FC-B5AA-4DA1-9E90-07FCD3D68FAC}">
      <text>
        <r>
          <rPr>
            <sz val="12"/>
            <color indexed="81"/>
            <rFont val="Times New Roman"/>
            <family val="1"/>
          </rPr>
          <t>Sunstone and flame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300-000001000000}">
      <text>
        <r>
          <rPr>
            <sz val="12"/>
            <color indexed="81"/>
            <rFont val="Times New Roman"/>
            <family val="1"/>
          </rPr>
          <t xml:space="preserve">You can cast spells without material components.
</t>
        </r>
        <r>
          <rPr>
            <b/>
            <sz val="12"/>
            <color indexed="81"/>
            <rFont val="Times New Roman"/>
            <family val="1"/>
          </rPr>
          <t xml:space="preserve">Prerequisite:  </t>
        </r>
        <r>
          <rPr>
            <sz val="12"/>
            <color indexed="81"/>
            <rFont val="Times New Roman"/>
            <family val="1"/>
          </rPr>
          <t xml:space="preserve">Any other metamagic feat.
</t>
        </r>
        <r>
          <rPr>
            <b/>
            <sz val="12"/>
            <color indexed="81"/>
            <rFont val="Times New Roman"/>
            <family val="1"/>
          </rPr>
          <t xml:space="preserve">Benefit:  </t>
        </r>
        <r>
          <rPr>
            <sz val="12"/>
            <color indexed="81"/>
            <rFont val="Times New Roman"/>
            <family val="1"/>
          </rPr>
          <t>A spell cast with Eschew Materials can be cast with no material components.  Spells without material compoentns are not affected.  Spells with material components with a gp cost of more than 1 gp are not affected.  An eschewed spell uses up a spell slot of the spell's normal level.
FR ~ Faiths and Pantheons 214</t>
        </r>
      </text>
    </comment>
    <comment ref="A3" authorId="0" shapeId="0" xr:uid="{00000000-0006-0000-0300-000003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K4" authorId="0" shapeId="0" xr:uid="{00000000-0006-0000-0300-000004000000}">
      <text>
        <r>
          <rPr>
            <sz val="12"/>
            <color indexed="81"/>
            <rFont val="Times New Roman"/>
            <family val="1"/>
          </rPr>
          <t>Cloak of Charisma +6</t>
        </r>
      </text>
    </comment>
    <comment ref="L4" authorId="0" shapeId="0" xr:uid="{00000000-0006-0000-0300-000005000000}">
      <text>
        <r>
          <rPr>
            <sz val="12"/>
            <color indexed="81"/>
            <rFont val="Times New Roman"/>
            <family val="1"/>
          </rPr>
          <t>Cloak of Charisma +6</t>
        </r>
      </text>
    </comment>
    <comment ref="M4" authorId="0" shapeId="0" xr:uid="{00000000-0006-0000-0300-000006000000}">
      <text>
        <r>
          <rPr>
            <sz val="12"/>
            <color indexed="81"/>
            <rFont val="Times New Roman"/>
            <family val="1"/>
          </rPr>
          <t>Cloak of Charisma +6</t>
        </r>
      </text>
    </comment>
    <comment ref="C7" authorId="0" shapeId="0" xr:uid="{00000000-0006-0000-0300-00000B000000}">
      <text>
        <r>
          <rPr>
            <sz val="12"/>
            <color indexed="81"/>
            <rFont val="Times New Roman"/>
            <family val="1"/>
          </rPr>
          <t xml:space="preserve">At 7th level, a warmage gains Sudden Empower (described in Chapter 3) as a bonus feat.  If he already has the feat, he can choose a different metamagic feat.
Complete Arcane 14
~*~
You can cast a spell to greater effect without special preparation.
</t>
        </r>
        <r>
          <rPr>
            <b/>
            <sz val="12"/>
            <color indexed="81"/>
            <rFont val="Times New Roman"/>
            <family val="1"/>
          </rPr>
          <t xml:space="preserve">Prerequisite:  </t>
        </r>
        <r>
          <rPr>
            <sz val="12"/>
            <color indexed="81"/>
            <rFont val="Times New Roman"/>
            <family val="1"/>
          </rPr>
          <t xml:space="preserve">Any metamagic feat.
</t>
        </r>
        <r>
          <rPr>
            <b/>
            <sz val="12"/>
            <color indexed="81"/>
            <rFont val="Times New Roman"/>
            <family val="1"/>
          </rPr>
          <t xml:space="preserve">Benefit:  </t>
        </r>
        <r>
          <rPr>
            <sz val="12"/>
            <color indexed="81"/>
            <rFont val="Times New Roman"/>
            <family val="1"/>
          </rPr>
          <t>Once per day, you can apply the effect of the Empower Spell feat to any spell you cast without increasing the level of the spell or specially preparing it ahead of time.
You can still use Empower Spell normally if you have it.
Complete Arcane 83</t>
        </r>
      </text>
    </comment>
    <comment ref="C8" authorId="0" shapeId="0" xr:uid="{00000000-0006-0000-0300-00000A000000}">
      <text>
        <r>
          <rPr>
            <sz val="12"/>
            <color indexed="81"/>
            <rFont val="Times New Roman"/>
            <family val="1"/>
          </rPr>
          <t xml:space="preserve">At 10th level, a warmage gains Sudden Enlarge (described in Chapter 3) as a bonus feat.  If he already has the feat, he can choose a different metamagic feat.
Complete Arcane 14
~*~
</t>
        </r>
        <r>
          <rPr>
            <b/>
            <sz val="12"/>
            <color indexed="81"/>
            <rFont val="Times New Roman"/>
            <family val="1"/>
          </rPr>
          <t xml:space="preserve">Prerequisite:  </t>
        </r>
        <r>
          <rPr>
            <sz val="12"/>
            <color indexed="81"/>
            <rFont val="Times New Roman"/>
            <family val="1"/>
          </rPr>
          <t xml:space="preserve">Any metamagic feat.
</t>
        </r>
        <r>
          <rPr>
            <b/>
            <sz val="12"/>
            <color indexed="81"/>
            <rFont val="Times New Roman"/>
            <family val="1"/>
          </rPr>
          <t xml:space="preserve">Benefit:  </t>
        </r>
        <r>
          <rPr>
            <sz val="12"/>
            <color indexed="81"/>
            <rFont val="Times New Roman"/>
            <family val="1"/>
          </rPr>
          <t>Once per day, you can apply the effect of the Enlarge Spell feat to any spell you cast without increasing the level of the spell or specially preparing it ahead of time.
You can still use Enlarge Spell normally if you have it.
Conjecture from other Sudden feats in Complete Arcane</t>
        </r>
      </text>
    </comment>
    <comment ref="C10" authorId="0" shapeId="0" xr:uid="{00000000-0006-0000-0300-000009000000}">
      <text>
        <r>
          <rPr>
            <sz val="12"/>
            <color indexed="81"/>
            <rFont val="Times New Roman"/>
            <family val="1"/>
          </rPr>
          <t>A warmage is specialized in dealing damage with his spells.  Whenever a warmage casts a spell that deals hit point damage, he adds his Intelligence bonus (if any) to the amount of damage dealt.  For instance, if a 1st-level warmage with 17 Intelligence casts magic missile, he deals 1d4+1 points of damage normally, plus an extra 3 points of damage due to his Intelligence bonus.  The bonus from the warmage edge special ability applies only to spells that he casts as a warmage, not to those he might have by virtue of levels in another class.
A single spell can never gain this extra damage more than once per casting.  For instance, a fireball deals the extra damage to all creatures in the area it affects.  However, if a 3rd-level warmage casts magic missile and produces two missiles, only one of them (of the warmage’s choice) gains the extra damage, even if both missiles are directed at the same target.  If a spell deals damage for more than 1 round, it deals this extra damage in each round.
Scrolls scribed by a warmage do not gain any benefit from warmage edge.  Scrolls activated by a warmage also gain no benefit from warmage edge.  The same is true for most other magic items, such as wands and potions.  However, staffs activated by a warmage use not only the warmage’s caster level but also gain the benefits of the warmage edge, if applicable.
Complete Arcane 13</t>
        </r>
      </text>
    </comment>
    <comment ref="C11" authorId="0" shapeId="0" xr:uid="{071CE7A2-6593-49CD-A429-9B86B4ADACE8}">
      <text>
        <r>
          <rPr>
            <sz val="12"/>
            <color indexed="81"/>
            <rFont val="Times New Roman"/>
            <family val="1"/>
          </rPr>
          <t>A warmage is specialized in dealing damage with his spells.  Whenever a warmage casts a spell that deals hit point damage, he adds his Intelligence bonus (if any) to the amount of damage dealt.  For instance, if a 1st-level warmage with 17 Intelligence casts magic missile, he deals 1d4+1 points of damage normally, plus an extra 3 points of damage due to his Intelligence bonus.  The bonus from the warmage edge special ability applies only to spells that he casts as a warmage, not to those he might have by virtue of levels in another class.
A single spell can never gain this extra damage more than once per casting.  For instance, a fireball deals the extra damage to all creatures in the area it affects.  However, if a 3rd-level warmage casts magic missile and produces two missiles, only one of them (of the warmage’s choice) gains the extra damage, even if both missiles are directed at the same target.  If a spell deals damage for more than 1 round, it deals this extra damage in each round.
Scrolls scribed by a warmage do not gain any benefit from warmage edge.  Scrolls activated by a warmage also gain no benefit from warmage edge.  The same is true for most other magic items, such as wands and potions.  However, staffs activated by a warmage use not only the warmage’s caster level but also gain the benefits of the warmage edge, if applicable.
Complete Arcane 13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7" authorId="0" shapeId="0" xr:uid="{6BEFA4C1-18A4-42D1-BEA5-DA818C3390AF}">
      <text>
        <r>
          <rPr>
            <b/>
            <sz val="12"/>
            <color indexed="81"/>
            <rFont val="Times New Roman"/>
            <family val="1"/>
          </rPr>
          <t xml:space="preserve">Price (Item Level):  </t>
        </r>
        <r>
          <rPr>
            <sz val="12"/>
            <color indexed="81"/>
            <rFont val="Times New Roman"/>
            <family val="1"/>
          </rPr>
          <t xml:space="preserve">1,000 gp (4th) (least); 5,000 gp (9th) (lesser); 10,000 gp (12th)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amethyst is carved in the shape of a humanoid skull.
Clerics craft truedeath crystals to aid themselves and others in sending undead to their final rest.
Least: A weapon with this crystal attached deals an extra 1d6 points of damage to undead.
Lesser: As the least crystal, and the weapon also functions as a ghost touch weapon (DMG 224).
Greater: As the lesser crystal, and the weapon can deliver sneak attacks and critical hits against undead as if they were living creatures.
MIC 66</t>
        </r>
      </text>
    </comment>
    <comment ref="C18" authorId="0" shapeId="0" xr:uid="{00000000-0006-0000-0400-000001000000}">
      <text>
        <r>
          <rPr>
            <sz val="12"/>
            <color indexed="81"/>
            <rFont val="Times New Roman"/>
            <family val="1"/>
          </rPr>
          <t>A warmage is specialized in dealing damage with his spells.  Whenever a warmage casts a spell that deals hit point damage, he adds his Intelligence bonus (if any) to the amount of damage dealt.  For instance, if a 1st-level warmage with 17 Intelligence casts magic missile, he deals 1d4+1 points of damage normally, plus an extra 3 points of damage due to his Intelligence bonus.  The bonus from the warmage edge special ability applies only to spells that he casts as a warmage, not to those he might have by virtue of levels in another class.
A single spell can never gain this extra damage more than once per casting.  For instance, a fireball deals the extra damage to all creatures in the area it affects.  However, if a 3rd-level warmage casts magic missile and produces two missiles, only one of them (of the warmage’s choice) gains the extra damage, even if both missiles are directed at the same target.  If a spell deals damage for more than 1 round, it deals this extra damage in each round.
Scrolls scribed by a warmage do not gain any benefit from warmage edge.  Scrolls activated by a warmage also gain no benefit from warmage edge.  The same is true for most other magic items, such as wands and potions.  However, staffs activated by a warmage use not only the warmage’s caster level but also gain the benefits of the warmage edge, if applicable.
Complete Arcane 13</t>
        </r>
      </text>
    </comment>
    <comment ref="D18" authorId="0" shapeId="0" xr:uid="{00000000-0006-0000-0400-000002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D21" authorId="0" shapeId="0" xr:uid="{00000000-0006-0000-0400-000003000000}">
      <text>
        <r>
          <rPr>
            <sz val="12"/>
            <color indexed="81"/>
            <rFont val="Times New Roman"/>
            <family val="1"/>
          </rPr>
          <t>Balance, Climb, Escape Artist, Hide, Jump, Move Silently, Sleight of Hand, Tumble.</t>
        </r>
      </text>
    </comment>
    <comment ref="A22" authorId="0" shapeId="0" xr:uid="{15CD1F54-AFA7-437E-8EE7-266903CD79DF}">
      <text>
        <r>
          <rPr>
            <b/>
            <sz val="12"/>
            <color indexed="81"/>
            <rFont val="Times New Roman"/>
            <family val="1"/>
          </rPr>
          <t xml:space="preserve">Mindarmor
Price: </t>
        </r>
        <r>
          <rPr>
            <sz val="12"/>
            <color indexed="81"/>
            <rFont val="Times New Roman"/>
            <family val="1"/>
          </rPr>
          <t xml:space="preserve">+3,000 gp
</t>
        </r>
        <r>
          <rPr>
            <b/>
            <sz val="12"/>
            <color indexed="81"/>
            <rFont val="Times New Roman"/>
            <family val="1"/>
          </rPr>
          <t xml:space="preserve">Property: </t>
        </r>
        <r>
          <rPr>
            <sz val="12"/>
            <color indexed="81"/>
            <rFont val="Times New Roman"/>
            <family val="1"/>
          </rPr>
          <t xml:space="preserve">Armor or shield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Immediate (mental)
Constructed of seamless and tightly bound layers, this item steadies your thoughts when worn.
When activated, a suit of armor or a shield that has this property grants you a +5 bonus on Will saves to resist mind-affecting spells and abilities until the start of your next turn.
The mindarmor property functions three times per day.
MIC 13
</t>
        </r>
        <r>
          <rPr>
            <b/>
            <sz val="12"/>
            <color indexed="81"/>
            <rFont val="Times New Roman"/>
            <family val="1"/>
          </rPr>
          <t xml:space="preserve">Soulfire:  </t>
        </r>
        <r>
          <rPr>
            <sz val="12"/>
            <color indexed="81"/>
            <rFont val="Times New Roman"/>
            <family val="1"/>
          </rPr>
          <t>This armor’s wearer is immune to all death spells, magical death effects, and energy drain, and any negative energy effects (such as from chill touch or inflict spells).
BoED 112</t>
        </r>
      </text>
    </comment>
    <comment ref="A24" authorId="0" shapeId="0" xr:uid="{73B9B3ED-CA4D-4DB6-9A1A-0604DBBD933A}">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7" authorId="0" shapeId="0" xr:uid="{B1CC9F97-EE53-4679-83F9-421889898289}">
      <text>
        <r>
          <rPr>
            <sz val="12"/>
            <color indexed="81"/>
            <rFont val="Times New Roman"/>
            <family val="1"/>
          </rPr>
          <t>This rod is a flat iron bar with a small button on one end.  When the button is pushed (a move action), the rod does not move from where it is, even if staying in place defies gravity.
Thus, the owner can lift or place the rod wherever he wishes, push the button, and let go.  Adventurers have found the immovable rod useful for holding ropes, barring doors, and all sorts of other utilitarian tasks.  Many adventurers have found it useful to have more than one. Several immovable rods can even make a ladder when used together (although only two are needed).  An immovable rod can support up to 8,000 pounds before falling to the ground.  If a creature pushes against an immovable rod, it must make a DC 30 Strength check to move the rod up to 10 feet in a single round.
DMG 234</t>
        </r>
      </text>
    </comment>
    <comment ref="A8" authorId="0" shapeId="0" xr:uid="{71EFF8DF-10B1-4E98-8C8A-9ED5722B25EB}">
      <text>
        <r>
          <rPr>
            <b/>
            <sz val="12"/>
            <color indexed="81"/>
            <rFont val="Times New Roman"/>
            <family val="1"/>
          </rPr>
          <t xml:space="preserve">Price (Item Level): </t>
        </r>
        <r>
          <rPr>
            <sz val="12"/>
            <color indexed="81"/>
            <rFont val="Times New Roman"/>
            <family val="1"/>
          </rPr>
          <t xml:space="preserve">10,000 gp (12th)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abjuration
</t>
        </r>
        <r>
          <rPr>
            <b/>
            <sz val="12"/>
            <color indexed="81"/>
            <rFont val="Times New Roman"/>
            <family val="1"/>
          </rPr>
          <t xml:space="preserve">Activation: </t>
        </r>
        <r>
          <rPr>
            <sz val="12"/>
            <color indexed="81"/>
            <rFont val="Times New Roman"/>
            <family val="1"/>
          </rPr>
          <t xml:space="preserve">Standard (command) and —
</t>
        </r>
        <r>
          <rPr>
            <b/>
            <sz val="12"/>
            <color indexed="81"/>
            <rFont val="Times New Roman"/>
            <family val="1"/>
          </rPr>
          <t xml:space="preserve">Weight: </t>
        </r>
        <r>
          <rPr>
            <sz val="12"/>
            <color indexed="81"/>
            <rFont val="Times New Roman"/>
            <family val="1"/>
          </rPr>
          <t xml:space="preserve">5 lb.
This steel rod looks like a length of thick chain, but its links are fixed in place, preventing it from bending even slightly.
Though they were created for arcane spellcasters who engaged in frequent magical duels, these rods are also a boon to anyone who battles spellcasters.  When you wield a rod of reversal, you can command it to automatically reflect the next three levels of spells that target you, as if you were under a lesser version of a spell turning spell, provided that you are neutral, neutral good, neutral evil, chaotic neutral, or lawful neutral.  This ability functions three times per day.
Turning a spell changes the rod’s color, depending on the school of the spell turned, as given on the following table.
</t>
        </r>
        <r>
          <rPr>
            <b/>
            <sz val="12"/>
            <color indexed="81"/>
            <rFont val="Times New Roman"/>
            <family val="1"/>
          </rPr>
          <t>School            Color</t>
        </r>
        <r>
          <rPr>
            <sz val="12"/>
            <color indexed="81"/>
            <rFont val="Times New Roman"/>
            <family val="1"/>
          </rPr>
          <t xml:space="preserve">
Abjuration       Blue
Conjuration     Yellow
Divination       Indigo
Enchantment    Green
Evocation        Red
Illusion            Violet
Necromancy    Black
Transmutation Orange
</t>
        </r>
        <r>
          <rPr>
            <b/>
            <sz val="12"/>
            <color indexed="81"/>
            <rFont val="Times New Roman"/>
            <family val="1"/>
          </rPr>
          <t xml:space="preserve">Relic Power: </t>
        </r>
        <r>
          <rPr>
            <sz val="12"/>
            <color indexed="81"/>
            <rFont val="Times New Roman"/>
            <family val="1"/>
          </rPr>
          <t xml:space="preserve">If you have established the proper divine connection, a rod of reversal instead refl ects the next nine levels of spells cast at you when it is activated.  It also continuously grants you the Improved Counterspell feat.  To use the relic power, you must worship Boccob and either sacrifice an 8th-level divine spell slot or have the True Believer feat and at least 15 HD.
</t>
        </r>
        <r>
          <rPr>
            <b/>
            <sz val="12"/>
            <color indexed="81"/>
            <rFont val="Times New Roman"/>
            <family val="1"/>
          </rPr>
          <t xml:space="preserve">Lore: </t>
        </r>
        <r>
          <rPr>
            <sz val="12"/>
            <color indexed="81"/>
            <rFont val="Times New Roman"/>
            <family val="1"/>
          </rPr>
          <t>These rods were originally created by an elite group of wizards with a penchant for magical dueling.  In the centuries since, they have come into the possession of mage hunters as well as magical duelists (Knowledge [religion] DC 20).
MIC 174</t>
        </r>
      </text>
    </comment>
    <comment ref="A9" authorId="0" shapeId="0" xr:uid="{57939DCE-EC54-4A26-A5B2-26C34D6547A4}">
      <text>
        <r>
          <rPr>
            <b/>
            <sz val="12"/>
            <color indexed="81"/>
            <rFont val="Times New Roman"/>
            <family val="1"/>
          </rPr>
          <t xml:space="preserve">Price (Item Level): </t>
        </r>
        <r>
          <rPr>
            <sz val="12"/>
            <color indexed="81"/>
            <rFont val="Times New Roman"/>
            <family val="1"/>
          </rPr>
          <t xml:space="preserve">60,000 gp (18th) (minor); 120,000 gp (21st) (major); 180,000 gp (24th) (greater)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15th
</t>
        </r>
        <r>
          <rPr>
            <b/>
            <sz val="12"/>
            <color indexed="81"/>
            <rFont val="Times New Roman"/>
            <family val="1"/>
          </rPr>
          <t xml:space="preserve">Aura: </t>
        </r>
        <r>
          <rPr>
            <sz val="12"/>
            <color indexed="81"/>
            <rFont val="Times New Roman"/>
            <family val="1"/>
          </rPr>
          <t xml:space="preserve">Strong; (DC 22) abjuration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gold ring is imprinted with symbols representing the five energy types.
A ring of universal energy resistance functions as a ring of energy resistance (DMG 232) for all types of energy: fire, cold, electricity, acid, and sonic. A minor ring provides resistance 10, a major ring resistance 20, and a greater ring resistance 30.
MIC 128</t>
        </r>
      </text>
    </comment>
    <comment ref="A11" authorId="0" shapeId="0" xr:uid="{8B022868-B0BD-4616-891C-7FC4DFDACC5C}">
      <text>
        <r>
          <rPr>
            <b/>
            <sz val="12"/>
            <color indexed="81"/>
            <rFont val="Times New Roman"/>
            <family val="1"/>
          </rPr>
          <t xml:space="preserve">Flying </t>
        </r>
        <r>
          <rPr>
            <sz val="12"/>
            <color indexed="81"/>
            <rFont val="Times New Roman"/>
            <family val="1"/>
          </rPr>
          <t xml:space="preserve">property as Winged Boots (DMG) but with twice the duration on each activation (i.e., 10 minutes).
</t>
        </r>
        <r>
          <rPr>
            <b/>
            <sz val="12"/>
            <color indexed="81"/>
            <rFont val="Times New Roman"/>
            <family val="1"/>
          </rPr>
          <t>Greater Agility</t>
        </r>
        <r>
          <rPr>
            <sz val="12"/>
            <color indexed="81"/>
            <rFont val="Times New Roman"/>
            <family val="1"/>
          </rPr>
          <t xml:space="preserve">
</t>
        </r>
        <r>
          <rPr>
            <b/>
            <sz val="12"/>
            <color indexed="81"/>
            <rFont val="Times New Roman"/>
            <family val="1"/>
          </rPr>
          <t xml:space="preserve">Price: </t>
        </r>
        <r>
          <rPr>
            <sz val="12"/>
            <color indexed="81"/>
            <rFont val="Times New Roman"/>
            <family val="1"/>
          </rPr>
          <t xml:space="preserve">+8,000 gp
</t>
        </r>
        <r>
          <rPr>
            <b/>
            <sz val="12"/>
            <color indexed="81"/>
            <rFont val="Times New Roman"/>
            <family val="1"/>
          </rPr>
          <t xml:space="preserve">Caster Level: </t>
        </r>
        <r>
          <rPr>
            <sz val="12"/>
            <color indexed="81"/>
            <rFont val="Times New Roman"/>
            <family val="1"/>
          </rPr>
          <t xml:space="preserve">15th
</t>
        </r>
        <r>
          <rPr>
            <b/>
            <sz val="12"/>
            <color indexed="81"/>
            <rFont val="Times New Roman"/>
            <family val="1"/>
          </rPr>
          <t xml:space="preserve">Aura: </t>
        </r>
        <r>
          <rPr>
            <sz val="12"/>
            <color indexed="81"/>
            <rFont val="Times New Roman"/>
            <family val="1"/>
          </rPr>
          <t xml:space="preserve">Strong; (DC 22) transmutation
</t>
        </r>
        <r>
          <rPr>
            <b/>
            <sz val="12"/>
            <color indexed="81"/>
            <rFont val="Times New Roman"/>
            <family val="1"/>
          </rPr>
          <t xml:space="preserve">Synergy Prerequisite: </t>
        </r>
        <r>
          <rPr>
            <sz val="12"/>
            <color indexed="81"/>
            <rFont val="Times New Roman"/>
            <family val="1"/>
          </rPr>
          <t>Improved agility
As agility, except the armor grants a +5 resistance bonus on Refl ex saving throws.
MIC 6</t>
        </r>
      </text>
    </comment>
    <comment ref="A13" authorId="0" shapeId="0" xr:uid="{8B8BA513-CAC3-4968-87D5-D32A7F2546AD}">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14" authorId="0" shapeId="0" xr:uid="{5087F2C0-B9F8-40F4-951A-86058E119FED}">
      <text>
        <r>
          <rPr>
            <sz val="12"/>
            <color indexed="81"/>
            <rFont val="Times New Roman"/>
            <family val="1"/>
          </rPr>
          <t>This device appears to be a silver medallion in the shape of a beetle.  If it is held for 1 round, an inscription appears on its surface letting the holder know that it is a protective device.
The scarab’s possessor gains spell resistance 20. The scarab can also absorb energy-draining attacks (such as the slam attack of a vampire spawn), death effects (such as finger of death), and negative energy effects (such as from an inflict critical wounds spell).  Upon absorbing twelve such attacks, the scarab turns to powder and is destroyed.</t>
        </r>
      </text>
    </comment>
    <comment ref="A15" authorId="0" shapeId="0" xr:uid="{B12E1E04-54A8-48C7-9311-C0893B60BBA2}">
      <text>
        <r>
          <rPr>
            <sz val="12"/>
            <color indexed="81"/>
            <rFont val="Times New Roman"/>
            <family val="1"/>
          </rPr>
          <t xml:space="preserve">+2 competence bonus on Heal skill checks, 3 charges touch or self
</t>
        </r>
        <r>
          <rPr>
            <b/>
            <sz val="12"/>
            <color indexed="81"/>
            <rFont val="Times New Roman"/>
            <family val="1"/>
          </rPr>
          <t xml:space="preserve">1 charge:   </t>
        </r>
        <r>
          <rPr>
            <sz val="12"/>
            <color indexed="81"/>
            <rFont val="Times New Roman"/>
            <family val="1"/>
          </rPr>
          <t xml:space="preserve">heal 2d8 (positive energy)
</t>
        </r>
        <r>
          <rPr>
            <b/>
            <sz val="12"/>
            <color indexed="81"/>
            <rFont val="Times New Roman"/>
            <family val="1"/>
          </rPr>
          <t xml:space="preserve">2 charges:  </t>
        </r>
        <r>
          <rPr>
            <sz val="12"/>
            <color indexed="81"/>
            <rFont val="Times New Roman"/>
            <family val="1"/>
          </rPr>
          <t xml:space="preserve">heal 3d8
</t>
        </r>
        <r>
          <rPr>
            <b/>
            <sz val="12"/>
            <color indexed="81"/>
            <rFont val="Times New Roman"/>
            <family val="1"/>
          </rPr>
          <t xml:space="preserve">3 charges:  </t>
        </r>
        <r>
          <rPr>
            <sz val="12"/>
            <color indexed="81"/>
            <rFont val="Times New Roman"/>
            <family val="1"/>
          </rPr>
          <t>heal 4d8
Magic Item Compendium 110</t>
        </r>
      </text>
    </comment>
    <comment ref="A17" authorId="0" shapeId="0" xr:uid="{00000000-0006-0000-0500-000001000000}">
      <text>
        <r>
          <rPr>
            <sz val="12"/>
            <color indexed="81"/>
            <rFont val="Times New Roman"/>
            <family val="1"/>
          </rPr>
          <t xml:space="preserve">This lightweight and fashionable cloak has a highly decorative silver trim.  When in a character’s possession, it adds a +2, +4, or +6 enhancement bonus to her Charisma score.
Moderate transmutation; CL 8th; Craft Wondrous Item, </t>
        </r>
        <r>
          <rPr>
            <i/>
            <sz val="12"/>
            <color indexed="81"/>
            <rFont val="Times New Roman"/>
            <family val="1"/>
          </rPr>
          <t>eagle’s splendor</t>
        </r>
        <r>
          <rPr>
            <sz val="12"/>
            <color indexed="81"/>
            <rFont val="Times New Roman"/>
            <family val="1"/>
          </rPr>
          <t>; Price 4,000 gp (+2), 16,000 gp (+4), 36,000 gp (+6); Weight 2 lb.
DMG 253</t>
        </r>
      </text>
    </comment>
    <comment ref="A31" authorId="0" shapeId="0" xr:uid="{5BA3D07B-351C-48C5-9634-06C2C40C8975}">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<sst xmlns="http://schemas.openxmlformats.org/spreadsheetml/2006/main" count="1119" uniqueCount="433">
  <si>
    <t>Melee Weapon</t>
  </si>
  <si>
    <t>Dmg</t>
  </si>
  <si>
    <t>Qty.</t>
  </si>
  <si>
    <t>Ranged Weapon</t>
  </si>
  <si>
    <t>Dmg.</t>
  </si>
  <si>
    <t>Rng.</t>
  </si>
  <si>
    <t>Skills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</si>
  <si>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</si>
  <si>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</si>
  <si>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</si>
  <si>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</si>
  <si>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</si>
  <si>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</si>
  <si>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</si>
  <si>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</si>
  <si>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</si>
  <si>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</si>
  <si>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</si>
  <si>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</si>
  <si>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</si>
  <si>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</si>
  <si>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</si>
  <si>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</si>
  <si>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</si>
  <si>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</si>
  <si>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</si>
  <si>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</si>
  <si>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</si>
  <si>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</si>
  <si>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</si>
  <si>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</si>
  <si>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</si>
  <si>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</si>
  <si>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</si>
  <si>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</si>
  <si>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</si>
  <si>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</si>
  <si>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</si>
  <si>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</si>
  <si>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</si>
  <si>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</si>
  <si>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</si>
  <si>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</si>
  <si>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</si>
  <si>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</si>
  <si>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</si>
  <si>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</si>
  <si>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</si>
  <si>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</si>
  <si>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</si>
  <si>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</si>
  <si>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</si>
  <si>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</si>
  <si>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</si>
  <si>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</si>
  <si>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</si>
  <si>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Will</t>
  </si>
  <si>
    <t>Armor &amp; Shield</t>
  </si>
  <si>
    <t>Missiles</t>
  </si>
  <si>
    <t>Languages</t>
  </si>
  <si>
    <t>Equipment Worn</t>
  </si>
  <si>
    <t>Item</t>
  </si>
  <si>
    <t>Effects/</t>
  </si>
  <si>
    <t>Notes</t>
  </si>
  <si>
    <t>Equipment Carried</t>
  </si>
  <si>
    <t>Check</t>
  </si>
  <si>
    <t>Arcane</t>
  </si>
  <si>
    <t>Speed</t>
  </si>
  <si>
    <t>Knowledge:  Arcana</t>
  </si>
  <si>
    <t>Sleight of Hand</t>
  </si>
  <si>
    <t>Survival</t>
  </si>
  <si>
    <t>Weapon Proficiencies</t>
  </si>
  <si>
    <t>Atk</t>
  </si>
  <si>
    <t>Knowledge:  The Planes</t>
  </si>
  <si>
    <t>Roll</t>
  </si>
  <si>
    <t>Spell</t>
  </si>
  <si>
    <t>-</t>
  </si>
  <si>
    <t>Level</t>
  </si>
  <si>
    <t>DC</t>
  </si>
  <si>
    <t>Cast?</t>
  </si>
  <si>
    <t>Skill/Save</t>
  </si>
  <si>
    <t>1st</t>
  </si>
  <si>
    <t>2nd</t>
  </si>
  <si>
    <t>3rd</t>
  </si>
  <si>
    <t>4th</t>
  </si>
  <si>
    <t>5th</t>
  </si>
  <si>
    <t>6th</t>
  </si>
  <si>
    <t>7th</t>
  </si>
  <si>
    <t>0th</t>
  </si>
  <si>
    <t>Total Daily Spells</t>
  </si>
  <si>
    <t>Knowledge:  History</t>
  </si>
  <si>
    <t>Scroll Case</t>
  </si>
  <si>
    <t>Bludgeon</t>
  </si>
  <si>
    <t>1d3</t>
  </si>
  <si>
    <t>CLev</t>
  </si>
  <si>
    <t>Male</t>
  </si>
  <si>
    <t>30’</t>
  </si>
  <si>
    <t>Acid Splash</t>
  </si>
  <si>
    <t>Light</t>
  </si>
  <si>
    <t>School</t>
  </si>
  <si>
    <t xml:space="preserve">Components </t>
  </si>
  <si>
    <t>Casting</t>
  </si>
  <si>
    <t>Range</t>
  </si>
  <si>
    <t>Duration</t>
  </si>
  <si>
    <t>Conjuration</t>
  </si>
  <si>
    <t>V S</t>
  </si>
  <si>
    <t>1 SA</t>
  </si>
  <si>
    <t>25’ + 2½’/lvl</t>
  </si>
  <si>
    <t>Instant</t>
  </si>
  <si>
    <t>Evocation</t>
  </si>
  <si>
    <t>Touch</t>
  </si>
  <si>
    <t>100’ + 10’/lvl</t>
  </si>
  <si>
    <t>10 min/lvl</t>
  </si>
  <si>
    <t>Ray of Frost</t>
  </si>
  <si>
    <t>V M/DF</t>
  </si>
  <si>
    <t>Wands, Scrolls and Potions</t>
  </si>
  <si>
    <t>x2</t>
  </si>
  <si>
    <t>Value</t>
  </si>
  <si>
    <t>PHB</t>
  </si>
  <si>
    <t>Reference</t>
  </si>
  <si>
    <t>Page</t>
  </si>
  <si>
    <t>Caster Class</t>
  </si>
  <si>
    <t>Equity on this page:</t>
  </si>
  <si>
    <t>Total Equity:</t>
  </si>
  <si>
    <t>Fortitude</t>
  </si>
  <si>
    <t>Reflex</t>
  </si>
  <si>
    <t>Warmage</t>
  </si>
  <si>
    <t>Warmage 1</t>
  </si>
  <si>
    <t>Charisma Bonus</t>
  </si>
  <si>
    <t>Warmage Spells</t>
  </si>
  <si>
    <t>Warmage Spells by Level</t>
  </si>
  <si>
    <t>Spell Effects</t>
  </si>
  <si>
    <t>CL</t>
  </si>
  <si>
    <t>CROSS-CLASS SKILL</t>
  </si>
  <si>
    <t>Magic Missile</t>
  </si>
  <si>
    <t>Scorching Ray</t>
  </si>
  <si>
    <t>Bypass Spell Resistance</t>
  </si>
  <si>
    <t>Warmage Features</t>
  </si>
  <si>
    <t xml:space="preserve">Warmage Edge </t>
  </si>
  <si>
    <t>Warmage 2</t>
  </si>
  <si>
    <t>Warmage 3</t>
  </si>
  <si>
    <t>Warmage 4</t>
  </si>
  <si>
    <t>Warmage 5</t>
  </si>
  <si>
    <t>Warmage 6</t>
  </si>
  <si>
    <t>Warmage 7</t>
  </si>
  <si>
    <t>Speak Language:  [Type]</t>
  </si>
  <si>
    <t>Sudden Empower</t>
  </si>
  <si>
    <t>3rd:  Weapon Focus (Ranged Spell)</t>
  </si>
  <si>
    <t>Disrupt Undead</t>
  </si>
  <si>
    <t>Lesser Crystal of Screening</t>
  </si>
  <si>
    <t>five</t>
  </si>
  <si>
    <t>+5 to AC vs. incorporeal attacks</t>
  </si>
  <si>
    <t>1</t>
  </si>
  <si>
    <t>Slashing</t>
  </si>
  <si>
    <t>1d6</t>
  </si>
  <si>
    <t>Accuracy</t>
  </si>
  <si>
    <t>Burning Hands</t>
  </si>
  <si>
    <t>Chill Touch</t>
  </si>
  <si>
    <t>Fist of Stone</t>
  </si>
  <si>
    <t>Hail of Stone</t>
  </si>
  <si>
    <t>Orb of Acid, Lesser</t>
  </si>
  <si>
    <t>Orb of Cold, Lesser</t>
  </si>
  <si>
    <t>Orb of Electricity, Lesser</t>
  </si>
  <si>
    <t>Orb of Fire, Lesser</t>
  </si>
  <si>
    <t>Orb of Sound, Lesser</t>
  </si>
  <si>
    <t>Shocking Grasp</t>
  </si>
  <si>
    <t>True Strike</t>
  </si>
  <si>
    <t>Blades of Fire</t>
  </si>
  <si>
    <t>Continual Flame</t>
  </si>
  <si>
    <t>Fire Trap</t>
  </si>
  <si>
    <t>Fireburst</t>
  </si>
  <si>
    <t>Ice Knife</t>
  </si>
  <si>
    <t>Melf’s Acid Arrow</t>
  </si>
  <si>
    <t>Pyrotechnics</t>
  </si>
  <si>
    <t>Shatter</t>
  </si>
  <si>
    <t>Whirling Blade</t>
  </si>
  <si>
    <t>Fire Shield</t>
  </si>
  <si>
    <t>Fireball</t>
  </si>
  <si>
    <t>Flame Arrow</t>
  </si>
  <si>
    <t>Gust of Wind</t>
  </si>
  <si>
    <t>Ice Storm</t>
  </si>
  <si>
    <t>Lightning Bolt</t>
  </si>
  <si>
    <t>Ring of Blades</t>
  </si>
  <si>
    <t>Sleet Storm</t>
  </si>
  <si>
    <t>Stinking Cloud</t>
  </si>
  <si>
    <t>Transmutation</t>
  </si>
  <si>
    <t>V S M</t>
  </si>
  <si>
    <t>Complete Arcane</t>
  </si>
  <si>
    <t>15’</t>
  </si>
  <si>
    <t>Necromancy</t>
  </si>
  <si>
    <t>Personal</t>
  </si>
  <si>
    <t>1 minute</t>
  </si>
  <si>
    <t>1 FR</t>
  </si>
  <si>
    <t>Divination</t>
  </si>
  <si>
    <t>V F</t>
  </si>
  <si>
    <t>special</t>
  </si>
  <si>
    <t>V</t>
  </si>
  <si>
    <t>Swift</t>
  </si>
  <si>
    <t>1 round</t>
  </si>
  <si>
    <t>Illusion</t>
  </si>
  <si>
    <t>Permanent</t>
  </si>
  <si>
    <t>Abjuration</t>
  </si>
  <si>
    <t>10 minutes</t>
  </si>
  <si>
    <t>5’</t>
  </si>
  <si>
    <t>400’ + 40’/lvl</t>
  </si>
  <si>
    <t>Tome &amp; Blood</t>
  </si>
  <si>
    <t>V S M F</t>
  </si>
  <si>
    <t>V S M/DF</t>
  </si>
  <si>
    <t>V S F</t>
  </si>
  <si>
    <t>60’</t>
  </si>
  <si>
    <t>1 rnd/lvl</t>
  </si>
  <si>
    <t>1 full round</t>
  </si>
  <si>
    <t>120’</t>
  </si>
  <si>
    <t>1 min/lvl</t>
  </si>
  <si>
    <t>1d4+1 rounds</t>
  </si>
  <si>
    <t>+0</t>
  </si>
  <si>
    <t>3</t>
  </si>
  <si>
    <t>Spell Compendium</t>
  </si>
  <si>
    <t>Blacklight*</t>
  </si>
  <si>
    <t>Weapon Focus Included</t>
  </si>
  <si>
    <t>Warmage 8</t>
  </si>
  <si>
    <t>Light &amp; Medium Armor</t>
  </si>
  <si>
    <t>Simple Weapons, Light Shields</t>
  </si>
  <si>
    <t>Blast of Flame</t>
  </si>
  <si>
    <t>Contagion</t>
  </si>
  <si>
    <t>Orb of Acid</t>
  </si>
  <si>
    <t>Orb of Cold</t>
  </si>
  <si>
    <t>Orb of Electricity</t>
  </si>
  <si>
    <t>Orb of Fire</t>
  </si>
  <si>
    <t>Orb of Force</t>
  </si>
  <si>
    <t>Orb of Sound</t>
  </si>
  <si>
    <t>Phantasmal Killer</t>
  </si>
  <si>
    <t>Shout</t>
  </si>
  <si>
    <t>Wall of Fire</t>
  </si>
  <si>
    <t>60’ cone</t>
  </si>
  <si>
    <t>100’ +10’/lvl</t>
  </si>
  <si>
    <t>25’ + 5’/2lvl</t>
  </si>
  <si>
    <t>30’ cone</t>
  </si>
  <si>
    <t>Feats</t>
  </si>
  <si>
    <t>Grapple, Touch Attack</t>
  </si>
  <si>
    <t>Ranged Touch Attack</t>
  </si>
  <si>
    <t>Evard’s Black Tentacles</t>
  </si>
  <si>
    <t>varies</t>
  </si>
  <si>
    <t>Warmage 9</t>
  </si>
  <si>
    <t>2</t>
  </si>
  <si>
    <t>Warmage 10</t>
  </si>
  <si>
    <t>Arc of Lightning</t>
  </si>
  <si>
    <t>Cloudkill</t>
  </si>
  <si>
    <t>Cone of Cold</t>
  </si>
  <si>
    <t>Prismatic Ray</t>
  </si>
  <si>
    <t>Fire Shield, Mass</t>
  </si>
  <si>
    <t>Fireburst, Greater</t>
  </si>
  <si>
    <t>Sudden Enlarge</t>
  </si>
  <si>
    <t>-1 to Fast Dismount</t>
  </si>
  <si>
    <t>Poison</t>
  </si>
  <si>
    <t>Flaming Sphere</t>
  </si>
  <si>
    <t>V S DF</t>
  </si>
  <si>
    <t>10’</t>
  </si>
  <si>
    <t>Advanced Learning:  Blacklight</t>
  </si>
  <si>
    <t>Conc + 1 rnd/lvl</t>
  </si>
  <si>
    <t>Cloak of Charisma +6</t>
  </si>
  <si>
    <t>Alchemist’s Fire</t>
  </si>
  <si>
    <t>50’</t>
  </si>
  <si>
    <t>1d6 fire</t>
  </si>
  <si>
    <t>Trail Rations</t>
  </si>
  <si>
    <t>Warmage 11</t>
  </si>
  <si>
    <t>Warmage 12</t>
  </si>
  <si>
    <t>Acid Fog</t>
  </si>
  <si>
    <t>Blade Barrier</t>
  </si>
  <si>
    <t>Chain Lightning</t>
  </si>
  <si>
    <t>Circle of Death</t>
  </si>
  <si>
    <t>Disintegrate</t>
  </si>
  <si>
    <t>Fire Seeds</t>
  </si>
  <si>
    <t>Delayed Blast Fireball</t>
  </si>
  <si>
    <t>Earthquake</t>
  </si>
  <si>
    <t>Finger of Death</t>
  </si>
  <si>
    <t>Firestorm</t>
  </si>
  <si>
    <t>Prismatic Spray</t>
  </si>
  <si>
    <t>Sunbeam</t>
  </si>
  <si>
    <t>Waves of Exhaustion</t>
  </si>
  <si>
    <t>V S M DF</t>
  </si>
  <si>
    <t>Otiluke’s Freezing Sphere</t>
  </si>
  <si>
    <t>Tenser’s Transformation</t>
  </si>
  <si>
    <t>Mordenkainen’s Sword</t>
  </si>
  <si>
    <t>5 rounds</t>
  </si>
  <si>
    <t>8th</t>
  </si>
  <si>
    <t>9th</t>
  </si>
  <si>
    <t>Warmage 13</t>
  </si>
  <si>
    <t>Warmage 14</t>
  </si>
  <si>
    <t>Sickle, 2nd Attack</t>
  </si>
  <si>
    <r>
      <t xml:space="preserve">Sickle, </t>
    </r>
    <r>
      <rPr>
        <i/>
        <sz val="12"/>
        <rFont val="Times New Roman"/>
        <family val="1"/>
      </rPr>
      <t>haste</t>
    </r>
  </si>
  <si>
    <t>Grapple/1d6+10</t>
  </si>
  <si>
    <t>Race</t>
  </si>
  <si>
    <t>Age</t>
  </si>
  <si>
    <t>Class</t>
  </si>
  <si>
    <t>Height</t>
  </si>
  <si>
    <t>Weight</t>
  </si>
  <si>
    <t>Alignment</t>
  </si>
  <si>
    <t>Sex</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</si>
  <si>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</si>
  <si>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</si>
  <si>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</si>
  <si>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</si>
  <si>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</si>
  <si>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</si>
  <si>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</si>
  <si>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</si>
  <si>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</si>
  <si>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</si>
  <si>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</si>
  <si>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</si>
  <si>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</si>
  <si>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</si>
  <si>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</si>
  <si>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AC</t>
  </si>
  <si>
    <t>Played by JR Roberts</t>
  </si>
  <si>
    <t>Jungle Half-elf</t>
  </si>
  <si>
    <t>5’ 9”</t>
  </si>
  <si>
    <t>155 lbs.</t>
  </si>
  <si>
    <t>Chaotic Good</t>
  </si>
  <si>
    <t>Common, Dwarven, Elven</t>
  </si>
  <si>
    <t>Gnome, Orc, Undercommon</t>
  </si>
  <si>
    <t>Racial Abilities</t>
  </si>
  <si>
    <t>+2 versus Enchantment</t>
  </si>
  <si>
    <t>Immunity to Sleep</t>
  </si>
  <si>
    <t>Low-light Vision</t>
  </si>
  <si>
    <t>Sudden Widen</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</si>
  <si>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</si>
  <si>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Warmage 15</t>
  </si>
  <si>
    <t>Warmage 16</t>
  </si>
  <si>
    <t>Warmage 17</t>
  </si>
  <si>
    <t>Profession:  (type)</t>
  </si>
  <si>
    <t>Perform:    (type)</t>
  </si>
  <si>
    <t>Devrion</t>
  </si>
  <si>
    <t>1st:  Eschew Materials</t>
  </si>
  <si>
    <t>+ Knowledge Synergies</t>
  </si>
  <si>
    <t>+2 vs. Enchantments</t>
  </si>
  <si>
    <r>
      <t xml:space="preserve">+1 </t>
    </r>
    <r>
      <rPr>
        <i/>
        <sz val="13"/>
        <rFont val="Times New Roman"/>
        <family val="1"/>
      </rPr>
      <t>haste</t>
    </r>
    <r>
      <rPr>
        <sz val="13"/>
        <rFont val="Times New Roman"/>
        <family val="1"/>
      </rPr>
      <t>, +2 vs. Enchantments</t>
    </r>
  </si>
  <si>
    <t>+2 for Secret Doors</t>
  </si>
  <si>
    <t>Deity</t>
  </si>
  <si>
    <t>Region</t>
  </si>
  <si>
    <t>ECL:</t>
  </si>
  <si>
    <t>Buckler +3</t>
  </si>
  <si>
    <t>Sickle +2</t>
  </si>
  <si>
    <t>Restful Crystal</t>
  </si>
  <si>
    <t>Vest of Resistance +3</t>
  </si>
  <si>
    <t>6th:  Improved Initiative</t>
  </si>
  <si>
    <t>9th:  Magical Aptitude</t>
  </si>
  <si>
    <t>12th:  Danger Sense</t>
  </si>
  <si>
    <t>15th:  Spell Penetration</t>
  </si>
  <si>
    <t>Armored Mage (Medium)</t>
  </si>
  <si>
    <t>Crossbow, 2nd Attack</t>
  </si>
  <si>
    <r>
      <t xml:space="preserve">Crossbow, </t>
    </r>
    <r>
      <rPr>
        <i/>
        <sz val="12"/>
        <rFont val="Times New Roman"/>
        <family val="1"/>
      </rPr>
      <t>haste</t>
    </r>
  </si>
  <si>
    <t>1d8</t>
  </si>
  <si>
    <t>1d6+2</t>
  </si>
  <si>
    <t>Advanced Learning:  Dimension Door</t>
  </si>
  <si>
    <t>Advanced Learning:  Mage Armor</t>
  </si>
  <si>
    <t>Advanced Learning:  Swift Fly</t>
  </si>
  <si>
    <t>Craft:  Weaver (Rope/Rattan)</t>
  </si>
  <si>
    <t>Complete Adventurer</t>
  </si>
  <si>
    <t>1 hr/lvl</t>
  </si>
  <si>
    <t>Fly, Swift*</t>
  </si>
  <si>
    <t>Dimension Door*</t>
  </si>
  <si>
    <t>Mage Armor*</t>
  </si>
  <si>
    <t>* Advanced Learning</t>
  </si>
  <si>
    <t>Bolts</t>
  </si>
  <si>
    <t>Current Limit:</t>
  </si>
  <si>
    <t>Backpack</t>
  </si>
  <si>
    <t>Flint &amp; Steel</t>
  </si>
  <si>
    <t xml:space="preserve">Waterskin </t>
  </si>
  <si>
    <t>Ink &amp; Quill</t>
  </si>
  <si>
    <t>Bedroll</t>
  </si>
  <si>
    <t xml:space="preserve">Notebook </t>
  </si>
  <si>
    <t>Grooming Kit</t>
  </si>
  <si>
    <t>Casual Outfit</t>
  </si>
  <si>
    <t>Cold Weather Outfit</t>
  </si>
  <si>
    <t>Belt Pouches</t>
  </si>
  <si>
    <t>Mage Armor</t>
  </si>
  <si>
    <r>
      <t xml:space="preserve">+3 with </t>
    </r>
    <r>
      <rPr>
        <i/>
        <sz val="12"/>
        <rFont val="Times New Roman"/>
        <family val="1"/>
      </rPr>
      <t>Fist of Stone</t>
    </r>
  </si>
  <si>
    <t>Aasterinian</t>
  </si>
  <si>
    <t>18th:  Arcane Mastery</t>
  </si>
  <si>
    <t>Knowledge:  Dungeoneering</t>
  </si>
  <si>
    <t>Warmage 18</t>
  </si>
  <si>
    <t>Chult</t>
  </si>
  <si>
    <t>Gold Coins</t>
  </si>
  <si>
    <t>33 charges</t>
  </si>
  <si>
    <t>Wand of Cure Moderate Wounds</t>
  </si>
  <si>
    <r>
      <rPr>
        <i/>
        <sz val="12"/>
        <color theme="0"/>
        <rFont val="Times New Roman"/>
        <family val="1"/>
      </rPr>
      <t xml:space="preserve">Fist of Stone </t>
    </r>
    <r>
      <rPr>
        <sz val="12"/>
        <color theme="0"/>
        <rFont val="Times New Roman"/>
        <family val="1"/>
      </rPr>
      <t>Slam</t>
    </r>
  </si>
  <si>
    <t>Bypasses incorporeality</t>
  </si>
  <si>
    <t>19-20/x2</t>
  </si>
  <si>
    <t>4d6</t>
  </si>
  <si>
    <t>Horrid Wilting</t>
  </si>
  <si>
    <t>Incendiary Cloud</t>
  </si>
  <si>
    <t>Polar Ray</t>
  </si>
  <si>
    <t>Prismatic Wall</t>
  </si>
  <si>
    <t>Scintillating Pattern</t>
  </si>
  <si>
    <t>Shout, Greater</t>
  </si>
  <si>
    <t>Sunburst</t>
  </si>
  <si>
    <t>Elemental Swarm</t>
  </si>
  <si>
    <t>Implosion</t>
  </si>
  <si>
    <t>Meteor Swarm</t>
  </si>
  <si>
    <t>Prismatic Sphere</t>
  </si>
  <si>
    <t>Wail of the Banshee</t>
  </si>
  <si>
    <t>Weird</t>
  </si>
  <si>
    <t>Warmage 19</t>
  </si>
  <si>
    <t>Bracers of Armor +5</t>
  </si>
  <si>
    <t>Mindarmor Soulfire Mithral +5 Chainmail</t>
  </si>
  <si>
    <t>Greater Crystal of Life Drinking</t>
  </si>
  <si>
    <t>Heals 5 hp/hit; 50/day limit</t>
  </si>
  <si>
    <t>Light Crossbow +3</t>
  </si>
  <si>
    <t>Greater Truedeath Crystal</t>
  </si>
  <si>
    <t>vs.</t>
  </si>
  <si>
    <t>undead</t>
  </si>
  <si>
    <t>Ring of Universal Energy Resistance</t>
  </si>
  <si>
    <t>Ring of Telekinesis</t>
  </si>
  <si>
    <t>Scarab of Protection</t>
  </si>
  <si>
    <t>Healing Belt</t>
  </si>
  <si>
    <t>Scout’s Headband</t>
  </si>
  <si>
    <t>Wand of Cure Light Wounds</t>
  </si>
  <si>
    <t>Gloves of Dexterity +6</t>
  </si>
  <si>
    <t>Bolchanar</t>
  </si>
  <si>
    <t>Ioun Stone</t>
  </si>
  <si>
    <t>Immovable Rod</t>
  </si>
  <si>
    <t>Rod of Reversal</t>
  </si>
  <si>
    <t>Lavender and Green Ellipsoid</t>
  </si>
  <si>
    <t>Spell Absorbing</t>
  </si>
  <si>
    <t>Warmage 20</t>
  </si>
  <si>
    <t>Sudden Maximize</t>
  </si>
  <si>
    <t>Factotum</t>
  </si>
  <si>
    <t>Winged Boots of Greater Agility</t>
  </si>
  <si>
    <t>Bag of Holding Type IV</t>
  </si>
  <si>
    <t>% Full:</t>
  </si>
  <si>
    <t>41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</si>
</sst>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62"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indexed="57"/>
      <name val="Times New Roman"/>
      <family val="1"/>
    </font>
    <font>
      <b/>
      <sz val="12"/>
      <color rgb="FFFF0000"/>
      <name val="Times New Roman"/>
      <family val="1"/>
    </font>
    <font>
      <b/>
      <sz val="12"/>
      <color theme="0"/>
      <name val="Times New Roman"/>
      <family val="1"/>
    </font>
    <font>
      <sz val="12"/>
      <color theme="0"/>
      <name val="Times New Roman"/>
      <family val="1"/>
    </font>
    <font>
      <i/>
      <sz val="12"/>
      <name val="Times New Roman"/>
      <family val="1"/>
    </font>
    <font>
      <i/>
      <sz val="13"/>
      <name val="Times New Roman"/>
      <family val="1"/>
    </font>
    <font>
      <i/>
      <sz val="18"/>
      <color rgb="FFFF0000"/>
      <name val="Times New Roman"/>
      <family val="1"/>
    </font>
    <font>
      <i/>
      <sz val="12"/>
      <color theme="0"/>
      <name val="Times New Roman"/>
      <family val="1"/>
    </font>
    <font>
      <i/>
      <sz val="16"/>
      <color indexed="17"/>
      <name val="Times New Roman"/>
      <family val="1"/>
    </font>
    <font>
      <b/>
      <sz val="13"/>
      <color rgb="FF00B0F0"/>
      <name val="Times New Roman"/>
      <family val="1"/>
    </font>
    <font>
      <i/>
      <sz val="17"/>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rgb="FF6600CC"/>
        <bgColor indexed="64"/>
      </patternFill>
    </fill>
    <fill>
      <patternFill patternType="solid">
        <fgColor rgb="FFCCFFCC"/>
        <bgColor indexed="55"/>
      </patternFill>
    </fill>
    <fill>
      <patternFill patternType="solid">
        <fgColor rgb="FF9966FF"/>
        <bgColor indexed="64"/>
      </patternFill>
    </fill>
    <fill>
      <patternFill patternType="solid">
        <fgColor rgb="FFCC99FF"/>
        <bgColor indexed="64"/>
      </patternFill>
    </fill>
    <fill>
      <patternFill patternType="solid">
        <fgColor rgb="FF9900FF"/>
        <bgColor indexed="64"/>
      </patternFill>
    </fill>
    <fill>
      <patternFill patternType="solid">
        <fgColor rgb="FFFFFF00"/>
        <bgColor indexed="64"/>
      </patternFill>
    </fill>
  </fills>
  <borders count="14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diagonal/>
    </border>
    <border>
      <left style="double">
        <color indexed="64"/>
      </left>
      <right style="double">
        <color indexed="64"/>
      </right>
      <top style="hair">
        <color indexed="64"/>
      </top>
      <bottom style="medium">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top style="hair">
        <color indexed="64"/>
      </top>
      <bottom/>
      <diagonal/>
    </border>
    <border>
      <left style="hair">
        <color indexed="64"/>
      </left>
      <right/>
      <top style="hair">
        <color indexed="64"/>
      </top>
      <bottom/>
      <diagonal/>
    </border>
    <border>
      <left style="hair">
        <color auto="1"/>
      </left>
      <right/>
      <top style="double">
        <color auto="1"/>
      </top>
      <bottom style="hair">
        <color auto="1"/>
      </bottom>
      <diagonal/>
    </border>
    <border>
      <left/>
      <right/>
      <top style="hair">
        <color indexed="64"/>
      </top>
      <bottom style="hair">
        <color indexed="64"/>
      </bottom>
      <diagonal/>
    </border>
    <border>
      <left/>
      <right/>
      <top style="hair">
        <color indexed="64"/>
      </top>
      <bottom style="medium">
        <color indexed="64"/>
      </bottom>
      <diagonal/>
    </border>
    <border>
      <left/>
      <right style="medium">
        <color auto="1"/>
      </right>
      <top style="thin">
        <color auto="1"/>
      </top>
      <bottom style="thin">
        <color auto="1"/>
      </bottom>
      <diagonal/>
    </border>
    <border>
      <left/>
      <right style="thin">
        <color auto="1"/>
      </right>
      <top/>
      <bottom style="thin">
        <color auto="1"/>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s>
  <cellStyleXfs count="13">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5" fillId="0" borderId="0"/>
    <xf numFmtId="0" fontId="2" fillId="0" borderId="0"/>
    <xf numFmtId="0" fontId="36" fillId="0" borderId="0"/>
    <xf numFmtId="0" fontId="1" fillId="0" borderId="0"/>
    <xf numFmtId="0" fontId="35" fillId="0" borderId="0" applyFill="0" applyBorder="0"/>
    <xf numFmtId="0" fontId="2" fillId="0" borderId="0"/>
    <xf numFmtId="9" fontId="2" fillId="0" borderId="0" applyFont="0" applyFill="0" applyBorder="0" applyAlignment="0" applyProtection="0"/>
    <xf numFmtId="0" fontId="35" fillId="0" borderId="0"/>
    <xf numFmtId="43" fontId="2" fillId="0" borderId="0" applyFont="0" applyFill="0" applyBorder="0" applyAlignment="0" applyProtection="0"/>
  </cellStyleXfs>
  <cellXfs count="502">
    <xf numFmtId="0" fontId="0" fillId="0" borderId="0" xfId="0"/>
    <xf numFmtId="0" fontId="11" fillId="3" borderId="65" xfId="0" applyFont="1" applyFill="1" applyBorder="1" applyAlignment="1">
      <alignment horizontal="centerContinuous" vertical="center"/>
    </xf>
    <xf numFmtId="0" fontId="11" fillId="3" borderId="34" xfId="0" applyFont="1" applyFill="1" applyBorder="1" applyAlignment="1">
      <alignment horizontal="center" vertical="center"/>
    </xf>
    <xf numFmtId="0" fontId="11" fillId="3" borderId="34" xfId="0" applyFont="1" applyFill="1" applyBorder="1" applyAlignment="1">
      <alignment horizontal="center" vertical="center" wrapText="1"/>
    </xf>
    <xf numFmtId="0" fontId="42" fillId="9" borderId="33" xfId="0" applyFont="1" applyFill="1" applyBorder="1" applyAlignment="1">
      <alignment horizontal="center" vertical="center" wrapText="1"/>
    </xf>
    <xf numFmtId="0" fontId="11" fillId="3" borderId="66" xfId="0" applyFont="1" applyFill="1" applyBorder="1" applyAlignment="1">
      <alignment horizontal="center" vertical="center"/>
    </xf>
    <xf numFmtId="0" fontId="4" fillId="0" borderId="0" xfId="0" applyFont="1" applyAlignment="1">
      <alignment vertical="center"/>
    </xf>
    <xf numFmtId="9" fontId="7" fillId="0" borderId="25" xfId="10" applyFont="1" applyFill="1" applyBorder="1" applyAlignment="1">
      <alignment horizontal="center" vertical="center" shrinkToFit="1"/>
    </xf>
    <xf numFmtId="9" fontId="7" fillId="0" borderId="25" xfId="2" applyFont="1" applyFill="1" applyBorder="1" applyAlignment="1">
      <alignment horizontal="center" vertical="center" shrinkToFit="1"/>
    </xf>
    <xf numFmtId="0" fontId="7" fillId="0" borderId="25" xfId="2" applyNumberFormat="1" applyFont="1" applyFill="1" applyBorder="1" applyAlignment="1">
      <alignment horizontal="center" vertical="center" shrinkToFit="1"/>
    </xf>
    <xf numFmtId="9" fontId="7" fillId="0" borderId="14" xfId="2" applyFont="1" applyFill="1" applyBorder="1" applyAlignment="1">
      <alignment horizontal="center" vertical="center" shrinkToFit="1"/>
    </xf>
    <xf numFmtId="0" fontId="7" fillId="0" borderId="24" xfId="0" applyFont="1" applyBorder="1" applyAlignment="1">
      <alignment horizontal="center" vertical="center" shrinkToFit="1"/>
    </xf>
    <xf numFmtId="0" fontId="7" fillId="0" borderId="26" xfId="0" applyFont="1" applyBorder="1" applyAlignment="1">
      <alignment horizontal="center" vertical="center" wrapText="1"/>
    </xf>
    <xf numFmtId="9" fontId="7" fillId="0" borderId="24" xfId="2" applyFont="1" applyFill="1" applyBorder="1" applyAlignment="1">
      <alignment horizontal="center" vertical="center" shrinkToFit="1"/>
    </xf>
    <xf numFmtId="164" fontId="2" fillId="0" borderId="70" xfId="0" applyNumberFormat="1"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5" fillId="0" borderId="73" xfId="0" quotePrefix="1" applyFont="1" applyBorder="1" applyAlignment="1">
      <alignment horizontal="center" vertical="center" wrapText="1"/>
    </xf>
    <xf numFmtId="49" fontId="2" fillId="0" borderId="73" xfId="2" applyNumberFormat="1" applyFont="1" applyFill="1" applyBorder="1" applyAlignment="1">
      <alignment horizontal="center" vertical="center"/>
    </xf>
    <xf numFmtId="0" fontId="2" fillId="0" borderId="73" xfId="0" applyFont="1" applyBorder="1" applyAlignment="1">
      <alignment horizontal="center" vertical="center" shrinkToFit="1"/>
    </xf>
    <xf numFmtId="164" fontId="2" fillId="0" borderId="73" xfId="0" applyNumberFormat="1" applyFont="1" applyBorder="1" applyAlignment="1">
      <alignment horizontal="center" vertical="center"/>
    </xf>
    <xf numFmtId="1" fontId="5" fillId="0" borderId="74" xfId="0" applyNumberFormat="1" applyFont="1" applyBorder="1" applyAlignment="1">
      <alignment horizontal="center" vertical="center"/>
    </xf>
    <xf numFmtId="0" fontId="2" fillId="0" borderId="87" xfId="0" quotePrefix="1" applyFont="1" applyBorder="1" applyAlignment="1">
      <alignment horizontal="center" vertical="center"/>
    </xf>
    <xf numFmtId="0" fontId="3" fillId="0" borderId="0" xfId="0" applyFont="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vertical="center"/>
    </xf>
    <xf numFmtId="0" fontId="20" fillId="3" borderId="33" xfId="0" applyFont="1" applyFill="1" applyBorder="1" applyAlignment="1">
      <alignment horizontal="center" vertical="center"/>
    </xf>
    <xf numFmtId="164" fontId="20" fillId="3" borderId="34" xfId="0" applyNumberFormat="1" applyFont="1" applyFill="1" applyBorder="1" applyAlignment="1">
      <alignment horizontal="center" vertical="center"/>
    </xf>
    <xf numFmtId="0" fontId="20" fillId="3" borderId="33" xfId="0" applyFont="1" applyFill="1" applyBorder="1" applyAlignment="1">
      <alignment horizontal="right" vertical="center"/>
    </xf>
    <xf numFmtId="0" fontId="20" fillId="3" borderId="35" xfId="0" applyFont="1" applyFill="1" applyBorder="1" applyAlignment="1">
      <alignment vertical="center"/>
    </xf>
    <xf numFmtId="0" fontId="5" fillId="0" borderId="0" xfId="0" applyFont="1" applyAlignment="1">
      <alignment horizontal="center" vertical="center"/>
    </xf>
    <xf numFmtId="0" fontId="2" fillId="0" borderId="59" xfId="0" applyFont="1" applyBorder="1" applyAlignment="1">
      <alignment horizontal="center" vertical="center" shrinkToFit="1"/>
    </xf>
    <xf numFmtId="164" fontId="2" fillId="0" borderId="36" xfId="0" applyNumberFormat="1" applyFont="1" applyBorder="1" applyAlignment="1">
      <alignment horizontal="center" vertical="center" shrinkToFit="1"/>
    </xf>
    <xf numFmtId="0" fontId="2" fillId="0" borderId="78" xfId="0" applyFont="1" applyBorder="1" applyAlignment="1">
      <alignment horizontal="center" vertical="center" shrinkToFit="1"/>
    </xf>
    <xf numFmtId="0" fontId="2" fillId="0" borderId="60" xfId="0" applyFont="1" applyBorder="1" applyAlignment="1">
      <alignment horizontal="center" vertical="center" shrinkToFit="1"/>
    </xf>
    <xf numFmtId="164" fontId="5"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164" fontId="5" fillId="0" borderId="0" xfId="0" applyNumberFormat="1" applyFont="1" applyAlignment="1">
      <alignment horizontal="center" vertical="center"/>
    </xf>
    <xf numFmtId="0" fontId="20" fillId="7" borderId="16" xfId="0" applyFont="1" applyFill="1" applyBorder="1" applyAlignment="1">
      <alignment horizontal="center" vertical="center"/>
    </xf>
    <xf numFmtId="0" fontId="20" fillId="7" borderId="17" xfId="0" applyFont="1" applyFill="1" applyBorder="1" applyAlignment="1">
      <alignment horizontal="center" vertical="center"/>
    </xf>
    <xf numFmtId="49" fontId="20" fillId="7" borderId="17" xfId="0" applyNumberFormat="1" applyFont="1" applyFill="1" applyBorder="1" applyAlignment="1">
      <alignment horizontal="center" vertical="center"/>
    </xf>
    <xf numFmtId="0" fontId="20" fillId="7" borderId="21" xfId="0" applyFont="1" applyFill="1" applyBorder="1" applyAlignment="1">
      <alignment horizontal="center" vertical="center"/>
    </xf>
    <xf numFmtId="0" fontId="20" fillId="7" borderId="18" xfId="0" applyFont="1" applyFill="1" applyBorder="1" applyAlignment="1">
      <alignment horizontal="center" vertical="center"/>
    </xf>
    <xf numFmtId="1" fontId="2" fillId="0" borderId="74" xfId="0" applyNumberFormat="1"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Continuous" vertical="center"/>
    </xf>
    <xf numFmtId="0" fontId="20" fillId="7" borderId="21" xfId="0" applyFont="1" applyFill="1" applyBorder="1" applyAlignment="1">
      <alignment horizontal="centerContinuous" vertical="center"/>
    </xf>
    <xf numFmtId="0" fontId="20" fillId="7" borderId="76" xfId="0" applyFont="1" applyFill="1" applyBorder="1" applyAlignment="1">
      <alignment horizontal="centerContinuous" vertical="center"/>
    </xf>
    <xf numFmtId="0" fontId="20" fillId="7" borderId="43" xfId="0" applyFont="1" applyFill="1" applyBorder="1" applyAlignment="1">
      <alignment horizontal="centerContinuous" vertical="center"/>
    </xf>
    <xf numFmtId="0" fontId="5" fillId="0" borderId="75" xfId="0" applyFont="1" applyBorder="1" applyAlignment="1">
      <alignment horizontal="centerContinuous" vertical="center"/>
    </xf>
    <xf numFmtId="0" fontId="17" fillId="0" borderId="0" xfId="0" applyFont="1" applyAlignment="1">
      <alignment horizontal="right" vertical="center"/>
    </xf>
    <xf numFmtId="0" fontId="20" fillId="7" borderId="19" xfId="0" applyFont="1" applyFill="1" applyBorder="1" applyAlignment="1">
      <alignment horizontal="centerContinuous" vertical="center"/>
    </xf>
    <xf numFmtId="0" fontId="20" fillId="7" borderId="20" xfId="0" applyFont="1" applyFill="1" applyBorder="1" applyAlignment="1">
      <alignment horizontal="centerContinuous" vertical="center"/>
    </xf>
    <xf numFmtId="0" fontId="2" fillId="0" borderId="80" xfId="0" applyFont="1" applyBorder="1" applyAlignment="1">
      <alignment horizontal="centerContinuous" vertical="center"/>
    </xf>
    <xf numFmtId="0" fontId="2" fillId="0" borderId="81" xfId="0" applyFont="1" applyBorder="1" applyAlignment="1">
      <alignment horizontal="centerContinuous" vertical="center"/>
    </xf>
    <xf numFmtId="0" fontId="2" fillId="0" borderId="71" xfId="0" applyFont="1" applyBorder="1" applyAlignment="1">
      <alignment horizontal="centerContinuous" vertical="center"/>
    </xf>
    <xf numFmtId="49" fontId="2" fillId="0" borderId="71" xfId="0" applyNumberFormat="1" applyFont="1" applyBorder="1" applyAlignment="1">
      <alignment horizontal="center" vertical="center"/>
    </xf>
    <xf numFmtId="49" fontId="2" fillId="0" borderId="71" xfId="0" applyNumberFormat="1" applyFont="1" applyBorder="1" applyAlignment="1">
      <alignment horizontal="centerContinuous" vertical="center"/>
    </xf>
    <xf numFmtId="49" fontId="2" fillId="0" borderId="82" xfId="0" applyNumberFormat="1" applyFont="1" applyBorder="1" applyAlignment="1">
      <alignment horizontal="centerContinuous" vertical="center"/>
    </xf>
    <xf numFmtId="0" fontId="2" fillId="0" borderId="83" xfId="0" applyFont="1" applyBorder="1" applyAlignment="1">
      <alignment horizontal="centerContinuous" vertical="center"/>
    </xf>
    <xf numFmtId="0" fontId="2" fillId="0" borderId="84" xfId="0" applyFont="1" applyBorder="1" applyAlignment="1">
      <alignment horizontal="centerContinuous" vertical="center"/>
    </xf>
    <xf numFmtId="0" fontId="5" fillId="0" borderId="85" xfId="0" applyFont="1" applyBorder="1" applyAlignment="1">
      <alignment horizontal="centerContinuous" vertical="center"/>
    </xf>
    <xf numFmtId="0" fontId="5" fillId="0" borderId="74" xfId="0" applyFont="1" applyBorder="1" applyAlignment="1">
      <alignment horizontal="centerContinuous" vertical="center"/>
    </xf>
    <xf numFmtId="49" fontId="2" fillId="0" borderId="73" xfId="0" applyNumberFormat="1" applyFont="1" applyBorder="1" applyAlignment="1">
      <alignment horizontal="center" vertical="center"/>
    </xf>
    <xf numFmtId="49" fontId="2" fillId="0" borderId="74" xfId="0" applyNumberFormat="1" applyFont="1" applyBorder="1" applyAlignment="1">
      <alignment horizontal="centerContinuous" vertical="center"/>
    </xf>
    <xf numFmtId="49" fontId="2" fillId="0" borderId="77" xfId="0" applyNumberFormat="1" applyFont="1" applyBorder="1" applyAlignment="1">
      <alignment horizontal="centerContinuous" vertical="center"/>
    </xf>
    <xf numFmtId="0" fontId="20" fillId="7" borderId="79" xfId="0" applyFont="1" applyFill="1" applyBorder="1" applyAlignment="1">
      <alignment horizontal="center" vertical="center"/>
    </xf>
    <xf numFmtId="0" fontId="44" fillId="0" borderId="29" xfId="0" applyFont="1" applyBorder="1" applyAlignment="1">
      <alignment horizontal="centerContinuous" vertical="center"/>
    </xf>
    <xf numFmtId="0" fontId="7" fillId="0" borderId="32" xfId="0" applyFont="1" applyBorder="1" applyAlignment="1">
      <alignment horizontal="centerContinuous" vertical="center"/>
    </xf>
    <xf numFmtId="0" fontId="7" fillId="0" borderId="42" xfId="0" applyFont="1" applyBorder="1" applyAlignment="1">
      <alignment horizontal="centerContinuous" vertical="center"/>
    </xf>
    <xf numFmtId="0" fontId="7" fillId="0" borderId="24" xfId="0" applyFont="1" applyBorder="1" applyAlignment="1">
      <alignment horizontal="center" vertical="center"/>
    </xf>
    <xf numFmtId="0" fontId="14" fillId="0" borderId="0" xfId="5" applyFont="1" applyAlignment="1">
      <alignment horizontal="centerContinuous" vertical="center" wrapText="1"/>
    </xf>
    <xf numFmtId="0" fontId="2" fillId="0" borderId="0" xfId="5" applyAlignment="1">
      <alignment vertical="center"/>
    </xf>
    <xf numFmtId="0" fontId="2" fillId="0" borderId="0" xfId="5" applyAlignment="1">
      <alignment vertical="center" wrapText="1"/>
    </xf>
    <xf numFmtId="0" fontId="4" fillId="0" borderId="0" xfId="5" applyFont="1" applyAlignment="1">
      <alignment vertical="center" wrapText="1"/>
    </xf>
    <xf numFmtId="0" fontId="7" fillId="0" borderId="1" xfId="0" applyFont="1" applyBorder="1" applyAlignment="1">
      <alignment horizontal="center" vertical="center" shrinkToFit="1"/>
    </xf>
    <xf numFmtId="0" fontId="7" fillId="0" borderId="25" xfId="10" applyNumberFormat="1" applyFont="1" applyFill="1" applyBorder="1" applyAlignment="1">
      <alignment horizontal="center" vertical="center" shrinkToFit="1"/>
    </xf>
    <xf numFmtId="0" fontId="7" fillId="0" borderId="50" xfId="0"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0" xfId="0" applyFont="1" applyBorder="1" applyAlignment="1">
      <alignment horizontal="center" vertical="center" wrapText="1"/>
    </xf>
    <xf numFmtId="0" fontId="4" fillId="0" borderId="0" xfId="5" applyFont="1" applyAlignment="1">
      <alignment horizontal="right" vertical="center" wrapText="1"/>
    </xf>
    <xf numFmtId="0" fontId="2" fillId="0" borderId="0" xfId="5" applyAlignment="1">
      <alignment horizontal="left" vertical="center" wrapText="1"/>
    </xf>
    <xf numFmtId="0" fontId="24" fillId="0" borderId="22" xfId="0" applyFont="1" applyBorder="1" applyAlignment="1">
      <alignment horizontal="centerContinuous" vertical="center"/>
    </xf>
    <xf numFmtId="0" fontId="14" fillId="0" borderId="0" xfId="0" applyFont="1" applyAlignment="1">
      <alignment horizontal="centerContinuous" vertical="center"/>
    </xf>
    <xf numFmtId="0" fontId="43" fillId="9" borderId="25" xfId="0" applyFont="1" applyFill="1" applyBorder="1" applyAlignment="1">
      <alignment horizontal="center" vertical="center"/>
    </xf>
    <xf numFmtId="0" fontId="12" fillId="0" borderId="25" xfId="0" applyFont="1" applyBorder="1" applyAlignment="1">
      <alignment horizontal="center" vertical="center"/>
    </xf>
    <xf numFmtId="0" fontId="40" fillId="0" borderId="50" xfId="0" applyFont="1" applyBorder="1" applyAlignment="1">
      <alignment vertical="center"/>
    </xf>
    <xf numFmtId="0" fontId="6" fillId="0" borderId="51" xfId="0" applyFont="1" applyBorder="1" applyAlignment="1">
      <alignment horizontal="center" vertical="center"/>
    </xf>
    <xf numFmtId="0" fontId="7" fillId="0" borderId="51" xfId="0" applyFont="1" applyBorder="1" applyAlignment="1">
      <alignment horizontal="center" vertical="center"/>
    </xf>
    <xf numFmtId="0" fontId="42" fillId="0" borderId="51" xfId="0" applyFont="1" applyBorder="1" applyAlignment="1">
      <alignment horizontal="center" vertical="center" wrapText="1"/>
    </xf>
    <xf numFmtId="1" fontId="7" fillId="0" borderId="51" xfId="0" applyNumberFormat="1" applyFont="1" applyBorder="1" applyAlignment="1">
      <alignment horizontal="center" vertical="center" wrapText="1"/>
    </xf>
    <xf numFmtId="0" fontId="43" fillId="9" borderId="51" xfId="0" applyFont="1" applyFill="1" applyBorder="1" applyAlignment="1">
      <alignment horizontal="center" vertical="center"/>
    </xf>
    <xf numFmtId="49" fontId="7" fillId="0" borderId="51" xfId="0" applyNumberFormat="1" applyFont="1" applyBorder="1" applyAlignment="1">
      <alignment horizontal="center" vertical="center" wrapText="1"/>
    </xf>
    <xf numFmtId="0" fontId="10" fillId="6" borderId="1" xfId="0" applyFont="1" applyFill="1" applyBorder="1" applyAlignment="1">
      <alignment vertical="center"/>
    </xf>
    <xf numFmtId="0" fontId="7" fillId="6" borderId="24" xfId="0" applyFont="1" applyFill="1" applyBorder="1" applyAlignment="1">
      <alignment horizontal="center" vertical="center"/>
    </xf>
    <xf numFmtId="49" fontId="15" fillId="6" borderId="24" xfId="0" applyNumberFormat="1" applyFont="1" applyFill="1" applyBorder="1" applyAlignment="1">
      <alignment horizontal="center" vertical="center"/>
    </xf>
    <xf numFmtId="0" fontId="15" fillId="6" borderId="25" xfId="0" applyFont="1" applyFill="1" applyBorder="1" applyAlignment="1">
      <alignment horizontal="center" vertical="center"/>
    </xf>
    <xf numFmtId="0" fontId="10" fillId="6" borderId="25" xfId="0"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6" xfId="0" applyFont="1" applyFill="1" applyBorder="1" applyAlignment="1">
      <alignment horizontal="center" vertical="center"/>
    </xf>
    <xf numFmtId="0" fontId="18" fillId="0" borderId="0" xfId="0" applyFont="1" applyAlignment="1">
      <alignment vertical="center"/>
    </xf>
    <xf numFmtId="0" fontId="31" fillId="0" borderId="0" xfId="0" applyFont="1" applyAlignment="1">
      <alignment vertical="center"/>
    </xf>
    <xf numFmtId="0" fontId="13" fillId="0" borderId="1" xfId="0" applyFont="1" applyBorder="1" applyAlignment="1">
      <alignment vertical="center"/>
    </xf>
    <xf numFmtId="49" fontId="22" fillId="0" borderId="24" xfId="0" applyNumberFormat="1" applyFont="1" applyBorder="1" applyAlignment="1">
      <alignment horizontal="center" vertical="center"/>
    </xf>
    <xf numFmtId="0" fontId="22" fillId="0" borderId="25" xfId="0" applyFont="1" applyBorder="1" applyAlignment="1">
      <alignment horizontal="center" vertical="center"/>
    </xf>
    <xf numFmtId="0" fontId="13"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7" fillId="0" borderId="26" xfId="0" applyFont="1" applyBorder="1" applyAlignment="1">
      <alignment horizontal="center" vertical="center"/>
    </xf>
    <xf numFmtId="0" fontId="29" fillId="0" borderId="0" xfId="0" applyFont="1" applyAlignment="1">
      <alignment vertical="center"/>
    </xf>
    <xf numFmtId="0" fontId="28" fillId="0" borderId="0" xfId="0" applyFont="1" applyAlignment="1">
      <alignment vertical="center"/>
    </xf>
    <xf numFmtId="0" fontId="9" fillId="6" borderId="1" xfId="0" applyFont="1" applyFill="1" applyBorder="1" applyAlignment="1">
      <alignment vertical="center"/>
    </xf>
    <xf numFmtId="49" fontId="26" fillId="6" borderId="24" xfId="0" applyNumberFormat="1" applyFont="1" applyFill="1" applyBorder="1" applyAlignment="1">
      <alignment horizontal="center" vertical="center"/>
    </xf>
    <xf numFmtId="0" fontId="26" fillId="6" borderId="25" xfId="0" applyFont="1" applyFill="1" applyBorder="1" applyAlignment="1">
      <alignment horizontal="center" vertical="center"/>
    </xf>
    <xf numFmtId="0" fontId="9" fillId="6" borderId="25" xfId="0" applyFont="1" applyFill="1" applyBorder="1" applyAlignment="1">
      <alignment horizontal="center" vertical="center"/>
    </xf>
    <xf numFmtId="0" fontId="30" fillId="0" borderId="0" xfId="0" applyFont="1" applyAlignment="1">
      <alignment vertical="center"/>
    </xf>
    <xf numFmtId="0" fontId="12" fillId="0" borderId="1" xfId="0" applyFont="1" applyBorder="1" applyAlignment="1">
      <alignment vertical="center"/>
    </xf>
    <xf numFmtId="49" fontId="23" fillId="0" borderId="24" xfId="0" applyNumberFormat="1" applyFont="1" applyBorder="1" applyAlignment="1">
      <alignment horizontal="center" vertical="center"/>
    </xf>
    <xf numFmtId="0" fontId="23" fillId="0" borderId="25" xfId="0" applyFont="1" applyBorder="1" applyAlignment="1">
      <alignment horizontal="center" vertical="center"/>
    </xf>
    <xf numFmtId="0" fontId="10" fillId="0" borderId="1" xfId="0" applyFont="1" applyBorder="1" applyAlignment="1">
      <alignment vertical="center"/>
    </xf>
    <xf numFmtId="49" fontId="15" fillId="0" borderId="24" xfId="0" applyNumberFormat="1" applyFont="1" applyBorder="1" applyAlignment="1">
      <alignment horizontal="center" vertical="center"/>
    </xf>
    <xf numFmtId="0" fontId="15" fillId="0" borderId="25" xfId="0" applyFont="1" applyBorder="1" applyAlignment="1">
      <alignment horizontal="center" vertical="center"/>
    </xf>
    <xf numFmtId="0" fontId="10" fillId="0" borderId="25" xfId="0" applyFont="1" applyBorder="1" applyAlignment="1">
      <alignment horizontal="center" vertical="center"/>
    </xf>
    <xf numFmtId="0" fontId="13" fillId="8" borderId="1" xfId="0" applyFont="1" applyFill="1" applyBorder="1" applyAlignment="1">
      <alignment vertical="center"/>
    </xf>
    <xf numFmtId="0" fontId="7" fillId="8" borderId="24" xfId="0" applyFont="1" applyFill="1" applyBorder="1" applyAlignment="1">
      <alignment horizontal="center" vertical="center"/>
    </xf>
    <xf numFmtId="49" fontId="22" fillId="8" borderId="24" xfId="0" applyNumberFormat="1" applyFont="1" applyFill="1" applyBorder="1" applyAlignment="1">
      <alignment horizontal="center" vertical="center"/>
    </xf>
    <xf numFmtId="0" fontId="22" fillId="8" borderId="25" xfId="0" applyFont="1" applyFill="1" applyBorder="1" applyAlignment="1">
      <alignment horizontal="center" vertical="center"/>
    </xf>
    <xf numFmtId="0" fontId="13" fillId="8" borderId="25" xfId="0" applyFont="1" applyFill="1" applyBorder="1" applyAlignment="1">
      <alignment horizontal="center" vertical="center"/>
    </xf>
    <xf numFmtId="49" fontId="7" fillId="8" borderId="25" xfId="0" applyNumberFormat="1" applyFont="1" applyFill="1" applyBorder="1" applyAlignment="1">
      <alignment horizontal="center" vertical="center"/>
    </xf>
    <xf numFmtId="0" fontId="7" fillId="8" borderId="26" xfId="0" applyFont="1" applyFill="1" applyBorder="1" applyAlignment="1">
      <alignment horizontal="center" vertical="center"/>
    </xf>
    <xf numFmtId="0" fontId="21" fillId="0" borderId="1" xfId="0" applyFont="1" applyBorder="1" applyAlignment="1">
      <alignment vertical="center"/>
    </xf>
    <xf numFmtId="49" fontId="27" fillId="0" borderId="24" xfId="0" applyNumberFormat="1" applyFont="1" applyBorder="1" applyAlignment="1">
      <alignment horizontal="center" vertical="center"/>
    </xf>
    <xf numFmtId="0" fontId="27" fillId="0" borderId="25" xfId="0" applyFont="1" applyBorder="1" applyAlignment="1">
      <alignment horizontal="center" vertical="center"/>
    </xf>
    <xf numFmtId="0" fontId="21" fillId="0" borderId="25" xfId="0" applyFont="1" applyBorder="1" applyAlignment="1">
      <alignment horizontal="center" vertical="center"/>
    </xf>
    <xf numFmtId="0" fontId="8" fillId="0" borderId="1" xfId="0" applyFont="1" applyBorder="1" applyAlignment="1">
      <alignment vertical="center"/>
    </xf>
    <xf numFmtId="49" fontId="16" fillId="0" borderId="24" xfId="0" applyNumberFormat="1" applyFont="1" applyBorder="1" applyAlignment="1">
      <alignment horizontal="center" vertical="center"/>
    </xf>
    <xf numFmtId="0" fontId="16" fillId="0" borderId="25" xfId="0" applyFont="1" applyBorder="1" applyAlignment="1">
      <alignment horizontal="center" vertical="center"/>
    </xf>
    <xf numFmtId="0" fontId="8" fillId="0" borderId="25" xfId="0" applyFont="1" applyBorder="1" applyAlignment="1">
      <alignment horizontal="center" vertical="center"/>
    </xf>
    <xf numFmtId="0" fontId="10" fillId="8" borderId="1" xfId="0" applyFont="1" applyFill="1" applyBorder="1" applyAlignment="1">
      <alignment vertical="center"/>
    </xf>
    <xf numFmtId="49" fontId="15" fillId="8" borderId="24" xfId="0" applyNumberFormat="1" applyFont="1" applyFill="1" applyBorder="1" applyAlignment="1">
      <alignment horizontal="center" vertical="center"/>
    </xf>
    <xf numFmtId="0" fontId="15" fillId="8" borderId="25" xfId="0" applyFont="1" applyFill="1" applyBorder="1" applyAlignment="1">
      <alignment horizontal="center" vertical="center"/>
    </xf>
    <xf numFmtId="0" fontId="10" fillId="8" borderId="25" xfId="0" applyFont="1" applyFill="1" applyBorder="1" applyAlignment="1">
      <alignment horizontal="center" vertical="center"/>
    </xf>
    <xf numFmtId="0" fontId="7" fillId="6" borderId="26" xfId="0" quotePrefix="1" applyFont="1" applyFill="1" applyBorder="1" applyAlignment="1">
      <alignment horizontal="center" vertical="center"/>
    </xf>
    <xf numFmtId="0" fontId="7" fillId="0" borderId="26" xfId="0" quotePrefix="1" applyFont="1" applyBorder="1" applyAlignment="1">
      <alignment horizontal="center" vertical="center"/>
    </xf>
    <xf numFmtId="0" fontId="12" fillId="0" borderId="8" xfId="0" applyFont="1" applyBorder="1" applyAlignment="1">
      <alignment vertical="center"/>
    </xf>
    <xf numFmtId="0" fontId="7" fillId="0" borderId="40" xfId="0" applyFont="1" applyBorder="1" applyAlignment="1">
      <alignment horizontal="center" vertical="center"/>
    </xf>
    <xf numFmtId="49" fontId="23" fillId="0" borderId="40" xfId="0" applyNumberFormat="1" applyFont="1" applyBorder="1" applyAlignment="1">
      <alignment horizontal="center" vertical="center"/>
    </xf>
    <xf numFmtId="0" fontId="23" fillId="0" borderId="41" xfId="0" applyFont="1" applyBorder="1" applyAlignment="1">
      <alignment horizontal="center" vertical="center"/>
    </xf>
    <xf numFmtId="0" fontId="12" fillId="0" borderId="41" xfId="0" applyFont="1" applyBorder="1" applyAlignment="1">
      <alignment horizontal="center" vertical="center"/>
    </xf>
    <xf numFmtId="49" fontId="7" fillId="0" borderId="41" xfId="0" applyNumberFormat="1" applyFont="1" applyBorder="1" applyAlignment="1">
      <alignment horizontal="center" vertical="center"/>
    </xf>
    <xf numFmtId="0" fontId="43" fillId="9" borderId="40" xfId="0" applyFont="1" applyFill="1" applyBorder="1" applyAlignment="1">
      <alignment horizontal="center" vertical="center"/>
    </xf>
    <xf numFmtId="0" fontId="7" fillId="0" borderId="3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41" fillId="2" borderId="53" xfId="0" applyFont="1" applyFill="1" applyBorder="1" applyAlignment="1">
      <alignment horizontal="right" vertical="center"/>
    </xf>
    <xf numFmtId="0" fontId="41" fillId="2" borderId="54" xfId="0" applyFont="1" applyFill="1" applyBorder="1" applyAlignment="1">
      <alignment horizontal="left" vertical="center"/>
    </xf>
    <xf numFmtId="0" fontId="19" fillId="2" borderId="54" xfId="0" applyFont="1" applyFill="1" applyBorder="1" applyAlignment="1">
      <alignment horizontal="left" vertical="center"/>
    </xf>
    <xf numFmtId="0" fontId="4" fillId="2" borderId="54" xfId="0" applyFont="1" applyFill="1" applyBorder="1" applyAlignment="1">
      <alignment horizontal="centerContinuous" vertical="center"/>
    </xf>
    <xf numFmtId="0" fontId="5" fillId="2" borderId="54" xfId="0" applyFont="1" applyFill="1" applyBorder="1" applyAlignment="1">
      <alignment horizontal="centerContinuous" vertical="center"/>
    </xf>
    <xf numFmtId="0" fontId="34" fillId="2" borderId="88"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1" xfId="0" applyFont="1" applyFill="1" applyBorder="1" applyAlignment="1">
      <alignment horizontal="right" vertical="center"/>
    </xf>
    <xf numFmtId="0" fontId="6" fillId="4" borderId="86" xfId="0" applyFont="1" applyFill="1" applyBorder="1" applyAlignment="1">
      <alignment horizontal="right"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5" fillId="0" borderId="14" xfId="0" applyFont="1" applyBorder="1" applyAlignment="1">
      <alignment horizontal="center" vertical="center"/>
    </xf>
    <xf numFmtId="0" fontId="8" fillId="4" borderId="46"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8" fillId="4" borderId="44" xfId="0" applyFont="1" applyFill="1" applyBorder="1" applyAlignment="1">
      <alignment horizontal="right" vertical="center"/>
    </xf>
    <xf numFmtId="164" fontId="6" fillId="5" borderId="28" xfId="0" applyNumberFormat="1" applyFont="1" applyFill="1" applyBorder="1" applyAlignment="1">
      <alignment horizontal="center" vertical="center"/>
    </xf>
    <xf numFmtId="49" fontId="25" fillId="0" borderId="3" xfId="0" applyNumberFormat="1" applyFont="1" applyBorder="1" applyAlignment="1">
      <alignment horizontal="center" vertical="center"/>
    </xf>
    <xf numFmtId="0" fontId="6"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44"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4" borderId="45"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26" xfId="0" applyFont="1" applyBorder="1" applyAlignment="1">
      <alignment horizontal="center" vertical="center" shrinkToFit="1"/>
    </xf>
    <xf numFmtId="0" fontId="2" fillId="0" borderId="92" xfId="0" applyFont="1" applyBorder="1" applyAlignment="1">
      <alignment horizontal="centerContinuous" vertical="center" shrinkToFit="1"/>
    </xf>
    <xf numFmtId="0" fontId="20" fillId="0" borderId="93" xfId="0" applyFont="1" applyBorder="1" applyAlignment="1">
      <alignment horizontal="centerContinuous" vertical="center"/>
    </xf>
    <xf numFmtId="0" fontId="2" fillId="0" borderId="94" xfId="0" applyFont="1" applyBorder="1" applyAlignment="1">
      <alignment horizontal="center" vertical="center"/>
    </xf>
    <xf numFmtId="0" fontId="2" fillId="0" borderId="96" xfId="0" applyFont="1" applyBorder="1" applyAlignment="1">
      <alignment horizontal="centerContinuous" vertical="center"/>
    </xf>
    <xf numFmtId="0" fontId="2" fillId="0" borderId="0" xfId="0" applyFont="1" applyAlignment="1">
      <alignment vertical="center"/>
    </xf>
    <xf numFmtId="0" fontId="2" fillId="0" borderId="84" xfId="0" applyFont="1" applyBorder="1" applyAlignment="1">
      <alignment horizontal="centerContinuous" vertical="center" shrinkToFit="1"/>
    </xf>
    <xf numFmtId="0" fontId="20" fillId="0" borderId="77" xfId="0" applyFont="1" applyBorder="1" applyAlignment="1">
      <alignment horizontal="centerContinuous" vertical="center"/>
    </xf>
    <xf numFmtId="0" fontId="2" fillId="0" borderId="75" xfId="0" applyFont="1" applyBorder="1" applyAlignment="1">
      <alignment horizontal="centerContinuous" vertical="center"/>
    </xf>
    <xf numFmtId="1" fontId="5" fillId="0" borderId="95" xfId="0" applyNumberFormat="1" applyFont="1" applyBorder="1" applyAlignment="1">
      <alignment horizontal="center" vertical="center"/>
    </xf>
    <xf numFmtId="1" fontId="2" fillId="0" borderId="95" xfId="0" applyNumberFormat="1" applyFont="1" applyBorder="1" applyAlignment="1">
      <alignment horizontal="center" vertical="center"/>
    </xf>
    <xf numFmtId="1" fontId="5" fillId="0" borderId="0" xfId="0" applyNumberFormat="1" applyFont="1" applyAlignment="1">
      <alignment vertical="center"/>
    </xf>
    <xf numFmtId="1" fontId="20" fillId="7" borderId="29" xfId="0" applyNumberFormat="1" applyFont="1" applyFill="1" applyBorder="1" applyAlignment="1">
      <alignment horizontal="center" vertical="center"/>
    </xf>
    <xf numFmtId="1" fontId="2" fillId="0" borderId="47" xfId="0" applyNumberFormat="1" applyFont="1" applyBorder="1" applyAlignment="1">
      <alignment horizontal="center" vertical="center"/>
    </xf>
    <xf numFmtId="1" fontId="2" fillId="0" borderId="67" xfId="0" applyNumberFormat="1" applyFont="1" applyBorder="1" applyAlignment="1">
      <alignment horizontal="center" vertical="center"/>
    </xf>
    <xf numFmtId="1" fontId="2" fillId="0" borderId="42" xfId="0" applyNumberFormat="1" applyFont="1" applyBorder="1" applyAlignment="1">
      <alignment horizontal="center" vertical="center"/>
    </xf>
    <xf numFmtId="1" fontId="5" fillId="0" borderId="0" xfId="0" applyNumberFormat="1" applyFont="1" applyAlignment="1">
      <alignment horizontal="center" vertical="center"/>
    </xf>
    <xf numFmtId="1" fontId="2" fillId="0" borderId="0" xfId="0" applyNumberFormat="1" applyFont="1" applyAlignment="1">
      <alignment horizontal="center" vertical="center"/>
    </xf>
    <xf numFmtId="0" fontId="7" fillId="0" borderId="25" xfId="2" applyNumberFormat="1" applyFont="1" applyBorder="1" applyAlignment="1">
      <alignment horizontal="center" vertical="center" shrinkToFit="1"/>
    </xf>
    <xf numFmtId="0" fontId="7" fillId="0" borderId="25" xfId="0" applyFont="1" applyBorder="1" applyAlignment="1">
      <alignment horizontal="center" vertical="center" shrinkToFit="1"/>
    </xf>
    <xf numFmtId="9" fontId="7" fillId="0" borderId="51" xfId="2" applyFont="1" applyFill="1" applyBorder="1" applyAlignment="1">
      <alignment horizontal="center" vertical="center" shrinkToFit="1"/>
    </xf>
    <xf numFmtId="0" fontId="7" fillId="0" borderId="14" xfId="0" applyFont="1" applyBorder="1" applyAlignment="1">
      <alignment horizontal="center" vertical="center" shrinkToFit="1"/>
    </xf>
    <xf numFmtId="0" fontId="48" fillId="0" borderId="1" xfId="0" applyFont="1" applyBorder="1" applyAlignment="1">
      <alignment vertical="center"/>
    </xf>
    <xf numFmtId="0" fontId="6" fillId="0" borderId="24" xfId="0" applyFont="1" applyBorder="1" applyAlignment="1">
      <alignment horizontal="center" vertical="center"/>
    </xf>
    <xf numFmtId="1" fontId="7" fillId="0" borderId="24"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0" fontId="49" fillId="0" borderId="1" xfId="0" applyFont="1" applyBorder="1" applyAlignment="1">
      <alignment vertical="center"/>
    </xf>
    <xf numFmtId="0" fontId="7" fillId="0" borderId="52" xfId="0" quotePrefix="1" applyFont="1" applyBorder="1" applyAlignment="1">
      <alignment horizontal="center" vertical="center"/>
    </xf>
    <xf numFmtId="0" fontId="9" fillId="0" borderId="25" xfId="0" applyFont="1" applyBorder="1" applyAlignment="1">
      <alignment horizontal="center" vertical="center"/>
    </xf>
    <xf numFmtId="1" fontId="2" fillId="8" borderId="42" xfId="0" applyNumberFormat="1" applyFont="1" applyFill="1" applyBorder="1" applyAlignment="1">
      <alignment horizontal="center" vertical="center"/>
    </xf>
    <xf numFmtId="0" fontId="39" fillId="0" borderId="29" xfId="0" applyFont="1" applyBorder="1" applyAlignment="1">
      <alignment horizontal="centerContinuous" vertical="center"/>
    </xf>
    <xf numFmtId="0" fontId="12" fillId="8" borderId="1" xfId="0" applyFont="1" applyFill="1" applyBorder="1" applyAlignment="1">
      <alignment vertical="center"/>
    </xf>
    <xf numFmtId="49" fontId="23" fillId="8" borderId="24" xfId="0" applyNumberFormat="1" applyFont="1" applyFill="1" applyBorder="1" applyAlignment="1">
      <alignment horizontal="center" vertical="center"/>
    </xf>
    <xf numFmtId="0" fontId="23" fillId="8" borderId="25" xfId="0" applyFont="1" applyFill="1" applyBorder="1" applyAlignment="1">
      <alignment horizontal="center" vertical="center"/>
    </xf>
    <xf numFmtId="0" fontId="12" fillId="8" borderId="25" xfId="0" applyFont="1" applyFill="1" applyBorder="1" applyAlignment="1">
      <alignment horizontal="center" vertical="center"/>
    </xf>
    <xf numFmtId="0" fontId="43" fillId="9" borderId="12" xfId="0" applyFont="1" applyFill="1" applyBorder="1" applyAlignment="1">
      <alignment horizontal="center" vertical="center"/>
    </xf>
    <xf numFmtId="0" fontId="52" fillId="0" borderId="5" xfId="0" applyFont="1" applyBorder="1" applyAlignment="1">
      <alignment horizontal="centerContinuous" vertical="center"/>
    </xf>
    <xf numFmtId="0" fontId="4" fillId="0" borderId="6" xfId="0" applyFont="1" applyBorder="1" applyAlignment="1">
      <alignment horizontal="centerContinuous" vertical="center"/>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52" fillId="0" borderId="10" xfId="0" applyFont="1" applyBorder="1" applyAlignment="1">
      <alignment horizontal="center" vertical="center"/>
    </xf>
    <xf numFmtId="0" fontId="4" fillId="0" borderId="55" xfId="0" applyFont="1" applyBorder="1" applyAlignment="1">
      <alignment horizontal="right" vertical="center"/>
    </xf>
    <xf numFmtId="0" fontId="4" fillId="0" borderId="32" xfId="0" applyFont="1" applyBorder="1" applyAlignment="1">
      <alignment horizontal="right" vertical="center"/>
    </xf>
    <xf numFmtId="0" fontId="4" fillId="0" borderId="42" xfId="0" applyFont="1" applyBorder="1" applyAlignment="1">
      <alignment horizontal="right" vertical="center"/>
    </xf>
    <xf numFmtId="0" fontId="7" fillId="0" borderId="1" xfId="0" quotePrefix="1" applyFont="1" applyBorder="1" applyAlignment="1">
      <alignment vertical="center"/>
    </xf>
    <xf numFmtId="0" fontId="7" fillId="0" borderId="2" xfId="0" quotePrefix="1" applyFont="1" applyBorder="1" applyAlignment="1">
      <alignment horizontal="center" vertical="center"/>
    </xf>
    <xf numFmtId="0" fontId="7" fillId="8" borderId="26" xfId="0" quotePrefix="1" applyFont="1" applyFill="1" applyBorder="1" applyAlignment="1">
      <alignment horizontal="center" vertical="center"/>
    </xf>
    <xf numFmtId="0" fontId="54" fillId="11" borderId="72" xfId="0" applyFont="1" applyFill="1" applyBorder="1" applyAlignment="1">
      <alignment horizontal="center" vertical="center"/>
    </xf>
    <xf numFmtId="0" fontId="54" fillId="11" borderId="73" xfId="0" applyFont="1" applyFill="1" applyBorder="1" applyAlignment="1">
      <alignment horizontal="center" vertical="center"/>
    </xf>
    <xf numFmtId="49" fontId="54" fillId="11" borderId="73" xfId="0" applyNumberFormat="1" applyFont="1" applyFill="1" applyBorder="1" applyAlignment="1">
      <alignment horizontal="center" vertical="center"/>
    </xf>
    <xf numFmtId="164" fontId="54" fillId="11" borderId="73" xfId="0" applyNumberFormat="1" applyFont="1" applyFill="1" applyBorder="1" applyAlignment="1">
      <alignment horizontal="center" vertical="center"/>
    </xf>
    <xf numFmtId="1" fontId="54" fillId="11" borderId="74" xfId="0" applyNumberFormat="1" applyFont="1" applyFill="1" applyBorder="1" applyAlignment="1">
      <alignment horizontal="center" vertical="center"/>
    </xf>
    <xf numFmtId="0" fontId="54" fillId="11" borderId="87" xfId="0" applyFont="1" applyFill="1" applyBorder="1" applyAlignment="1">
      <alignment horizontal="center" vertical="center"/>
    </xf>
    <xf numFmtId="1" fontId="54" fillId="11" borderId="42" xfId="0" applyNumberFormat="1" applyFont="1" applyFill="1" applyBorder="1" applyAlignment="1">
      <alignment horizontal="center" vertical="center"/>
    </xf>
    <xf numFmtId="0" fontId="13" fillId="6" borderId="1" xfId="0" applyFont="1" applyFill="1" applyBorder="1" applyAlignment="1">
      <alignment vertical="center"/>
    </xf>
    <xf numFmtId="49" fontId="22" fillId="6" borderId="24" xfId="0" applyNumberFormat="1" applyFont="1" applyFill="1" applyBorder="1" applyAlignment="1">
      <alignment horizontal="center" vertical="center"/>
    </xf>
    <xf numFmtId="0" fontId="22" fillId="6" borderId="25" xfId="0" applyFont="1" applyFill="1" applyBorder="1" applyAlignment="1">
      <alignment horizontal="center" vertical="center"/>
    </xf>
    <xf numFmtId="0" fontId="13" fillId="6" borderId="25" xfId="0" applyFont="1" applyFill="1" applyBorder="1" applyAlignment="1">
      <alignment horizontal="center" vertical="center"/>
    </xf>
    <xf numFmtId="3" fontId="5" fillId="0" borderId="0" xfId="0" applyNumberFormat="1" applyFont="1" applyAlignment="1">
      <alignment vertical="center"/>
    </xf>
    <xf numFmtId="164" fontId="20" fillId="3" borderId="29" xfId="0" applyNumberFormat="1" applyFont="1" applyFill="1" applyBorder="1" applyAlignment="1">
      <alignment horizontal="center" vertical="center"/>
    </xf>
    <xf numFmtId="1" fontId="2" fillId="0" borderId="32" xfId="0" applyNumberFormat="1" applyFont="1" applyBorder="1" applyAlignment="1">
      <alignment horizontal="center" vertical="center" shrinkToFit="1"/>
    </xf>
    <xf numFmtId="1" fontId="5" fillId="0" borderId="42" xfId="0" applyNumberFormat="1" applyFont="1" applyBorder="1" applyAlignment="1">
      <alignment horizontal="center" vertical="center" shrinkToFit="1"/>
    </xf>
    <xf numFmtId="49" fontId="27" fillId="6" borderId="24" xfId="0" applyNumberFormat="1" applyFont="1" applyFill="1" applyBorder="1" applyAlignment="1">
      <alignment horizontal="center" vertical="center"/>
    </xf>
    <xf numFmtId="0" fontId="27" fillId="6" borderId="25" xfId="0" applyFont="1" applyFill="1" applyBorder="1" applyAlignment="1">
      <alignment horizontal="center" vertical="center"/>
    </xf>
    <xf numFmtId="0" fontId="21" fillId="6" borderId="25" xfId="0" applyFont="1" applyFill="1" applyBorder="1" applyAlignment="1">
      <alignment horizontal="center" vertical="center"/>
    </xf>
    <xf numFmtId="49" fontId="7" fillId="12" borderId="25" xfId="0" applyNumberFormat="1" applyFont="1" applyFill="1" applyBorder="1" applyAlignment="1">
      <alignment horizontal="center" vertical="center"/>
    </xf>
    <xf numFmtId="0" fontId="6" fillId="8" borderId="1" xfId="0" applyFont="1" applyFill="1" applyBorder="1" applyAlignment="1">
      <alignment horizontal="right" vertical="center"/>
    </xf>
    <xf numFmtId="0" fontId="7" fillId="8" borderId="0" xfId="0" applyFont="1" applyFill="1" applyAlignment="1">
      <alignment horizontal="centerContinuous" vertical="center"/>
    </xf>
    <xf numFmtId="0" fontId="6" fillId="8" borderId="0" xfId="0" applyFont="1" applyFill="1" applyAlignment="1">
      <alignment horizontal="right" vertical="center"/>
    </xf>
    <xf numFmtId="0" fontId="7" fillId="8" borderId="0" xfId="0" applyFont="1" applyFill="1" applyAlignment="1">
      <alignment horizontal="center" vertical="center"/>
    </xf>
    <xf numFmtId="0" fontId="2" fillId="0" borderId="97" xfId="0" applyFont="1" applyBorder="1" applyAlignment="1">
      <alignment horizontal="center" vertical="center" shrinkToFit="1"/>
    </xf>
    <xf numFmtId="164" fontId="2" fillId="0" borderId="98" xfId="0" applyNumberFormat="1" applyFont="1" applyBorder="1" applyAlignment="1">
      <alignment horizontal="center" vertical="center"/>
    </xf>
    <xf numFmtId="164" fontId="2" fillId="0" borderId="99" xfId="0" applyNumberFormat="1" applyFont="1" applyBorder="1" applyAlignment="1">
      <alignment horizontal="centerContinuous" vertical="center"/>
    </xf>
    <xf numFmtId="164" fontId="2" fillId="0" borderId="100" xfId="0" applyNumberFormat="1" applyFont="1" applyBorder="1" applyAlignment="1">
      <alignment horizontal="centerContinuous" vertical="center"/>
    </xf>
    <xf numFmtId="0" fontId="5" fillId="0" borderId="101" xfId="0" quotePrefix="1" applyFont="1" applyBorder="1" applyAlignment="1">
      <alignment horizontal="centerContinuous" vertical="center"/>
    </xf>
    <xf numFmtId="0" fontId="2" fillId="0" borderId="102" xfId="0" applyFont="1" applyBorder="1" applyAlignment="1">
      <alignment horizontal="center" vertical="center" shrinkToFit="1"/>
    </xf>
    <xf numFmtId="0" fontId="2" fillId="0" borderId="103" xfId="0" applyFont="1" applyBorder="1" applyAlignment="1">
      <alignment horizontal="center" vertical="center"/>
    </xf>
    <xf numFmtId="0" fontId="2" fillId="0" borderId="103" xfId="0" quotePrefix="1" applyFont="1" applyBorder="1" applyAlignment="1">
      <alignment horizontal="center" vertical="center"/>
    </xf>
    <xf numFmtId="9" fontId="2" fillId="0" borderId="103" xfId="0" applyNumberFormat="1" applyFont="1" applyBorder="1" applyAlignment="1">
      <alignment horizontal="center" vertical="center"/>
    </xf>
    <xf numFmtId="49" fontId="2" fillId="0" borderId="103" xfId="0" quotePrefix="1" applyNumberFormat="1" applyFont="1" applyBorder="1" applyAlignment="1">
      <alignment horizontal="center" vertical="center"/>
    </xf>
    <xf numFmtId="164" fontId="2" fillId="0" borderId="103" xfId="0" applyNumberFormat="1" applyFont="1" applyBorder="1" applyAlignment="1">
      <alignment horizontal="center" vertical="center"/>
    </xf>
    <xf numFmtId="164" fontId="2" fillId="0" borderId="104" xfId="0" applyNumberFormat="1" applyFont="1" applyBorder="1" applyAlignment="1">
      <alignment horizontal="centerContinuous" vertical="center"/>
    </xf>
    <xf numFmtId="164" fontId="2" fillId="0" borderId="105" xfId="0" applyNumberFormat="1" applyFont="1" applyBorder="1" applyAlignment="1">
      <alignment horizontal="centerContinuous" vertical="center"/>
    </xf>
    <xf numFmtId="0" fontId="5" fillId="0" borderId="106" xfId="0" quotePrefix="1" applyFont="1" applyBorder="1" applyAlignment="1">
      <alignment horizontal="centerContinuous" vertical="center"/>
    </xf>
    <xf numFmtId="1" fontId="2" fillId="0" borderId="107" xfId="0" applyNumberFormat="1" applyFont="1" applyBorder="1" applyAlignment="1">
      <alignment horizontal="center" vertical="center"/>
    </xf>
    <xf numFmtId="0" fontId="2" fillId="0" borderId="36" xfId="0" quotePrefix="1" applyFont="1" applyBorder="1" applyAlignment="1">
      <alignment horizontal="left" vertical="center"/>
    </xf>
    <xf numFmtId="0" fontId="2" fillId="0" borderId="108" xfId="0" applyFont="1" applyBorder="1" applyAlignment="1">
      <alignment horizontal="center" vertical="center" shrinkToFit="1"/>
    </xf>
    <xf numFmtId="1" fontId="5" fillId="0" borderId="107" xfId="0" applyNumberFormat="1" applyFont="1" applyBorder="1" applyAlignment="1">
      <alignment horizontal="center" vertical="center" shrinkToFit="1"/>
    </xf>
    <xf numFmtId="0" fontId="21" fillId="6" borderId="1" xfId="0" applyFont="1" applyFill="1" applyBorder="1" applyAlignment="1">
      <alignment vertical="center"/>
    </xf>
    <xf numFmtId="0" fontId="56" fillId="0" borderId="1" xfId="0" applyFont="1" applyBorder="1" applyAlignment="1">
      <alignment horizontal="center" vertical="center" shrinkToFit="1"/>
    </xf>
    <xf numFmtId="1" fontId="7" fillId="0" borderId="63" xfId="0" applyNumberFormat="1" applyFont="1" applyBorder="1" applyAlignment="1">
      <alignment horizontal="center" vertical="center"/>
    </xf>
    <xf numFmtId="165" fontId="2" fillId="0" borderId="0" xfId="0" applyNumberFormat="1" applyFont="1" applyAlignment="1">
      <alignment horizontal="center" vertical="center"/>
    </xf>
    <xf numFmtId="0" fontId="7" fillId="0" borderId="113" xfId="0" applyFont="1" applyBorder="1" applyAlignment="1">
      <alignment horizontal="center" vertical="center" shrinkToFit="1"/>
    </xf>
    <xf numFmtId="9" fontId="7" fillId="0" borderId="12" xfId="2" applyFont="1" applyFill="1" applyBorder="1" applyAlignment="1">
      <alignment horizontal="center" vertical="center" shrinkToFit="1"/>
    </xf>
    <xf numFmtId="9" fontId="7" fillId="0" borderId="114" xfId="2" applyFont="1" applyFill="1" applyBorder="1" applyAlignment="1">
      <alignment horizontal="center" vertical="center" shrinkToFit="1"/>
    </xf>
    <xf numFmtId="0" fontId="7" fillId="0" borderId="114" xfId="0" applyFont="1" applyBorder="1" applyAlignment="1">
      <alignment horizontal="center" vertical="center" shrinkToFit="1"/>
    </xf>
    <xf numFmtId="0" fontId="7" fillId="0" borderId="114" xfId="10" applyNumberFormat="1" applyFont="1" applyFill="1" applyBorder="1" applyAlignment="1">
      <alignment horizontal="center" vertical="center" shrinkToFit="1"/>
    </xf>
    <xf numFmtId="0" fontId="7" fillId="0" borderId="114" xfId="2" applyNumberFormat="1" applyFont="1" applyFill="1" applyBorder="1" applyAlignment="1">
      <alignment horizontal="center" vertical="center" shrinkToFit="1"/>
    </xf>
    <xf numFmtId="0" fontId="7" fillId="0" borderId="115" xfId="0" quotePrefix="1" applyFont="1" applyBorder="1" applyAlignment="1">
      <alignment horizontal="center" vertical="center" wrapText="1"/>
    </xf>
    <xf numFmtId="0" fontId="11" fillId="7" borderId="65" xfId="5" applyFont="1" applyFill="1" applyBorder="1" applyAlignment="1">
      <alignment horizontal="centerContinuous" vertical="center" wrapText="1"/>
    </xf>
    <xf numFmtId="0" fontId="11" fillId="7" borderId="34" xfId="5" applyFont="1" applyFill="1" applyBorder="1" applyAlignment="1">
      <alignment horizontal="center" vertical="center" wrapText="1"/>
    </xf>
    <xf numFmtId="0" fontId="20" fillId="7" borderId="34" xfId="5" applyFont="1" applyFill="1" applyBorder="1" applyAlignment="1">
      <alignment horizontal="center" vertical="center" wrapText="1"/>
    </xf>
    <xf numFmtId="0" fontId="11" fillId="7" borderId="34" xfId="0" applyFont="1" applyFill="1" applyBorder="1" applyAlignment="1">
      <alignment horizontal="center" vertical="center" wrapText="1"/>
    </xf>
    <xf numFmtId="0" fontId="11" fillId="7" borderId="66" xfId="0" applyFont="1" applyFill="1" applyBorder="1" applyAlignment="1">
      <alignment horizontal="centerContinuous" vertical="center" wrapText="1"/>
    </xf>
    <xf numFmtId="0" fontId="57" fillId="0" borderId="22" xfId="5" applyFont="1" applyBorder="1" applyAlignment="1">
      <alignment horizontal="centerContinuous" vertical="center" wrapText="1"/>
    </xf>
    <xf numFmtId="0" fontId="54" fillId="11" borderId="102" xfId="0" applyFont="1" applyFill="1" applyBorder="1" applyAlignment="1">
      <alignment horizontal="center" vertical="center"/>
    </xf>
    <xf numFmtId="0" fontId="54" fillId="11" borderId="103" xfId="0" applyFont="1" applyFill="1" applyBorder="1" applyAlignment="1">
      <alignment horizontal="center" vertical="center"/>
    </xf>
    <xf numFmtId="0" fontId="54" fillId="11" borderId="103" xfId="0" quotePrefix="1" applyFont="1" applyFill="1" applyBorder="1" applyAlignment="1">
      <alignment horizontal="center" vertical="center" wrapText="1"/>
    </xf>
    <xf numFmtId="49" fontId="54" fillId="11" borderId="103" xfId="2" applyNumberFormat="1" applyFont="1" applyFill="1" applyBorder="1" applyAlignment="1">
      <alignment horizontal="center" vertical="center"/>
    </xf>
    <xf numFmtId="0" fontId="54" fillId="11" borderId="103" xfId="0" applyFont="1" applyFill="1" applyBorder="1" applyAlignment="1">
      <alignment horizontal="center" vertical="center" shrinkToFit="1"/>
    </xf>
    <xf numFmtId="164" fontId="54" fillId="11" borderId="103" xfId="0" applyNumberFormat="1" applyFont="1" applyFill="1" applyBorder="1" applyAlignment="1">
      <alignment horizontal="center" vertical="center"/>
    </xf>
    <xf numFmtId="1" fontId="54" fillId="11" borderId="69" xfId="0" applyNumberFormat="1" applyFont="1" applyFill="1" applyBorder="1" applyAlignment="1">
      <alignment horizontal="center" vertical="center"/>
    </xf>
    <xf numFmtId="0" fontId="54" fillId="11" borderId="116" xfId="0" quotePrefix="1" applyFont="1" applyFill="1" applyBorder="1" applyAlignment="1">
      <alignment horizontal="center" vertical="center"/>
    </xf>
    <xf numFmtId="0" fontId="4" fillId="0" borderId="67" xfId="0" applyFont="1" applyBorder="1" applyAlignment="1">
      <alignment horizontal="right" vertical="center"/>
    </xf>
    <xf numFmtId="0" fontId="4" fillId="0" borderId="117" xfId="0" applyFont="1" applyBorder="1" applyAlignment="1">
      <alignment horizontal="right" vertical="center"/>
    </xf>
    <xf numFmtId="1" fontId="54" fillId="11" borderId="107" xfId="0" applyNumberFormat="1" applyFont="1" applyFill="1" applyBorder="1" applyAlignment="1">
      <alignment horizontal="center" vertical="center"/>
    </xf>
    <xf numFmtId="0" fontId="54" fillId="11" borderId="111" xfId="0" applyFont="1" applyFill="1" applyBorder="1" applyAlignment="1">
      <alignment horizontal="center" vertical="center"/>
    </xf>
    <xf numFmtId="0" fontId="54" fillId="11" borderId="68" xfId="0" applyFont="1" applyFill="1" applyBorder="1" applyAlignment="1">
      <alignment horizontal="center" vertical="center"/>
    </xf>
    <xf numFmtId="0" fontId="54" fillId="11" borderId="68" xfId="0" quotePrefix="1" applyFont="1" applyFill="1" applyBorder="1" applyAlignment="1">
      <alignment horizontal="center" vertical="center" wrapText="1"/>
    </xf>
    <xf numFmtId="49" fontId="54" fillId="11" borderId="68" xfId="2" applyNumberFormat="1" applyFont="1" applyFill="1" applyBorder="1" applyAlignment="1">
      <alignment horizontal="center" vertical="center"/>
    </xf>
    <xf numFmtId="0" fontId="54" fillId="11" borderId="68" xfId="0" applyFont="1" applyFill="1" applyBorder="1" applyAlignment="1">
      <alignment horizontal="center" vertical="center" shrinkToFit="1"/>
    </xf>
    <xf numFmtId="164" fontId="54" fillId="11" borderId="68" xfId="0" applyNumberFormat="1" applyFont="1" applyFill="1" applyBorder="1" applyAlignment="1">
      <alignment horizontal="center" vertical="center"/>
    </xf>
    <xf numFmtId="0" fontId="54" fillId="11" borderId="112" xfId="0" quotePrefix="1" applyFont="1" applyFill="1" applyBorder="1" applyAlignment="1">
      <alignment horizontal="center" vertical="center"/>
    </xf>
    <xf numFmtId="1" fontId="54" fillId="11" borderId="32" xfId="0" applyNumberFormat="1" applyFont="1" applyFill="1" applyBorder="1" applyAlignment="1">
      <alignment horizontal="center" vertical="center"/>
    </xf>
    <xf numFmtId="1" fontId="2" fillId="8" borderId="47" xfId="0" applyNumberFormat="1" applyFont="1" applyFill="1" applyBorder="1" applyAlignment="1">
      <alignment horizontal="center" vertical="center" shrinkToFit="1"/>
    </xf>
    <xf numFmtId="0" fontId="2" fillId="0" borderId="122" xfId="0" applyFont="1" applyBorder="1" applyAlignment="1">
      <alignment horizontal="center" vertical="center"/>
    </xf>
    <xf numFmtId="0" fontId="2" fillId="0" borderId="123" xfId="0" quotePrefix="1" applyFont="1" applyBorder="1" applyAlignment="1">
      <alignment horizontal="center" vertical="center"/>
    </xf>
    <xf numFmtId="164" fontId="2" fillId="8" borderId="94" xfId="0" applyNumberFormat="1" applyFont="1" applyFill="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126" xfId="0" quotePrefix="1" applyFont="1" applyBorder="1" applyAlignment="1">
      <alignment horizontal="center" vertical="center" wrapText="1"/>
    </xf>
    <xf numFmtId="49" fontId="2" fillId="0" borderId="126" xfId="2" applyNumberFormat="1" applyFont="1" applyFill="1" applyBorder="1" applyAlignment="1">
      <alignment horizontal="center" vertical="center"/>
    </xf>
    <xf numFmtId="0" fontId="2" fillId="0" borderId="126" xfId="0" applyFont="1" applyBorder="1" applyAlignment="1">
      <alignment horizontal="center" vertical="center" shrinkToFit="1"/>
    </xf>
    <xf numFmtId="164" fontId="2" fillId="0" borderId="126" xfId="0" applyNumberFormat="1" applyFont="1" applyBorder="1" applyAlignment="1">
      <alignment horizontal="center" vertical="center"/>
    </xf>
    <xf numFmtId="1" fontId="5" fillId="0" borderId="25" xfId="0" applyNumberFormat="1" applyFont="1" applyBorder="1" applyAlignment="1">
      <alignment horizontal="center" vertical="center"/>
    </xf>
    <xf numFmtId="1" fontId="2" fillId="0" borderId="25" xfId="0" applyNumberFormat="1" applyFont="1" applyBorder="1" applyAlignment="1">
      <alignment horizontal="center" vertical="center"/>
    </xf>
    <xf numFmtId="0" fontId="2" fillId="0" borderId="127" xfId="0" quotePrefix="1" applyFont="1" applyBorder="1" applyAlignment="1">
      <alignment horizontal="center" vertical="center"/>
    </xf>
    <xf numFmtId="1" fontId="2" fillId="0" borderId="128" xfId="0" applyNumberFormat="1"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2" fillId="0" borderId="24" xfId="0" quotePrefix="1" applyFont="1" applyBorder="1" applyAlignment="1">
      <alignment horizontal="center" vertical="center" wrapText="1"/>
    </xf>
    <xf numFmtId="49" fontId="2" fillId="0" borderId="24" xfId="2" applyNumberFormat="1" applyFont="1" applyFill="1" applyBorder="1" applyAlignment="1">
      <alignment horizontal="center" vertical="center"/>
    </xf>
    <xf numFmtId="0" fontId="2" fillId="0" borderId="24" xfId="0" applyFont="1" applyBorder="1" applyAlignment="1">
      <alignment horizontal="center" vertical="center" shrinkToFit="1"/>
    </xf>
    <xf numFmtId="164" fontId="2" fillId="8" borderId="24" xfId="0" applyNumberFormat="1" applyFont="1" applyFill="1" applyBorder="1" applyAlignment="1">
      <alignment horizontal="center" vertical="center"/>
    </xf>
    <xf numFmtId="0" fontId="2" fillId="0" borderId="26" xfId="0" quotePrefix="1" applyFont="1" applyBorder="1" applyAlignment="1">
      <alignment horizontal="center" vertical="center"/>
    </xf>
    <xf numFmtId="0" fontId="2" fillId="8" borderId="94" xfId="0" applyFont="1" applyFill="1" applyBorder="1" applyAlignment="1">
      <alignment horizontal="center" vertical="center"/>
    </xf>
    <xf numFmtId="0" fontId="2" fillId="8" borderId="94" xfId="0" quotePrefix="1" applyFont="1" applyFill="1" applyBorder="1" applyAlignment="1">
      <alignment horizontal="center" vertical="center" wrapText="1"/>
    </xf>
    <xf numFmtId="49" fontId="2" fillId="8" borderId="94" xfId="2" applyNumberFormat="1" applyFont="1" applyFill="1" applyBorder="1" applyAlignment="1">
      <alignment horizontal="center" vertical="center"/>
    </xf>
    <xf numFmtId="0" fontId="2" fillId="8" borderId="94" xfId="0" applyFont="1" applyFill="1" applyBorder="1" applyAlignment="1">
      <alignment horizontal="center" vertical="center" shrinkToFit="1"/>
    </xf>
    <xf numFmtId="1" fontId="2" fillId="8" borderId="95" xfId="0" applyNumberFormat="1" applyFont="1" applyFill="1" applyBorder="1" applyAlignment="1">
      <alignment horizontal="center" vertical="center"/>
    </xf>
    <xf numFmtId="1" fontId="2" fillId="8" borderId="124" xfId="0" applyNumberFormat="1" applyFont="1" applyFill="1" applyBorder="1" applyAlignment="1">
      <alignment horizontal="center" vertical="center"/>
    </xf>
    <xf numFmtId="1" fontId="4" fillId="0" borderId="0" xfId="0" applyNumberFormat="1" applyFont="1" applyAlignment="1">
      <alignment horizontal="center" vertical="center"/>
    </xf>
    <xf numFmtId="49" fontId="54" fillId="11" borderId="103" xfId="0" quotePrefix="1" applyNumberFormat="1" applyFont="1" applyFill="1" applyBorder="1" applyAlignment="1">
      <alignment horizontal="center" vertical="center" wrapText="1"/>
    </xf>
    <xf numFmtId="0" fontId="58" fillId="11" borderId="102" xfId="0" applyFont="1" applyFill="1" applyBorder="1" applyAlignment="1">
      <alignment horizontal="center" vertical="center"/>
    </xf>
    <xf numFmtId="0" fontId="2" fillId="0" borderId="36" xfId="0" applyFont="1" applyBorder="1" applyAlignment="1">
      <alignment horizontal="left" vertical="center"/>
    </xf>
    <xf numFmtId="1" fontId="2" fillId="0" borderId="67" xfId="0" applyNumberFormat="1" applyFont="1" applyBorder="1" applyAlignment="1">
      <alignment horizontal="center" vertical="center" shrinkToFit="1"/>
    </xf>
    <xf numFmtId="164" fontId="2" fillId="0" borderId="109" xfId="0" applyNumberFormat="1" applyFont="1" applyBorder="1" applyAlignment="1">
      <alignment horizontal="center" vertical="center" shrinkToFit="1"/>
    </xf>
    <xf numFmtId="0" fontId="2" fillId="0" borderId="110" xfId="0" applyFont="1" applyBorder="1" applyAlignment="1">
      <alignment horizontal="left" vertical="center" shrinkToFit="1"/>
    </xf>
    <xf numFmtId="0" fontId="7" fillId="8" borderId="25" xfId="0" applyFont="1" applyFill="1" applyBorder="1" applyAlignment="1">
      <alignment horizontal="center" vertical="center"/>
    </xf>
    <xf numFmtId="0" fontId="7" fillId="13" borderId="24" xfId="0" applyFont="1" applyFill="1" applyBorder="1" applyAlignment="1">
      <alignment horizontal="center" vertical="center" wrapText="1"/>
    </xf>
    <xf numFmtId="0" fontId="7" fillId="13" borderId="51" xfId="0" applyFont="1" applyFill="1" applyBorder="1" applyAlignment="1">
      <alignment horizontal="center" vertical="center" wrapText="1"/>
    </xf>
    <xf numFmtId="0" fontId="7" fillId="13" borderId="25" xfId="0" applyFont="1" applyFill="1" applyBorder="1" applyAlignment="1">
      <alignment horizontal="center" vertical="center"/>
    </xf>
    <xf numFmtId="0" fontId="2" fillId="0" borderId="94" xfId="0" quotePrefix="1" applyFont="1" applyBorder="1" applyAlignment="1">
      <alignment horizontal="center" vertical="center" wrapText="1"/>
    </xf>
    <xf numFmtId="49" fontId="2" fillId="0" borderId="94" xfId="2" applyNumberFormat="1" applyFont="1" applyFill="1" applyBorder="1" applyAlignment="1">
      <alignment horizontal="center" vertical="center"/>
    </xf>
    <xf numFmtId="0" fontId="2" fillId="0" borderId="94" xfId="0" applyFont="1" applyBorder="1" applyAlignment="1">
      <alignment horizontal="center" vertical="center" shrinkToFit="1"/>
    </xf>
    <xf numFmtId="1" fontId="2" fillId="8" borderId="67" xfId="0" applyNumberFormat="1" applyFont="1" applyFill="1" applyBorder="1" applyAlignment="1">
      <alignment horizontal="center" vertical="center"/>
    </xf>
    <xf numFmtId="1" fontId="2" fillId="0" borderId="124" xfId="0" applyNumberFormat="1" applyFont="1" applyBorder="1" applyAlignment="1">
      <alignment horizontal="center" vertical="center"/>
    </xf>
    <xf numFmtId="164" fontId="2" fillId="0" borderId="24" xfId="0" applyNumberFormat="1" applyFont="1" applyBorder="1" applyAlignment="1">
      <alignment horizontal="center" vertical="center"/>
    </xf>
    <xf numFmtId="0" fontId="2" fillId="0" borderId="129" xfId="0" applyFont="1" applyBorder="1" applyAlignment="1">
      <alignment horizontal="center" vertical="center" shrinkToFit="1"/>
    </xf>
    <xf numFmtId="1" fontId="2" fillId="0" borderId="109" xfId="0" applyNumberFormat="1" applyFont="1" applyBorder="1" applyAlignment="1">
      <alignment horizontal="center" vertical="center" shrinkToFit="1"/>
    </xf>
    <xf numFmtId="0" fontId="2" fillId="0" borderId="130" xfId="0" applyFont="1" applyBorder="1" applyAlignment="1">
      <alignment horizontal="left"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53" fillId="9" borderId="59" xfId="0" applyFont="1" applyFill="1" applyBorder="1" applyAlignment="1">
      <alignment horizontal="center" vertical="center"/>
    </xf>
    <xf numFmtId="0" fontId="53" fillId="7" borderId="120" xfId="0" applyFont="1" applyFill="1" applyBorder="1" applyAlignment="1">
      <alignment horizontal="center" vertical="center"/>
    </xf>
    <xf numFmtId="49" fontId="2" fillId="0" borderId="118" xfId="0" applyNumberFormat="1" applyFont="1" applyBorder="1" applyAlignment="1">
      <alignment horizontal="center" vertical="center"/>
    </xf>
    <xf numFmtId="49" fontId="2" fillId="10" borderId="119" xfId="0" applyNumberFormat="1" applyFont="1" applyFill="1" applyBorder="1" applyAlignment="1">
      <alignment horizontal="center" vertical="center"/>
    </xf>
    <xf numFmtId="0" fontId="53" fillId="7" borderId="60" xfId="0" applyFont="1" applyFill="1" applyBorder="1" applyAlignment="1">
      <alignment horizontal="center" vertical="center"/>
    </xf>
    <xf numFmtId="0" fontId="51" fillId="0" borderId="29" xfId="0" applyFont="1" applyBorder="1" applyAlignment="1">
      <alignment horizontal="centerContinuous" vertical="center"/>
    </xf>
    <xf numFmtId="0" fontId="50" fillId="0" borderId="29" xfId="0" applyFont="1" applyBorder="1" applyAlignment="1">
      <alignment horizontal="centerContinuous" vertical="center"/>
    </xf>
    <xf numFmtId="0" fontId="53" fillId="7" borderId="61" xfId="0" applyFont="1" applyFill="1" applyBorder="1" applyAlignment="1">
      <alignment horizontal="center" vertical="center"/>
    </xf>
    <xf numFmtId="0" fontId="53" fillId="7" borderId="89" xfId="0" applyFont="1" applyFill="1" applyBorder="1" applyAlignment="1">
      <alignment horizontal="centerContinuous" vertical="center"/>
    </xf>
    <xf numFmtId="0" fontId="53" fillId="7" borderId="90" xfId="0" applyFont="1" applyFill="1" applyBorder="1" applyAlignment="1">
      <alignment horizontal="centerContinuous" vertical="center"/>
    </xf>
    <xf numFmtId="0" fontId="53" fillId="7" borderId="91" xfId="0" applyFont="1" applyFill="1" applyBorder="1" applyAlignment="1">
      <alignment horizontal="centerContinuous" vertical="center"/>
    </xf>
    <xf numFmtId="0" fontId="4" fillId="0" borderId="15" xfId="0" applyFont="1" applyBorder="1" applyAlignment="1">
      <alignment horizontal="center" vertical="center"/>
    </xf>
    <xf numFmtId="0" fontId="2" fillId="0" borderId="9" xfId="0" applyFont="1" applyBorder="1" applyAlignment="1">
      <alignment horizontal="centerContinuous" vertical="center"/>
    </xf>
    <xf numFmtId="0" fontId="2" fillId="0" borderId="10" xfId="0" applyFont="1" applyBorder="1" applyAlignment="1">
      <alignment horizontal="centerContinuous" vertical="center"/>
    </xf>
    <xf numFmtId="0" fontId="2" fillId="0" borderId="41" xfId="0" applyFont="1" applyBorder="1" applyAlignment="1">
      <alignment horizontal="centerContinuous" vertical="center"/>
    </xf>
    <xf numFmtId="0" fontId="2" fillId="0" borderId="131" xfId="0" applyFont="1" applyBorder="1" applyAlignment="1">
      <alignment horizontal="center" vertical="center"/>
    </xf>
    <xf numFmtId="0" fontId="53" fillId="9" borderId="132" xfId="0" applyFont="1" applyFill="1" applyBorder="1" applyAlignment="1">
      <alignment horizontal="center" vertical="center"/>
    </xf>
    <xf numFmtId="0" fontId="53" fillId="7" borderId="133" xfId="0" applyFont="1" applyFill="1" applyBorder="1" applyAlignment="1">
      <alignment horizontal="center" vertical="center"/>
    </xf>
    <xf numFmtId="49" fontId="2" fillId="0" borderId="93" xfId="0" applyNumberFormat="1" applyFont="1" applyBorder="1" applyAlignment="1">
      <alignment horizontal="center" vertical="center"/>
    </xf>
    <xf numFmtId="0" fontId="53" fillId="7" borderId="77" xfId="0" applyFont="1" applyFill="1" applyBorder="1" applyAlignment="1">
      <alignment horizontal="center" vertical="center"/>
    </xf>
    <xf numFmtId="49" fontId="2" fillId="10" borderId="93" xfId="0" applyNumberFormat="1" applyFont="1" applyFill="1" applyBorder="1" applyAlignment="1">
      <alignment horizontal="center" vertical="center"/>
    </xf>
    <xf numFmtId="0" fontId="7" fillId="0" borderId="47" xfId="0" applyFont="1" applyBorder="1" applyAlignment="1">
      <alignment horizontal="centerContinuous" vertical="center"/>
    </xf>
    <xf numFmtId="0" fontId="2" fillId="0" borderId="58" xfId="0" applyFont="1" applyBorder="1" applyAlignment="1">
      <alignment horizontal="center" vertical="center"/>
    </xf>
    <xf numFmtId="0" fontId="4" fillId="0" borderId="132" xfId="0" applyFont="1" applyBorder="1" applyAlignment="1">
      <alignment horizontal="center" vertical="center"/>
    </xf>
    <xf numFmtId="0" fontId="4" fillId="0" borderId="37" xfId="0" applyFont="1" applyBorder="1" applyAlignment="1">
      <alignment horizontal="center" vertical="center"/>
    </xf>
    <xf numFmtId="0" fontId="53" fillId="7" borderId="39" xfId="0" applyFont="1" applyFill="1" applyBorder="1" applyAlignment="1">
      <alignment horizontal="center" vertical="center"/>
    </xf>
    <xf numFmtId="0" fontId="53" fillId="7" borderId="121" xfId="0" applyFont="1" applyFill="1" applyBorder="1" applyAlignment="1">
      <alignment horizontal="center" vertical="center"/>
    </xf>
    <xf numFmtId="0" fontId="15" fillId="0" borderId="30" xfId="0" applyFont="1" applyBorder="1" applyAlignment="1">
      <alignment horizontal="center" shrinkToFit="1"/>
    </xf>
    <xf numFmtId="49" fontId="7" fillId="6" borderId="24" xfId="0" applyNumberFormat="1" applyFont="1" applyFill="1" applyBorder="1" applyAlignment="1">
      <alignment horizontal="center" vertical="center"/>
    </xf>
    <xf numFmtId="0" fontId="12" fillId="6" borderId="1" xfId="0" applyFont="1" applyFill="1" applyBorder="1" applyAlignment="1">
      <alignment vertical="center"/>
    </xf>
    <xf numFmtId="49" fontId="23" fillId="6" borderId="24" xfId="0" applyNumberFormat="1" applyFont="1" applyFill="1" applyBorder="1" applyAlignment="1">
      <alignment horizontal="center" vertical="center"/>
    </xf>
    <xf numFmtId="0" fontId="23" fillId="6" borderId="25" xfId="0" applyFont="1" applyFill="1" applyBorder="1" applyAlignment="1">
      <alignment horizontal="center" vertical="center"/>
    </xf>
    <xf numFmtId="0" fontId="12" fillId="6" borderId="25" xfId="0" applyFont="1" applyFill="1" applyBorder="1" applyAlignment="1">
      <alignment horizontal="center" vertical="center"/>
    </xf>
    <xf numFmtId="0" fontId="6" fillId="4" borderId="13" xfId="0" applyFont="1" applyFill="1" applyBorder="1" applyAlignment="1">
      <alignment horizontal="right" vertical="center"/>
    </xf>
    <xf numFmtId="1" fontId="7" fillId="0" borderId="3" xfId="0" applyNumberFormat="1" applyFont="1" applyBorder="1" applyAlignment="1">
      <alignment horizontal="centerContinuous" vertical="center"/>
    </xf>
    <xf numFmtId="1" fontId="2" fillId="0" borderId="134" xfId="0" applyNumberFormat="1" applyFont="1" applyBorder="1" applyAlignment="1">
      <alignment horizontal="centerContinuous" vertical="center"/>
    </xf>
    <xf numFmtId="0" fontId="6" fillId="4" borderId="135" xfId="0" applyFont="1" applyFill="1" applyBorder="1" applyAlignment="1">
      <alignment horizontal="right" vertical="center"/>
    </xf>
    <xf numFmtId="49" fontId="7" fillId="0" borderId="30" xfId="0" applyNumberFormat="1" applyFont="1" applyBorder="1" applyAlignment="1">
      <alignment horizontal="center" vertical="center"/>
    </xf>
    <xf numFmtId="0" fontId="4" fillId="4" borderId="136" xfId="0" applyFont="1" applyFill="1" applyBorder="1" applyAlignment="1">
      <alignment horizontal="right" vertical="center"/>
    </xf>
    <xf numFmtId="37" fontId="7" fillId="0" borderId="23" xfId="12" applyNumberFormat="1" applyFont="1" applyFill="1" applyBorder="1" applyAlignment="1">
      <alignment horizontal="centerContinuous" vertical="center"/>
    </xf>
    <xf numFmtId="0" fontId="7" fillId="0" borderId="137" xfId="0" applyFont="1" applyBorder="1" applyAlignment="1">
      <alignment horizontal="centerContinuous" vertical="center"/>
    </xf>
    <xf numFmtId="0" fontId="49" fillId="4" borderId="138" xfId="0" applyFont="1" applyFill="1" applyBorder="1" applyAlignment="1">
      <alignment horizontal="right" vertical="center"/>
    </xf>
    <xf numFmtId="0" fontId="7" fillId="0" borderId="11" xfId="0" applyFont="1" applyBorder="1" applyAlignment="1">
      <alignment horizontal="center" vertical="center"/>
    </xf>
    <xf numFmtId="0" fontId="7" fillId="0" borderId="32"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67" xfId="0" quotePrefix="1" applyFont="1" applyBorder="1" applyAlignment="1">
      <alignment horizontal="centerContinuous" vertical="center" shrinkToFit="1"/>
    </xf>
    <xf numFmtId="0" fontId="7" fillId="0" borderId="107"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8" xfId="0" applyFont="1" applyBorder="1" applyAlignment="1">
      <alignment horizontal="center" vertical="center" shrinkToFit="1"/>
    </xf>
    <xf numFmtId="9" fontId="7" fillId="0" borderId="40" xfId="2" applyFont="1" applyFill="1" applyBorder="1" applyAlignment="1">
      <alignment horizontal="center" vertical="center" shrinkToFit="1"/>
    </xf>
    <xf numFmtId="9" fontId="7" fillId="0" borderId="41" xfId="2" applyFont="1" applyFill="1" applyBorder="1" applyAlignment="1">
      <alignment horizontal="center" vertical="center" shrinkToFit="1"/>
    </xf>
    <xf numFmtId="0" fontId="7" fillId="0" borderId="41" xfId="0" applyFont="1" applyBorder="1" applyAlignment="1">
      <alignment horizontal="center" vertical="center" shrinkToFit="1"/>
    </xf>
    <xf numFmtId="0" fontId="7" fillId="0" borderId="41" xfId="2" applyNumberFormat="1" applyFont="1" applyFill="1" applyBorder="1" applyAlignment="1">
      <alignment horizontal="center" vertical="center" shrinkToFit="1"/>
    </xf>
    <xf numFmtId="0" fontId="7" fillId="0" borderId="31" xfId="0" applyFont="1" applyBorder="1" applyAlignment="1">
      <alignment horizontal="center" vertical="center" wrapText="1"/>
    </xf>
    <xf numFmtId="0" fontId="2" fillId="0" borderId="122" xfId="0" applyFont="1" applyBorder="1" applyAlignment="1">
      <alignment horizontal="center" vertical="center" shrinkToFit="1"/>
    </xf>
    <xf numFmtId="0" fontId="2" fillId="0" borderId="94" xfId="0" quotePrefix="1" applyFont="1" applyBorder="1" applyAlignment="1">
      <alignment horizontal="center" vertical="center"/>
    </xf>
    <xf numFmtId="9" fontId="2" fillId="0" borderId="94" xfId="0" applyNumberFormat="1" applyFont="1" applyBorder="1" applyAlignment="1">
      <alignment horizontal="center" vertical="center"/>
    </xf>
    <xf numFmtId="49" fontId="2" fillId="0" borderId="94" xfId="0" quotePrefix="1" applyNumberFormat="1" applyFont="1" applyBorder="1" applyAlignment="1">
      <alignment horizontal="center" vertical="center"/>
    </xf>
    <xf numFmtId="164" fontId="2" fillId="0" borderId="94" xfId="0" applyNumberFormat="1" applyFont="1" applyBorder="1" applyAlignment="1">
      <alignment horizontal="center" vertical="center"/>
    </xf>
    <xf numFmtId="164" fontId="2" fillId="0" borderId="95" xfId="0" applyNumberFormat="1" applyFont="1" applyBorder="1" applyAlignment="1">
      <alignment horizontal="centerContinuous" vertical="center"/>
    </xf>
    <xf numFmtId="164" fontId="2" fillId="0" borderId="93" xfId="0" applyNumberFormat="1" applyFont="1" applyBorder="1" applyAlignment="1">
      <alignment horizontal="centerContinuous" vertical="center"/>
    </xf>
    <xf numFmtId="0" fontId="2" fillId="0" borderId="96" xfId="0" quotePrefix="1" applyFont="1" applyBorder="1" applyAlignment="1">
      <alignment horizontal="centerContinuous" vertical="center"/>
    </xf>
    <xf numFmtId="0" fontId="7" fillId="0" borderId="24" xfId="5" applyFont="1" applyBorder="1" applyAlignment="1">
      <alignment horizontal="center" wrapText="1"/>
    </xf>
    <xf numFmtId="9" fontId="7" fillId="0" borderId="24" xfId="2" applyFont="1" applyFill="1" applyBorder="1" applyAlignment="1">
      <alignment horizontal="center" shrinkToFit="1"/>
    </xf>
    <xf numFmtId="9" fontId="7" fillId="0" borderId="25" xfId="2" applyFont="1" applyFill="1" applyBorder="1" applyAlignment="1">
      <alignment horizontal="center" shrinkToFit="1"/>
    </xf>
    <xf numFmtId="0" fontId="7" fillId="0" borderId="25" xfId="2" applyNumberFormat="1" applyFont="1" applyFill="1" applyBorder="1" applyAlignment="1">
      <alignment horizontal="center" shrinkToFit="1"/>
    </xf>
    <xf numFmtId="0" fontId="59" fillId="0" borderId="29" xfId="0" applyFont="1" applyBorder="1" applyAlignment="1">
      <alignment horizontal="centerContinuous" vertical="center" wrapText="1"/>
    </xf>
    <xf numFmtId="0" fontId="7" fillId="0" borderId="67" xfId="0" quotePrefix="1" applyFont="1" applyBorder="1" applyAlignment="1">
      <alignment horizontal="centerContinuous" vertical="center"/>
    </xf>
    <xf numFmtId="0" fontId="7" fillId="0" borderId="67" xfId="0" applyFont="1" applyBorder="1" applyAlignment="1">
      <alignment horizontal="centerContinuous" vertical="center"/>
    </xf>
    <xf numFmtId="0" fontId="7" fillId="0" borderId="42" xfId="0" quotePrefix="1" applyFont="1" applyBorder="1" applyAlignment="1">
      <alignment horizontal="centerContinuous" vertical="center"/>
    </xf>
    <xf numFmtId="0" fontId="7" fillId="0" borderId="30" xfId="0" applyFont="1" applyBorder="1" applyAlignment="1">
      <alignment horizontal="center" vertical="center" shrinkToFit="1"/>
    </xf>
    <xf numFmtId="0" fontId="55" fillId="0" borderId="0" xfId="5" applyFont="1" applyAlignment="1">
      <alignment vertical="center"/>
    </xf>
    <xf numFmtId="0" fontId="2" fillId="0" borderId="0" xfId="0" applyFont="1"/>
    <xf numFmtId="0" fontId="2" fillId="0" borderId="49"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left" vertical="center" shrinkToFit="1"/>
    </xf>
    <xf numFmtId="0" fontId="2" fillId="0" borderId="139" xfId="0" quotePrefix="1" applyFont="1" applyBorder="1" applyAlignment="1">
      <alignment horizontal="left" vertical="center"/>
    </xf>
    <xf numFmtId="0" fontId="2" fillId="14" borderId="72" xfId="0" applyFont="1" applyFill="1" applyBorder="1" applyAlignment="1">
      <alignment horizontal="center" vertical="center"/>
    </xf>
    <xf numFmtId="0" fontId="2" fillId="14" borderId="73" xfId="0" applyFont="1" applyFill="1" applyBorder="1" applyAlignment="1">
      <alignment horizontal="center" vertical="center"/>
    </xf>
    <xf numFmtId="0" fontId="2" fillId="14" borderId="73" xfId="0" quotePrefix="1" applyFont="1" applyFill="1" applyBorder="1" applyAlignment="1">
      <alignment horizontal="center" vertical="center"/>
    </xf>
    <xf numFmtId="9" fontId="2" fillId="14" borderId="73" xfId="0" applyNumberFormat="1" applyFont="1" applyFill="1" applyBorder="1" applyAlignment="1">
      <alignment horizontal="center" vertical="center"/>
    </xf>
    <xf numFmtId="164" fontId="2" fillId="14" borderId="73" xfId="0" applyNumberFormat="1" applyFont="1" applyFill="1" applyBorder="1" applyAlignment="1">
      <alignment horizontal="center" vertical="center"/>
    </xf>
    <xf numFmtId="164" fontId="2" fillId="14" borderId="74" xfId="0" quotePrefix="1" applyNumberFormat="1" applyFont="1" applyFill="1" applyBorder="1" applyAlignment="1">
      <alignment horizontal="centerContinuous" vertical="center"/>
    </xf>
    <xf numFmtId="164" fontId="2" fillId="14" borderId="77" xfId="0" applyNumberFormat="1" applyFont="1" applyFill="1" applyBorder="1" applyAlignment="1">
      <alignment horizontal="centerContinuous" vertical="center"/>
    </xf>
    <xf numFmtId="0" fontId="5" fillId="14" borderId="75" xfId="0" applyFont="1" applyFill="1" applyBorder="1" applyAlignment="1">
      <alignment horizontal="centerContinuous" vertical="center"/>
    </xf>
    <xf numFmtId="1" fontId="2" fillId="14" borderId="42" xfId="0" applyNumberFormat="1" applyFont="1" applyFill="1" applyBorder="1" applyAlignment="1">
      <alignment horizontal="center" vertical="center"/>
    </xf>
    <xf numFmtId="0" fontId="45" fillId="15" borderId="21" xfId="0" applyFont="1" applyFill="1" applyBorder="1" applyAlignment="1">
      <alignment horizontal="center" vertical="center"/>
    </xf>
    <xf numFmtId="1" fontId="46" fillId="15" borderId="25" xfId="0" applyNumberFormat="1" applyFont="1" applyFill="1" applyBorder="1" applyAlignment="1">
      <alignment horizontal="center" vertical="center"/>
    </xf>
    <xf numFmtId="1" fontId="46" fillId="15" borderId="95" xfId="0" applyNumberFormat="1" applyFont="1" applyFill="1" applyBorder="1" applyAlignment="1">
      <alignment horizontal="center" vertical="center"/>
    </xf>
    <xf numFmtId="1" fontId="46" fillId="15" borderId="69" xfId="0" applyNumberFormat="1" applyFont="1" applyFill="1" applyBorder="1" applyAlignment="1">
      <alignment horizontal="center" vertical="center"/>
    </xf>
    <xf numFmtId="1" fontId="46" fillId="15" borderId="74" xfId="0" applyNumberFormat="1" applyFont="1" applyFill="1" applyBorder="1" applyAlignment="1">
      <alignment horizontal="center" vertical="center"/>
    </xf>
    <xf numFmtId="1" fontId="46" fillId="15" borderId="73" xfId="0" applyNumberFormat="1" applyFont="1" applyFill="1" applyBorder="1" applyAlignment="1">
      <alignment horizontal="center" vertical="center"/>
    </xf>
    <xf numFmtId="0" fontId="7" fillId="14" borderId="23" xfId="0" quotePrefix="1" applyFont="1" applyFill="1" applyBorder="1" applyAlignment="1">
      <alignment horizontal="center" vertical="center"/>
    </xf>
    <xf numFmtId="1" fontId="7" fillId="0" borderId="27" xfId="0" applyNumberFormat="1" applyFont="1" applyBorder="1" applyAlignment="1">
      <alignment horizontal="center" vertical="center"/>
    </xf>
    <xf numFmtId="1" fontId="7" fillId="0" borderId="11" xfId="0" applyNumberFormat="1" applyFont="1" applyBorder="1" applyAlignment="1">
      <alignment horizontal="center" vertical="center"/>
    </xf>
    <xf numFmtId="1" fontId="2" fillId="0" borderId="32" xfId="0" applyNumberFormat="1" applyFont="1" applyBorder="1" applyAlignment="1">
      <alignment horizontal="center" vertical="center"/>
    </xf>
    <xf numFmtId="0" fontId="2" fillId="0" borderId="140" xfId="0" applyFont="1" applyBorder="1" applyAlignment="1">
      <alignment horizontal="center" vertical="center" shrinkToFit="1"/>
    </xf>
    <xf numFmtId="1" fontId="2" fillId="0" borderId="36" xfId="0" applyNumberFormat="1" applyFont="1" applyBorder="1" applyAlignment="1">
      <alignment horizontal="center" vertical="center" shrinkToFit="1"/>
    </xf>
    <xf numFmtId="0" fontId="2" fillId="0" borderId="139" xfId="0" applyFont="1" applyBorder="1" applyAlignment="1">
      <alignment horizontal="left" vertical="center"/>
    </xf>
    <xf numFmtId="0" fontId="2" fillId="0" borderId="141" xfId="0" applyFont="1" applyBorder="1" applyAlignment="1">
      <alignment horizontal="center" vertical="center" shrinkToFit="1"/>
    </xf>
    <xf numFmtId="165" fontId="5" fillId="0" borderId="0" xfId="0" applyNumberFormat="1" applyFont="1" applyAlignment="1">
      <alignment vertical="center"/>
    </xf>
    <xf numFmtId="0" fontId="2" fillId="0" borderId="70" xfId="0" applyFont="1" applyBorder="1" applyAlignment="1">
      <alignment horizontal="center" vertical="center"/>
    </xf>
    <xf numFmtId="0" fontId="2" fillId="0" borderId="70" xfId="0" quotePrefix="1" applyFont="1" applyBorder="1" applyAlignment="1">
      <alignment horizontal="center" vertical="center"/>
    </xf>
    <xf numFmtId="9" fontId="2" fillId="0" borderId="70" xfId="0" applyNumberFormat="1" applyFont="1" applyBorder="1" applyAlignment="1">
      <alignment horizontal="center" vertical="center"/>
    </xf>
    <xf numFmtId="49" fontId="2" fillId="0" borderId="70" xfId="0" quotePrefix="1" applyNumberFormat="1" applyFont="1" applyBorder="1" applyAlignment="1">
      <alignment horizontal="center" vertical="center"/>
    </xf>
    <xf numFmtId="0" fontId="7" fillId="14" borderId="3" xfId="0" quotePrefix="1" applyFont="1" applyFill="1" applyBorder="1" applyAlignment="1">
      <alignment horizontal="center" vertical="center"/>
    </xf>
    <xf numFmtId="1" fontId="7" fillId="16" borderId="27" xfId="0" applyNumberFormat="1" applyFont="1" applyFill="1" applyBorder="1" applyAlignment="1">
      <alignment horizontal="center" vertical="center"/>
    </xf>
    <xf numFmtId="0" fontId="7" fillId="16" borderId="62" xfId="0" applyFont="1" applyFill="1" applyBorder="1" applyAlignment="1">
      <alignment horizontal="centerContinuous" vertical="center"/>
    </xf>
    <xf numFmtId="0" fontId="2" fillId="16" borderId="64" xfId="0" applyFont="1" applyFill="1" applyBorder="1" applyAlignment="1">
      <alignment horizontal="centerContinuous" vertical="center"/>
    </xf>
    <xf numFmtId="0" fontId="60" fillId="2" borderId="4" xfId="0" applyFont="1" applyFill="1" applyBorder="1" applyAlignment="1">
      <alignment horizontal="right" vertical="center"/>
    </xf>
    <xf numFmtId="0" fontId="2" fillId="0" borderId="0" xfId="0" applyFont="1" applyAlignment="1">
      <alignment horizontal="center" vertical="center" shrinkToFit="1"/>
    </xf>
    <xf numFmtId="0" fontId="61" fillId="0" borderId="0" xfId="0" applyFont="1" applyAlignment="1">
      <alignment vertical="center"/>
    </xf>
    <xf numFmtId="0" fontId="2" fillId="0" borderId="0" xfId="0" applyFont="1" applyAlignment="1">
      <alignment horizontal="left" vertical="center" shrinkToFit="1"/>
    </xf>
    <xf numFmtId="1" fontId="2" fillId="0" borderId="107" xfId="0" applyNumberFormat="1" applyFont="1" applyBorder="1" applyAlignment="1">
      <alignment horizontal="center" vertical="center" shrinkToFit="1"/>
    </xf>
    <xf numFmtId="0" fontId="2" fillId="0" borderId="84" xfId="0" applyFont="1" applyBorder="1" applyAlignment="1">
      <alignment horizontal="center" vertical="center" shrinkToFit="1"/>
    </xf>
    <xf numFmtId="1" fontId="2" fillId="0" borderId="38" xfId="0" applyNumberFormat="1"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2" fillId="0" borderId="142" xfId="0" applyFont="1" applyBorder="1" applyAlignment="1">
      <alignment horizontal="left" vertical="center"/>
    </xf>
    <xf numFmtId="0" fontId="2" fillId="0" borderId="39" xfId="0" applyFont="1" applyBorder="1" applyAlignment="1">
      <alignment horizontal="left" vertical="center" shrinkToFit="1"/>
    </xf>
    <xf numFmtId="1" fontId="2" fillId="0" borderId="42" xfId="0" applyNumberFormat="1" applyFont="1" applyBorder="1" applyAlignment="1">
      <alignment horizontal="center" vertical="center" shrinkToFit="1"/>
    </xf>
    <xf numFmtId="9" fontId="2" fillId="0" borderId="0" xfId="10" applyFont="1" applyBorder="1" applyAlignment="1">
      <alignment horizontal="center" vertical="center"/>
    </xf>
    <xf numFmtId="164" fontId="2" fillId="0" borderId="0" xfId="0" applyNumberFormat="1" applyFont="1" applyAlignment="1">
      <alignment horizontal="center" vertical="center"/>
    </xf>
    <xf numFmtId="0" fontId="2" fillId="0" borderId="80" xfId="0" applyFont="1" applyBorder="1" applyAlignment="1">
      <alignment horizontal="center" vertical="center" shrinkToFit="1"/>
    </xf>
    <xf numFmtId="1" fontId="2" fillId="0" borderId="143" xfId="0" applyNumberFormat="1" applyFont="1" applyBorder="1" applyAlignment="1">
      <alignment horizontal="center" vertical="center" shrinkToFit="1"/>
    </xf>
    <xf numFmtId="164" fontId="2" fillId="0" borderId="143" xfId="0" applyNumberFormat="1" applyFont="1" applyBorder="1" applyAlignment="1">
      <alignment horizontal="center" vertical="center" shrinkToFit="1"/>
    </xf>
    <xf numFmtId="0" fontId="2" fillId="0" borderId="144" xfId="0" applyFont="1" applyBorder="1" applyAlignment="1">
      <alignment horizontal="left" vertical="center"/>
    </xf>
    <xf numFmtId="0" fontId="2" fillId="0" borderId="145" xfId="0" applyFont="1" applyBorder="1" applyAlignment="1">
      <alignment horizontal="left" vertical="center" shrinkToFit="1"/>
    </xf>
    <xf numFmtId="0" fontId="7" fillId="16" borderId="14" xfId="0" applyFont="1" applyFill="1" applyBorder="1" applyAlignment="1">
      <alignment horizontal="center" vertical="center"/>
    </xf>
    <xf numFmtId="0" fontId="7" fillId="16" borderId="3" xfId="0" quotePrefix="1" applyFont="1" applyFill="1" applyBorder="1" applyAlignment="1">
      <alignment horizontal="center" vertical="center"/>
    </xf>
  </cellXfs>
  <cellStyles count="13">
    <cellStyle name="Comma 2" xfId="12" xr:uid="{6539308C-6103-4C6B-9525-D8859D1D58C8}"/>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3" xfId="11" xr:uid="{00000000-0005-0000-0000-000005000000}"/>
    <cellStyle name="Normal 3" xfId="8" xr:uid="{00000000-0005-0000-0000-000006000000}"/>
    <cellStyle name="Normal 4" xfId="9" xr:uid="{00000000-0005-0000-0000-000007000000}"/>
    <cellStyle name="Normal 5" xfId="7" xr:uid="{00000000-0005-0000-0000-000008000000}"/>
    <cellStyle name="Percent" xfId="2" builtinId="5"/>
    <cellStyle name="Percent 2" xfId="3" xr:uid="{00000000-0005-0000-0000-00000A000000}"/>
    <cellStyle name="Percent 2 2" xfId="10" xr:uid="{00000000-0005-0000-0000-00000B000000}"/>
  </cellStyles>
  <dxfs count="137">
    <dxf>
      <fill>
        <patternFill>
          <bgColor rgb="FFFF0000"/>
        </patternFill>
      </fill>
    </dxf>
    <dxf>
      <font>
        <color rgb="FFFF0000"/>
      </font>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99FF"/>
      <color rgb="FF9933FF"/>
      <color rgb="FF9900FF"/>
      <color rgb="FFCCFFCC"/>
      <color rgb="FF0000FF"/>
      <color rgb="FF6600CC"/>
      <color rgb="FF009900"/>
      <color rgb="FF00FF99"/>
      <color rgb="FF00FF00"/>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60960</xdr:colOff>
      <xdr:row>12</xdr:row>
      <xdr:rowOff>83820</xdr:rowOff>
    </xdr:from>
    <xdr:to>
      <xdr:col>6</xdr:col>
      <xdr:colOff>1232535</xdr:colOff>
      <xdr:row>15</xdr:row>
      <xdr:rowOff>158114</xdr:rowOff>
    </xdr:to>
    <xdr:sp macro="" textlink="">
      <xdr:nvSpPr>
        <xdr:cNvPr id="3" name="Text Box 60">
          <a:extLst>
            <a:ext uri="{FF2B5EF4-FFF2-40B4-BE49-F238E27FC236}">
              <a16:creationId xmlns:a16="http://schemas.microsoft.com/office/drawing/2014/main" id="{00000000-0008-0000-0000-000003000000}"/>
            </a:ext>
          </a:extLst>
        </xdr:cNvPr>
        <xdr:cNvSpPr txBox="1">
          <a:spLocks noChangeArrowheads="1"/>
        </xdr:cNvSpPr>
      </xdr:nvSpPr>
      <xdr:spPr bwMode="auto">
        <a:xfrm>
          <a:off x="4114800" y="2407920"/>
          <a:ext cx="2291715" cy="71437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twoCellAnchor editAs="oneCell">
    <xdr:from>
      <xdr:col>5</xdr:col>
      <xdr:colOff>88727</xdr:colOff>
      <xdr:row>1</xdr:row>
      <xdr:rowOff>106680</xdr:rowOff>
    </xdr:from>
    <xdr:to>
      <xdr:col>6</xdr:col>
      <xdr:colOff>1221938</xdr:colOff>
      <xdr:row>10</xdr:row>
      <xdr:rowOff>129540</xdr:rowOff>
    </xdr:to>
    <xdr:pic>
      <xdr:nvPicPr>
        <xdr:cNvPr id="4" name="Picture 3">
          <a:extLst>
            <a:ext uri="{FF2B5EF4-FFF2-40B4-BE49-F238E27FC236}">
              <a16:creationId xmlns:a16="http://schemas.microsoft.com/office/drawing/2014/main" id="{4F3AF4FA-5183-4FC1-AEF2-960CCC9421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2567" y="480060"/>
          <a:ext cx="2253351" cy="1973580"/>
        </a:xfrm>
        <a:prstGeom prst="rect">
          <a:avLst/>
        </a:prstGeom>
        <a:noFill/>
        <a:ln w="47625" cmpd="dbl">
          <a:solidFill>
            <a:srgbClr val="FFC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45720</xdr:colOff>
      <xdr:row>16</xdr:row>
      <xdr:rowOff>76200</xdr:rowOff>
    </xdr:from>
    <xdr:to>
      <xdr:col>6</xdr:col>
      <xdr:colOff>1257300</xdr:colOff>
      <xdr:row>19</xdr:row>
      <xdr:rowOff>152400</xdr:rowOff>
    </xdr:to>
    <xdr:sp macro="" textlink="">
      <xdr:nvSpPr>
        <xdr:cNvPr id="2" name="TextBox 1">
          <a:extLst>
            <a:ext uri="{FF2B5EF4-FFF2-40B4-BE49-F238E27FC236}">
              <a16:creationId xmlns:a16="http://schemas.microsoft.com/office/drawing/2014/main" id="{08DC1D2E-F1CD-426E-80F7-A832BE25603C}"/>
            </a:ext>
          </a:extLst>
        </xdr:cNvPr>
        <xdr:cNvSpPr txBox="1"/>
      </xdr:nvSpPr>
      <xdr:spPr>
        <a:xfrm>
          <a:off x="45720" y="3695700"/>
          <a:ext cx="638556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300" b="1">
              <a:solidFill>
                <a:schemeClr val="dk1"/>
              </a:solidFill>
              <a:effectLst/>
              <a:latin typeface="Times New Roman" panose="02020603050405020304" pitchFamily="18" charset="0"/>
              <a:ea typeface="+mn-ea"/>
              <a:cs typeface="Times New Roman" panose="02020603050405020304" pitchFamily="18" charset="0"/>
            </a:rPr>
            <a:t>History:  </a:t>
          </a:r>
          <a:r>
            <a:rPr lang="en-US" sz="1300">
              <a:solidFill>
                <a:schemeClr val="dk1"/>
              </a:solidFill>
              <a:effectLst/>
              <a:latin typeface="Times New Roman" panose="02020603050405020304" pitchFamily="18" charset="0"/>
              <a:ea typeface="+mn-ea"/>
              <a:cs typeface="Times New Roman" panose="02020603050405020304" pitchFamily="18" charset="0"/>
            </a:rPr>
            <a:t>Devrion’s</a:t>
          </a:r>
          <a:r>
            <a:rPr lang="en-US" sz="1300" baseline="0">
              <a:solidFill>
                <a:schemeClr val="dk1"/>
              </a:solidFill>
              <a:effectLst/>
              <a:latin typeface="Times New Roman" panose="02020603050405020304" pitchFamily="18" charset="0"/>
              <a:ea typeface="+mn-ea"/>
              <a:cs typeface="Times New Roman" panose="02020603050405020304" pitchFamily="18" charset="0"/>
            </a:rPr>
            <a:t> pe</a:t>
          </a:r>
          <a:r>
            <a:rPr lang="en-US" sz="1300">
              <a:solidFill>
                <a:schemeClr val="dk1"/>
              </a:solidFill>
              <a:effectLst/>
              <a:latin typeface="Times New Roman" panose="02020603050405020304" pitchFamily="18" charset="0"/>
              <a:ea typeface="+mn-ea"/>
              <a:cs typeface="Times New Roman" panose="02020603050405020304" pitchFamily="18" charset="0"/>
            </a:rPr>
            <a:t>ople were from Chult, and he had fought in the Border Kingdoms for a decade. He’d tired of the fighting and wandered north. He spent a year in the Gulthmere Forest, and he’d been in Cormyr for nearly a year when he met Angren and the others.</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2470785</xdr:colOff>
      <xdr:row>1</xdr:row>
      <xdr:rowOff>123825</xdr:rowOff>
    </xdr:from>
    <xdr:to>
      <xdr:col>1</xdr:col>
      <xdr:colOff>504825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rtexas@earthlink.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showGridLines="0" tabSelected="1" zoomScaleNormal="100" workbookViewId="0"/>
  </sheetViews>
  <sheetFormatPr defaultColWidth="13" defaultRowHeight="15.6" x14ac:dyDescent="0.3"/>
  <cols>
    <col min="1" max="1" width="14.3984375" style="154" bestFit="1" customWidth="1"/>
    <col min="2" max="2" width="10" style="156" customWidth="1"/>
    <col min="3" max="3" width="5.5" style="156" customWidth="1"/>
    <col min="4" max="4" width="13.69921875" style="154" bestFit="1" customWidth="1"/>
    <col min="5" max="5" width="9.59765625" style="156" bestFit="1" customWidth="1"/>
    <col min="6" max="6" width="14.69921875" style="154" customWidth="1"/>
    <col min="7" max="7" width="17.09765625" style="156" customWidth="1"/>
    <col min="8" max="16384" width="13" style="25"/>
  </cols>
  <sheetData>
    <row r="1" spans="1:7" ht="29.4" thickTop="1" thickBot="1" x14ac:dyDescent="0.35">
      <c r="A1" s="158" t="s">
        <v>333</v>
      </c>
      <c r="B1" s="159" t="s">
        <v>420</v>
      </c>
      <c r="C1" s="160"/>
      <c r="D1" s="161"/>
      <c r="E1" s="162"/>
      <c r="F1" s="161"/>
      <c r="G1" s="163" t="s">
        <v>315</v>
      </c>
    </row>
    <row r="2" spans="1:7" ht="17.399999999999999" thickTop="1" x14ac:dyDescent="0.3">
      <c r="A2" s="164" t="s">
        <v>292</v>
      </c>
      <c r="B2" s="165" t="s">
        <v>316</v>
      </c>
      <c r="C2" s="165"/>
      <c r="D2" s="166" t="s">
        <v>298</v>
      </c>
      <c r="E2" s="167" t="s">
        <v>95</v>
      </c>
      <c r="F2" s="168"/>
      <c r="G2" s="169"/>
    </row>
    <row r="3" spans="1:7" ht="16.8" x14ac:dyDescent="0.3">
      <c r="A3" s="164" t="s">
        <v>294</v>
      </c>
      <c r="B3" s="165" t="s">
        <v>126</v>
      </c>
      <c r="C3" s="165"/>
      <c r="D3" s="166" t="s">
        <v>77</v>
      </c>
      <c r="E3" s="167">
        <v>20</v>
      </c>
      <c r="F3" s="166"/>
      <c r="G3" s="169"/>
    </row>
    <row r="4" spans="1:7" ht="16.8" x14ac:dyDescent="0.3">
      <c r="A4" s="263" t="s">
        <v>294</v>
      </c>
      <c r="B4" s="264" t="s">
        <v>428</v>
      </c>
      <c r="C4" s="264"/>
      <c r="D4" s="265" t="s">
        <v>77</v>
      </c>
      <c r="E4" s="266">
        <v>0</v>
      </c>
      <c r="F4" s="166"/>
      <c r="G4" s="169"/>
    </row>
    <row r="5" spans="1:7" ht="16.8" x14ac:dyDescent="0.3">
      <c r="A5" s="164" t="s">
        <v>340</v>
      </c>
      <c r="B5" s="165" t="s">
        <v>383</v>
      </c>
      <c r="C5" s="165"/>
      <c r="D5" s="166" t="s">
        <v>293</v>
      </c>
      <c r="E5" s="167">
        <v>41</v>
      </c>
      <c r="F5" s="166"/>
      <c r="G5" s="169"/>
    </row>
    <row r="6" spans="1:7" ht="16.8" x14ac:dyDescent="0.3">
      <c r="A6" s="164" t="s">
        <v>339</v>
      </c>
      <c r="B6" s="165" t="s">
        <v>379</v>
      </c>
      <c r="C6" s="165"/>
      <c r="D6" s="166" t="s">
        <v>295</v>
      </c>
      <c r="E6" s="167" t="s">
        <v>317</v>
      </c>
      <c r="F6" s="166"/>
      <c r="G6" s="169"/>
    </row>
    <row r="7" spans="1:7" ht="17.399999999999999" thickBot="1" x14ac:dyDescent="0.35">
      <c r="A7" s="164" t="s">
        <v>297</v>
      </c>
      <c r="B7" s="165" t="s">
        <v>319</v>
      </c>
      <c r="C7" s="165"/>
      <c r="D7" s="166" t="s">
        <v>296</v>
      </c>
      <c r="E7" s="167" t="s">
        <v>318</v>
      </c>
      <c r="F7" s="166"/>
      <c r="G7" s="169"/>
    </row>
    <row r="8" spans="1:7" ht="17.399999999999999" thickTop="1" x14ac:dyDescent="0.3">
      <c r="A8" s="170" t="s">
        <v>299</v>
      </c>
      <c r="B8" s="480">
        <f>ROUNDDOWN((0.5*E3),1)+1</f>
        <v>11</v>
      </c>
      <c r="C8" s="481"/>
      <c r="D8" s="171" t="s">
        <v>300</v>
      </c>
      <c r="E8" s="287" t="s">
        <v>96</v>
      </c>
      <c r="F8" s="172"/>
      <c r="G8" s="169"/>
    </row>
    <row r="9" spans="1:7" ht="16.8" x14ac:dyDescent="0.3">
      <c r="A9" s="406" t="s">
        <v>301</v>
      </c>
      <c r="B9" s="407">
        <f>C12+4</f>
        <v>11</v>
      </c>
      <c r="C9" s="408"/>
      <c r="D9" s="409" t="s">
        <v>302</v>
      </c>
      <c r="E9" s="410" t="s">
        <v>96</v>
      </c>
      <c r="F9" s="172"/>
      <c r="G9" s="169"/>
    </row>
    <row r="10" spans="1:7" ht="17.399999999999999" thickBot="1" x14ac:dyDescent="0.35">
      <c r="A10" s="411"/>
      <c r="B10" s="412"/>
      <c r="C10" s="413"/>
      <c r="D10" s="414" t="s">
        <v>341</v>
      </c>
      <c r="E10" s="415">
        <f>SUM(E3:E4)</f>
        <v>20</v>
      </c>
      <c r="F10" s="172"/>
      <c r="G10" s="169"/>
    </row>
    <row r="11" spans="1:7" ht="17.399999999999999" thickTop="1" x14ac:dyDescent="0.3">
      <c r="A11" s="173" t="s">
        <v>303</v>
      </c>
      <c r="B11" s="500">
        <f>12+4</f>
        <v>16</v>
      </c>
      <c r="C11" s="174" t="str">
        <f>IF(B11&gt;9.9,CONCATENATE("+",ROUNDDOWN((B11-10)/2,0)),ROUNDUP((B11-10)/2,0))</f>
        <v>+3</v>
      </c>
      <c r="D11" s="175" t="s">
        <v>304</v>
      </c>
      <c r="E11" s="400" t="s">
        <v>327</v>
      </c>
      <c r="F11" s="172"/>
      <c r="G11" s="169"/>
    </row>
    <row r="12" spans="1:7" ht="16.8" x14ac:dyDescent="0.3">
      <c r="A12" s="176" t="s">
        <v>305</v>
      </c>
      <c r="B12" s="478">
        <f>14+6+4</f>
        <v>24</v>
      </c>
      <c r="C12" s="177" t="str">
        <f t="shared" ref="C12:C16" si="0">IF(B12&gt;9.9,CONCATENATE("+",ROUNDDOWN((B12-10)/2,0)),ROUNDUP((B12-10)/2,0))</f>
        <v>+7</v>
      </c>
      <c r="D12" s="178" t="s">
        <v>306</v>
      </c>
      <c r="E12" s="179">
        <f>SUM(Martial!G11:G31)+SUM(Equipment!C3:C30)+60</f>
        <v>143.5</v>
      </c>
      <c r="F12" s="172"/>
      <c r="G12" s="169"/>
    </row>
    <row r="13" spans="1:7" ht="16.8" x14ac:dyDescent="0.3">
      <c r="A13" s="482" t="s">
        <v>307</v>
      </c>
      <c r="B13" s="501">
        <f>12+4</f>
        <v>16</v>
      </c>
      <c r="C13" s="180" t="str">
        <f t="shared" si="0"/>
        <v>+3</v>
      </c>
      <c r="D13" s="178" t="s">
        <v>308</v>
      </c>
      <c r="E13" s="181">
        <f>ROUNDUP(((E3*6)*0.75)+((E3+E4)*C13),0)</f>
        <v>150</v>
      </c>
      <c r="F13" s="172"/>
      <c r="G13" s="169"/>
    </row>
    <row r="14" spans="1:7" ht="16.8" x14ac:dyDescent="0.3">
      <c r="A14" s="182" t="s">
        <v>309</v>
      </c>
      <c r="B14" s="501">
        <f>19+4</f>
        <v>23</v>
      </c>
      <c r="C14" s="177" t="str">
        <f t="shared" si="0"/>
        <v>+6</v>
      </c>
      <c r="D14" s="183" t="s">
        <v>310</v>
      </c>
      <c r="E14" s="479">
        <f>10+C12+1</f>
        <v>18</v>
      </c>
      <c r="F14" s="241"/>
      <c r="G14" s="169"/>
    </row>
    <row r="15" spans="1:7" ht="16.8" x14ac:dyDescent="0.3">
      <c r="A15" s="184" t="s">
        <v>311</v>
      </c>
      <c r="B15" s="501">
        <f>12+4</f>
        <v>16</v>
      </c>
      <c r="C15" s="177" t="str">
        <f t="shared" si="0"/>
        <v>+3</v>
      </c>
      <c r="D15" s="183" t="s">
        <v>312</v>
      </c>
      <c r="E15" s="466">
        <f>E16-C12</f>
        <v>34</v>
      </c>
      <c r="F15" s="241"/>
      <c r="G15" s="169"/>
    </row>
    <row r="16" spans="1:7" ht="17.399999999999999" thickBot="1" x14ac:dyDescent="0.35">
      <c r="A16" s="185" t="s">
        <v>313</v>
      </c>
      <c r="B16" s="465">
        <f>14+6+4</f>
        <v>24</v>
      </c>
      <c r="C16" s="186" t="str">
        <f t="shared" si="0"/>
        <v>+7</v>
      </c>
      <c r="D16" s="187" t="s">
        <v>314</v>
      </c>
      <c r="E16" s="467">
        <f>E14+SUM(Martial!B22:B27)</f>
        <v>41</v>
      </c>
      <c r="F16" s="241"/>
      <c r="G16" s="169"/>
    </row>
    <row r="17" spans="1:7" s="6" customFormat="1" ht="17.399999999999999" thickTop="1" x14ac:dyDescent="0.3">
      <c r="A17" s="188"/>
      <c r="B17" s="189"/>
      <c r="C17" s="189"/>
      <c r="D17" s="189"/>
      <c r="E17" s="189"/>
      <c r="F17" s="189"/>
      <c r="G17" s="190"/>
    </row>
    <row r="18" spans="1:7" s="6" customFormat="1" ht="16.8" x14ac:dyDescent="0.3">
      <c r="A18" s="191"/>
      <c r="B18" s="192"/>
      <c r="C18" s="192"/>
      <c r="D18" s="192"/>
      <c r="E18" s="192"/>
      <c r="F18" s="192"/>
      <c r="G18" s="193"/>
    </row>
    <row r="19" spans="1:7" s="6" customFormat="1" ht="16.8" x14ac:dyDescent="0.3">
      <c r="A19" s="191"/>
      <c r="B19" s="192"/>
      <c r="C19" s="192"/>
      <c r="D19" s="192"/>
      <c r="E19" s="192"/>
      <c r="F19" s="192"/>
      <c r="G19" s="193"/>
    </row>
    <row r="20" spans="1:7" ht="17.399999999999999" thickBot="1" x14ac:dyDescent="0.35">
      <c r="A20" s="194"/>
      <c r="B20" s="195"/>
      <c r="C20" s="195"/>
      <c r="D20" s="195"/>
      <c r="E20" s="195"/>
      <c r="F20" s="195"/>
      <c r="G20" s="196"/>
    </row>
    <row r="21" spans="1:7" ht="16.2" thickTop="1" x14ac:dyDescent="0.3"/>
  </sheetData>
  <phoneticPr fontId="0" type="noConversion"/>
  <conditionalFormatting sqref="E12">
    <cfRule type="cellIs" dxfId="136" priority="1" stopIfTrue="1" operator="greaterThan">
      <formula>86</formula>
    </cfRule>
    <cfRule type="cellIs" dxfId="135" priority="2" stopIfTrue="1" operator="between">
      <formula>43</formula>
      <formula>86</formula>
    </cfRule>
  </conditionalFormatting>
  <hyperlinks>
    <hyperlink ref="G1" r:id="rId1" xr:uid="{6D02F338-2CC2-4B76-826D-6318FDF77437}"/>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5"/>
  <sheetViews>
    <sheetView showGridLines="0" workbookViewId="0">
      <pane ySplit="2" topLeftCell="A3" activePane="bottomLeft" state="frozen"/>
      <selection pane="bottomLeft" activeCell="A3" sqref="A3"/>
    </sheetView>
  </sheetViews>
  <sheetFormatPr defaultColWidth="13" defaultRowHeight="15.6" x14ac:dyDescent="0.3"/>
  <cols>
    <col min="1" max="1" width="31.296875" style="154" bestFit="1" customWidth="1"/>
    <col min="2" max="2" width="5.8984375" style="154" bestFit="1" customWidth="1"/>
    <col min="3" max="3" width="7.59765625" style="156" hidden="1" customWidth="1"/>
    <col min="4" max="4" width="7.19921875" style="156" hidden="1" customWidth="1"/>
    <col min="5" max="5" width="9.19921875" style="156" bestFit="1" customWidth="1"/>
    <col min="6" max="6" width="7.3984375" style="156" customWidth="1"/>
    <col min="7" max="7" width="6" style="156" bestFit="1" customWidth="1"/>
    <col min="8" max="8" width="5.19921875" style="156" bestFit="1" customWidth="1"/>
    <col min="9" max="9" width="7.5" style="156" customWidth="1"/>
    <col min="10" max="10" width="28.5" style="154" bestFit="1" customWidth="1"/>
    <col min="11" max="16384" width="13" style="25"/>
  </cols>
  <sheetData>
    <row r="1" spans="1:10" ht="23.4" thickBot="1" x14ac:dyDescent="0.35">
      <c r="A1" s="85" t="s">
        <v>6</v>
      </c>
      <c r="B1" s="86"/>
      <c r="C1" s="86"/>
      <c r="D1" s="86"/>
      <c r="E1" s="86"/>
      <c r="F1" s="86"/>
      <c r="G1" s="86"/>
      <c r="H1" s="86"/>
      <c r="I1" s="86"/>
      <c r="J1" s="86"/>
    </row>
    <row r="2" spans="1:10" s="6" customFormat="1" ht="34.200000000000003" thickBot="1" x14ac:dyDescent="0.35">
      <c r="A2" s="1" t="s">
        <v>80</v>
      </c>
      <c r="B2" s="2" t="s">
        <v>20</v>
      </c>
      <c r="C2" s="2" t="s">
        <v>27</v>
      </c>
      <c r="D2" s="2" t="s">
        <v>19</v>
      </c>
      <c r="E2" s="3" t="s">
        <v>52</v>
      </c>
      <c r="F2" s="3" t="s">
        <v>28</v>
      </c>
      <c r="G2" s="3" t="s">
        <v>54</v>
      </c>
      <c r="H2" s="4" t="s">
        <v>74</v>
      </c>
      <c r="I2" s="3" t="s">
        <v>65</v>
      </c>
      <c r="J2" s="5" t="s">
        <v>63</v>
      </c>
    </row>
    <row r="3" spans="1:10" s="6" customFormat="1" ht="16.8" x14ac:dyDescent="0.3">
      <c r="A3" s="219" t="s">
        <v>124</v>
      </c>
      <c r="B3" s="220">
        <f>6</f>
        <v>6</v>
      </c>
      <c r="C3" s="73" t="s">
        <v>22</v>
      </c>
      <c r="D3" s="73" t="str">
        <f>IF(C3="Str",'Personal File'!$C$11,IF(C3="Dex",'Personal File'!$C$12,IF(C3="Con",'Personal File'!$C$13,IF(C3="Int",'Personal File'!$C$14,IF(C3="Wis",'Personal File'!$C$15,IF(C3="Cha",'Personal File'!$C$16))))))</f>
        <v>+3</v>
      </c>
      <c r="E3" s="225" t="str">
        <f t="shared" ref="E3" si="0">CONCATENATE(C3," (",D3,")")</f>
        <v>Con (+3)</v>
      </c>
      <c r="F3" s="356">
        <v>3</v>
      </c>
      <c r="G3" s="221">
        <f t="shared" ref="G3:G4" si="1">B3+D3+F3</f>
        <v>12</v>
      </c>
      <c r="H3" s="87">
        <f t="shared" ref="H3:H43" ca="1" si="2">RANDBETWEEN(1,20)</f>
        <v>5</v>
      </c>
      <c r="I3" s="222">
        <f t="shared" ref="I3:I4" ca="1" si="3">SUM(G3:H3)</f>
        <v>17</v>
      </c>
      <c r="J3" s="242" t="s">
        <v>336</v>
      </c>
    </row>
    <row r="4" spans="1:10" s="6" customFormat="1" ht="16.8" x14ac:dyDescent="0.3">
      <c r="A4" s="223" t="s">
        <v>125</v>
      </c>
      <c r="B4" s="220">
        <f>6</f>
        <v>6</v>
      </c>
      <c r="C4" s="73" t="s">
        <v>25</v>
      </c>
      <c r="D4" s="73" t="str">
        <f>IF(C4="Str",'Personal File'!$C$11,IF(C4="Dex",'Personal File'!$C$12,IF(C4="Con",'Personal File'!$C$13,IF(C4="Int",'Personal File'!$C$14,IF(C4="Wis",'Personal File'!$C$15,IF(C4="Cha",'Personal File'!$C$16))))))</f>
        <v>+7</v>
      </c>
      <c r="E4" s="88" t="str">
        <f t="shared" ref="E4" si="4">CONCATENATE(C4," (",D4,")")</f>
        <v>Dex (+7)</v>
      </c>
      <c r="F4" s="358">
        <v>3</v>
      </c>
      <c r="G4" s="221">
        <f t="shared" si="1"/>
        <v>16</v>
      </c>
      <c r="H4" s="87">
        <f t="shared" ca="1" si="2"/>
        <v>14</v>
      </c>
      <c r="I4" s="222">
        <f t="shared" ca="1" si="3"/>
        <v>30</v>
      </c>
      <c r="J4" s="145" t="s">
        <v>337</v>
      </c>
    </row>
    <row r="5" spans="1:10" s="6" customFormat="1" ht="16.8" x14ac:dyDescent="0.3">
      <c r="A5" s="89" t="s">
        <v>56</v>
      </c>
      <c r="B5" s="90">
        <f>12</f>
        <v>12</v>
      </c>
      <c r="C5" s="91" t="s">
        <v>24</v>
      </c>
      <c r="D5" s="91" t="str">
        <f>IF(C5="Str",'Personal File'!$C$11,IF(C5="Dex",'Personal File'!$C$12,IF(C5="Con",'Personal File'!$C$13,IF(C5="Int",'Personal File'!$C$14,IF(C5="Wis",'Personal File'!$C$15,IF(C5="Cha",'Personal File'!$C$16))))))</f>
        <v>+3</v>
      </c>
      <c r="E5" s="92" t="str">
        <f t="shared" ref="E5:E6" si="5">CONCATENATE(C5," (",D5,")")</f>
        <v>Wis (+3)</v>
      </c>
      <c r="F5" s="357">
        <v>3</v>
      </c>
      <c r="G5" s="93">
        <f t="shared" ref="G5:G44" si="6">B5+D5+F5</f>
        <v>18</v>
      </c>
      <c r="H5" s="94">
        <f t="shared" ca="1" si="2"/>
        <v>11</v>
      </c>
      <c r="I5" s="95">
        <f t="shared" ref="I5" ca="1" si="7">SUM(G5:H5)</f>
        <v>29</v>
      </c>
      <c r="J5" s="224" t="s">
        <v>336</v>
      </c>
    </row>
    <row r="6" spans="1:10" s="103" customFormat="1" ht="16.8" x14ac:dyDescent="0.3">
      <c r="A6" s="121" t="s">
        <v>29</v>
      </c>
      <c r="B6" s="73">
        <v>0</v>
      </c>
      <c r="C6" s="122" t="s">
        <v>23</v>
      </c>
      <c r="D6" s="123" t="str">
        <f>IF(C6="Str",'Personal File'!$C$11,IF(C6="Dex",'Personal File'!$C$12,IF(C6="Con",'Personal File'!$C$13,IF(C6="Int",'Personal File'!$C$14,IF(C6="Wis",'Personal File'!$C$15,IF(C6="Cha",'Personal File'!$C$16))))))</f>
        <v>+6</v>
      </c>
      <c r="E6" s="124" t="str">
        <f t="shared" si="5"/>
        <v>Int (+6)</v>
      </c>
      <c r="F6" s="109" t="s">
        <v>53</v>
      </c>
      <c r="G6" s="109">
        <f t="shared" si="6"/>
        <v>6</v>
      </c>
      <c r="H6" s="232">
        <f t="shared" ca="1" si="2"/>
        <v>8</v>
      </c>
      <c r="I6" s="109">
        <f ca="1">SUM(G6:H6)</f>
        <v>14</v>
      </c>
      <c r="J6" s="145"/>
    </row>
    <row r="7" spans="1:10" s="104" customFormat="1" ht="16.8" x14ac:dyDescent="0.3">
      <c r="A7" s="118" t="s">
        <v>30</v>
      </c>
      <c r="B7" s="73">
        <v>0</v>
      </c>
      <c r="C7" s="119" t="s">
        <v>25</v>
      </c>
      <c r="D7" s="120" t="str">
        <f>IF(C7="Str",'Personal File'!$C$11,IF(C7="Dex",'Personal File'!$C$12,IF(C7="Con",'Personal File'!$C$13,IF(C7="Int",'Personal File'!$C$14,IF(C7="Wis",'Personal File'!$C$15,IF(C7="Cha",'Personal File'!$C$16))))))</f>
        <v>+7</v>
      </c>
      <c r="E7" s="88" t="str">
        <f t="shared" ref="E7:E44" si="8">CONCATENATE(C7," (",D7,")")</f>
        <v>Dex (+7)</v>
      </c>
      <c r="F7" s="109">
        <f>SUM(Martial!$D$22:$D$27)</f>
        <v>0</v>
      </c>
      <c r="G7" s="109">
        <f t="shared" si="6"/>
        <v>7</v>
      </c>
      <c r="H7" s="87">
        <f t="shared" ca="1" si="2"/>
        <v>5</v>
      </c>
      <c r="I7" s="109">
        <f t="shared" ref="I7" ca="1" si="9">SUM(G7:H7)</f>
        <v>12</v>
      </c>
      <c r="J7" s="145"/>
    </row>
    <row r="8" spans="1:10" s="111" customFormat="1" ht="16.8" x14ac:dyDescent="0.3">
      <c r="A8" s="251" t="s">
        <v>31</v>
      </c>
      <c r="B8" s="97">
        <v>1</v>
      </c>
      <c r="C8" s="252" t="s">
        <v>21</v>
      </c>
      <c r="D8" s="253" t="str">
        <f>IF(C8="Str",'Personal File'!$C$11,IF(C8="Dex",'Personal File'!$C$12,IF(C8="Con",'Personal File'!$C$13,IF(C8="Int",'Personal File'!$C$14,IF(C8="Wis",'Personal File'!$C$15,IF(C8="Cha",'Personal File'!$C$16))))))</f>
        <v>+7</v>
      </c>
      <c r="E8" s="254" t="str">
        <f t="shared" si="8"/>
        <v>Cha (+7)</v>
      </c>
      <c r="F8" s="101" t="s">
        <v>244</v>
      </c>
      <c r="G8" s="101">
        <f t="shared" si="6"/>
        <v>10</v>
      </c>
      <c r="H8" s="87">
        <f t="shared" ca="1" si="2"/>
        <v>17</v>
      </c>
      <c r="I8" s="101">
        <f t="shared" ref="I8:I44" ca="1" si="10">SUM(G8:H8)</f>
        <v>27</v>
      </c>
      <c r="J8" s="144"/>
    </row>
    <row r="9" spans="1:10" s="112" customFormat="1" ht="16.8" x14ac:dyDescent="0.3">
      <c r="A9" s="136" t="s">
        <v>32</v>
      </c>
      <c r="B9" s="73">
        <v>0</v>
      </c>
      <c r="C9" s="137" t="s">
        <v>26</v>
      </c>
      <c r="D9" s="138" t="str">
        <f>IF(C9="Str",'Personal File'!$C$11,IF(C9="Dex",'Personal File'!$C$12,IF(C9="Con",'Personal File'!$C$13,IF(C9="Int",'Personal File'!$C$14,IF(C9="Wis",'Personal File'!$C$15,IF(C9="Cha",'Personal File'!$C$16))))))</f>
        <v>+3</v>
      </c>
      <c r="E9" s="139" t="str">
        <f t="shared" si="8"/>
        <v>Str (+3)</v>
      </c>
      <c r="F9" s="109">
        <f>SUM(Martial!$D$22:$D$27)</f>
        <v>0</v>
      </c>
      <c r="G9" s="109">
        <f t="shared" si="6"/>
        <v>3</v>
      </c>
      <c r="H9" s="87">
        <f t="shared" ca="1" si="2"/>
        <v>19</v>
      </c>
      <c r="I9" s="109">
        <f t="shared" ca="1" si="10"/>
        <v>22</v>
      </c>
      <c r="J9" s="145"/>
    </row>
    <row r="10" spans="1:10" s="112" customFormat="1" ht="16.8" x14ac:dyDescent="0.3">
      <c r="A10" s="113" t="s">
        <v>7</v>
      </c>
      <c r="B10" s="97">
        <v>23</v>
      </c>
      <c r="C10" s="114" t="s">
        <v>22</v>
      </c>
      <c r="D10" s="115" t="str">
        <f>IF(C10="Str",'Personal File'!$C$11,IF(C10="Dex",'Personal File'!$C$12,IF(C10="Con",'Personal File'!$C$13,IF(C10="Int",'Personal File'!$C$14,IF(C10="Wis",'Personal File'!$C$15,IF(C10="Cha",'Personal File'!$C$16))))))</f>
        <v>+3</v>
      </c>
      <c r="E10" s="116" t="str">
        <f t="shared" si="8"/>
        <v>Con (+3)</v>
      </c>
      <c r="F10" s="101" t="s">
        <v>244</v>
      </c>
      <c r="G10" s="101">
        <f t="shared" si="6"/>
        <v>28</v>
      </c>
      <c r="H10" s="87">
        <f t="shared" ca="1" si="2"/>
        <v>17</v>
      </c>
      <c r="I10" s="101">
        <f t="shared" ca="1" si="10"/>
        <v>45</v>
      </c>
      <c r="J10" s="144"/>
    </row>
    <row r="11" spans="1:10" s="103" customFormat="1" ht="16.8" x14ac:dyDescent="0.3">
      <c r="A11" s="96" t="s">
        <v>358</v>
      </c>
      <c r="B11" s="97">
        <v>10</v>
      </c>
      <c r="C11" s="98" t="s">
        <v>23</v>
      </c>
      <c r="D11" s="99" t="str">
        <f>IF(C11="Str",'Personal File'!$C$11,IF(C11="Dex",'Personal File'!$C$12,IF(C11="Con",'Personal File'!$C$13,IF(C11="Int",'Personal File'!$C$14,IF(C11="Wis",'Personal File'!$C$15,IF(C11="Cha",'Personal File'!$C$16))))))</f>
        <v>+6</v>
      </c>
      <c r="E11" s="100" t="str">
        <f t="shared" si="8"/>
        <v>Int (+6)</v>
      </c>
      <c r="F11" s="101" t="s">
        <v>53</v>
      </c>
      <c r="G11" s="101">
        <f t="shared" si="6"/>
        <v>16</v>
      </c>
      <c r="H11" s="87">
        <f t="shared" ca="1" si="2"/>
        <v>20</v>
      </c>
      <c r="I11" s="401">
        <f t="shared" ca="1" si="10"/>
        <v>36</v>
      </c>
      <c r="J11" s="144"/>
    </row>
    <row r="12" spans="1:10" s="117" customFormat="1" ht="16.8" x14ac:dyDescent="0.3">
      <c r="A12" s="140" t="s">
        <v>33</v>
      </c>
      <c r="B12" s="126">
        <v>0</v>
      </c>
      <c r="C12" s="141" t="s">
        <v>23</v>
      </c>
      <c r="D12" s="142" t="str">
        <f>IF(C12="Str",'Personal File'!$C$11,IF(C12="Dex",'Personal File'!$C$12,IF(C12="Con",'Personal File'!$C$13,IF(C12="Int",'Personal File'!$C$14,IF(C12="Wis",'Personal File'!$C$15,IF(C12="Cha",'Personal File'!$C$16))))))</f>
        <v>+6</v>
      </c>
      <c r="E12" s="143" t="str">
        <f t="shared" si="8"/>
        <v>Int (+6)</v>
      </c>
      <c r="F12" s="130" t="s">
        <v>53</v>
      </c>
      <c r="G12" s="130">
        <f t="shared" si="6"/>
        <v>6</v>
      </c>
      <c r="H12" s="87">
        <f t="shared" ca="1" si="2"/>
        <v>6</v>
      </c>
      <c r="I12" s="130">
        <f t="shared" ca="1" si="10"/>
        <v>12</v>
      </c>
      <c r="J12" s="243"/>
    </row>
    <row r="13" spans="1:10" s="104" customFormat="1" ht="16.8" x14ac:dyDescent="0.3">
      <c r="A13" s="105" t="s">
        <v>34</v>
      </c>
      <c r="B13" s="73">
        <v>0</v>
      </c>
      <c r="C13" s="106" t="s">
        <v>21</v>
      </c>
      <c r="D13" s="107" t="str">
        <f>IF(C13="Str",'Personal File'!$C$11,IF(C13="Dex",'Personal File'!$C$12,IF(C13="Con",'Personal File'!$C$13,IF(C13="Int",'Personal File'!$C$14,IF(C13="Wis",'Personal File'!$C$15,IF(C13="Cha",'Personal File'!$C$16))))))</f>
        <v>+7</v>
      </c>
      <c r="E13" s="108" t="str">
        <f t="shared" si="8"/>
        <v>Cha (+7)</v>
      </c>
      <c r="F13" s="109" t="s">
        <v>244</v>
      </c>
      <c r="G13" s="109">
        <f t="shared" si="6"/>
        <v>9</v>
      </c>
      <c r="H13" s="87">
        <f t="shared" ca="1" si="2"/>
        <v>3</v>
      </c>
      <c r="I13" s="109">
        <f t="shared" ca="1" si="10"/>
        <v>12</v>
      </c>
      <c r="J13" s="145"/>
    </row>
    <row r="14" spans="1:10" s="104" customFormat="1" ht="16.8" x14ac:dyDescent="0.3">
      <c r="A14" s="140" t="s">
        <v>35</v>
      </c>
      <c r="B14" s="126">
        <v>0</v>
      </c>
      <c r="C14" s="141" t="s">
        <v>23</v>
      </c>
      <c r="D14" s="142" t="str">
        <f>IF(C14="Str",'Personal File'!$C$11,IF(C14="Dex",'Personal File'!$C$12,IF(C14="Con",'Personal File'!$C$13,IF(C14="Int",'Personal File'!$C$14,IF(C14="Wis",'Personal File'!$C$15,IF(C14="Cha",'Personal File'!$C$16))))))</f>
        <v>+6</v>
      </c>
      <c r="E14" s="143" t="str">
        <f t="shared" si="8"/>
        <v>Int (+6)</v>
      </c>
      <c r="F14" s="130" t="s">
        <v>53</v>
      </c>
      <c r="G14" s="130">
        <f t="shared" si="6"/>
        <v>6</v>
      </c>
      <c r="H14" s="87">
        <f t="shared" ca="1" si="2"/>
        <v>7</v>
      </c>
      <c r="I14" s="130">
        <f t="shared" ca="1" si="10"/>
        <v>13</v>
      </c>
      <c r="J14" s="131"/>
    </row>
    <row r="15" spans="1:10" s="104" customFormat="1" ht="16.8" x14ac:dyDescent="0.3">
      <c r="A15" s="105" t="s">
        <v>36</v>
      </c>
      <c r="B15" s="73">
        <v>0</v>
      </c>
      <c r="C15" s="106" t="s">
        <v>21</v>
      </c>
      <c r="D15" s="107" t="str">
        <f>IF(C15="Str",'Personal File'!$C$11,IF(C15="Dex",'Personal File'!$C$12,IF(C15="Con",'Personal File'!$C$13,IF(C15="Int",'Personal File'!$C$14,IF(C15="Wis",'Personal File'!$C$15,IF(C15="Cha",'Personal File'!$C$16))))))</f>
        <v>+7</v>
      </c>
      <c r="E15" s="108" t="str">
        <f t="shared" si="8"/>
        <v>Cha (+7)</v>
      </c>
      <c r="F15" s="109" t="s">
        <v>53</v>
      </c>
      <c r="G15" s="109">
        <f t="shared" si="6"/>
        <v>7</v>
      </c>
      <c r="H15" s="87">
        <f t="shared" ca="1" si="2"/>
        <v>5</v>
      </c>
      <c r="I15" s="109">
        <f t="shared" ca="1" si="10"/>
        <v>12</v>
      </c>
      <c r="J15" s="110"/>
    </row>
    <row r="16" spans="1:10" s="104" customFormat="1" ht="16.8" x14ac:dyDescent="0.3">
      <c r="A16" s="118" t="s">
        <v>37</v>
      </c>
      <c r="B16" s="73">
        <v>2</v>
      </c>
      <c r="C16" s="119" t="s">
        <v>25</v>
      </c>
      <c r="D16" s="120" t="str">
        <f>IF(C16="Str",'Personal File'!$C$11,IF(C16="Dex",'Personal File'!$C$12,IF(C16="Con",'Personal File'!$C$13,IF(C16="Int",'Personal File'!$C$14,IF(C16="Wis",'Personal File'!$C$15,IF(C16="Cha",'Personal File'!$C$16))))))</f>
        <v>+7</v>
      </c>
      <c r="E16" s="88" t="str">
        <f t="shared" si="8"/>
        <v>Dex (+7)</v>
      </c>
      <c r="F16" s="109">
        <f>SUM(Martial!$D$22:$D$27)</f>
        <v>0</v>
      </c>
      <c r="G16" s="109">
        <f t="shared" si="6"/>
        <v>9</v>
      </c>
      <c r="H16" s="87">
        <f t="shared" ca="1" si="2"/>
        <v>14</v>
      </c>
      <c r="I16" s="109">
        <f t="shared" ca="1" si="10"/>
        <v>23</v>
      </c>
      <c r="J16" s="110"/>
    </row>
    <row r="17" spans="1:10" s="104" customFormat="1" ht="16.8" x14ac:dyDescent="0.3">
      <c r="A17" s="121" t="s">
        <v>38</v>
      </c>
      <c r="B17" s="73">
        <v>0</v>
      </c>
      <c r="C17" s="122" t="s">
        <v>23</v>
      </c>
      <c r="D17" s="123" t="str">
        <f>IF(C17="Str",'Personal File'!$C$11,IF(C17="Dex",'Personal File'!$C$12,IF(C17="Con",'Personal File'!$C$13,IF(C17="Int",'Personal File'!$C$14,IF(C17="Wis",'Personal File'!$C$15,IF(C17="Cha",'Personal File'!$C$16))))))</f>
        <v>+6</v>
      </c>
      <c r="E17" s="124" t="str">
        <f t="shared" si="8"/>
        <v>Int (+6)</v>
      </c>
      <c r="F17" s="109" t="s">
        <v>53</v>
      </c>
      <c r="G17" s="109">
        <f t="shared" si="6"/>
        <v>6</v>
      </c>
      <c r="H17" s="87">
        <f t="shared" ca="1" si="2"/>
        <v>10</v>
      </c>
      <c r="I17" s="109">
        <f t="shared" ca="1" si="10"/>
        <v>16</v>
      </c>
      <c r="J17" s="110"/>
    </row>
    <row r="18" spans="1:10" s="104" customFormat="1" ht="16.8" x14ac:dyDescent="0.3">
      <c r="A18" s="105" t="s">
        <v>39</v>
      </c>
      <c r="B18" s="73">
        <v>0</v>
      </c>
      <c r="C18" s="106" t="s">
        <v>21</v>
      </c>
      <c r="D18" s="107" t="str">
        <f>IF(C18="Str",'Personal File'!$C$11,IF(C18="Dex",'Personal File'!$C$12,IF(C18="Con",'Personal File'!$C$13,IF(C18="Int",'Personal File'!$C$14,IF(C18="Wis",'Personal File'!$C$15,IF(C18="Cha",'Personal File'!$C$16))))))</f>
        <v>+7</v>
      </c>
      <c r="E18" s="108" t="str">
        <f t="shared" si="8"/>
        <v>Cha (+7)</v>
      </c>
      <c r="F18" s="109" t="s">
        <v>244</v>
      </c>
      <c r="G18" s="109">
        <f t="shared" si="6"/>
        <v>9</v>
      </c>
      <c r="H18" s="87">
        <f t="shared" ca="1" si="2"/>
        <v>18</v>
      </c>
      <c r="I18" s="109">
        <f t="shared" ca="1" si="10"/>
        <v>27</v>
      </c>
      <c r="J18" s="110"/>
    </row>
    <row r="19" spans="1:10" s="104" customFormat="1" ht="16.8" x14ac:dyDescent="0.3">
      <c r="A19" s="125" t="s">
        <v>9</v>
      </c>
      <c r="B19" s="126">
        <v>0</v>
      </c>
      <c r="C19" s="127" t="s">
        <v>21</v>
      </c>
      <c r="D19" s="128" t="str">
        <f>IF(C19="Str",'Personal File'!$C$11,IF(C19="Dex",'Personal File'!$C$12,IF(C19="Con",'Personal File'!$C$13,IF(C19="Int",'Personal File'!$C$14,IF(C19="Wis",'Personal File'!$C$15,IF(C19="Cha",'Personal File'!$C$16))))))</f>
        <v>+7</v>
      </c>
      <c r="E19" s="129" t="str">
        <f t="shared" si="8"/>
        <v>Cha (+7)</v>
      </c>
      <c r="F19" s="130" t="s">
        <v>53</v>
      </c>
      <c r="G19" s="130">
        <f t="shared" si="6"/>
        <v>7</v>
      </c>
      <c r="H19" s="87">
        <f t="shared" ca="1" si="2"/>
        <v>17</v>
      </c>
      <c r="I19" s="130">
        <f t="shared" ca="1" si="10"/>
        <v>24</v>
      </c>
      <c r="J19" s="131"/>
    </row>
    <row r="20" spans="1:10" s="104" customFormat="1" ht="16.8" x14ac:dyDescent="0.3">
      <c r="A20" s="132" t="s">
        <v>40</v>
      </c>
      <c r="B20" s="73">
        <v>0</v>
      </c>
      <c r="C20" s="133" t="s">
        <v>24</v>
      </c>
      <c r="D20" s="134" t="str">
        <f>IF(C20="Str",'Personal File'!$C$11,IF(C20="Dex",'Personal File'!$C$12,IF(C20="Con",'Personal File'!$C$13,IF(C20="Int",'Personal File'!$C$14,IF(C20="Wis",'Personal File'!$C$15,IF(C20="Cha",'Personal File'!$C$16))))))</f>
        <v>+3</v>
      </c>
      <c r="E20" s="135" t="str">
        <f t="shared" si="8"/>
        <v>Wis (+3)</v>
      </c>
      <c r="F20" s="109" t="s">
        <v>53</v>
      </c>
      <c r="G20" s="109">
        <f t="shared" si="6"/>
        <v>3</v>
      </c>
      <c r="H20" s="87">
        <f t="shared" ca="1" si="2"/>
        <v>12</v>
      </c>
      <c r="I20" s="109">
        <f t="shared" ca="1" si="10"/>
        <v>15</v>
      </c>
      <c r="J20" s="110"/>
    </row>
    <row r="21" spans="1:10" s="104" customFormat="1" ht="16.8" x14ac:dyDescent="0.3">
      <c r="A21" s="118" t="s">
        <v>41</v>
      </c>
      <c r="B21" s="73">
        <v>0</v>
      </c>
      <c r="C21" s="119" t="s">
        <v>25</v>
      </c>
      <c r="D21" s="120" t="str">
        <f>IF(C21="Str",'Personal File'!$C$11,IF(C21="Dex",'Personal File'!$C$12,IF(C21="Con",'Personal File'!$C$13,IF(C21="Int",'Personal File'!$C$14,IF(C21="Wis",'Personal File'!$C$15,IF(C21="Cha",'Personal File'!$C$16))))))</f>
        <v>+7</v>
      </c>
      <c r="E21" s="88" t="str">
        <f t="shared" si="8"/>
        <v>Dex (+7)</v>
      </c>
      <c r="F21" s="109">
        <f>SUM(Martial!$D$22:$D$27)</f>
        <v>0</v>
      </c>
      <c r="G21" s="109">
        <f t="shared" si="6"/>
        <v>7</v>
      </c>
      <c r="H21" s="87">
        <f t="shared" ca="1" si="2"/>
        <v>9</v>
      </c>
      <c r="I21" s="109">
        <f t="shared" ca="1" si="10"/>
        <v>16</v>
      </c>
      <c r="J21" s="110"/>
    </row>
    <row r="22" spans="1:10" s="104" customFormat="1" ht="16.8" x14ac:dyDescent="0.3">
      <c r="A22" s="251" t="s">
        <v>42</v>
      </c>
      <c r="B22" s="97">
        <v>11</v>
      </c>
      <c r="C22" s="252" t="s">
        <v>21</v>
      </c>
      <c r="D22" s="253" t="str">
        <f>IF(C22="Str",'Personal File'!$C$11,IF(C22="Dex",'Personal File'!$C$12,IF(C22="Con",'Personal File'!$C$13,IF(C22="Int",'Personal File'!$C$14,IF(C22="Wis",'Personal File'!$C$15,IF(C22="Cha",'Personal File'!$C$16))))))</f>
        <v>+7</v>
      </c>
      <c r="E22" s="254" t="str">
        <f t="shared" si="8"/>
        <v>Cha (+7)</v>
      </c>
      <c r="F22" s="101" t="s">
        <v>53</v>
      </c>
      <c r="G22" s="101">
        <f t="shared" si="6"/>
        <v>18</v>
      </c>
      <c r="H22" s="87">
        <f t="shared" ca="1" si="2"/>
        <v>3</v>
      </c>
      <c r="I22" s="101">
        <f t="shared" ca="1" si="10"/>
        <v>21</v>
      </c>
      <c r="J22" s="102"/>
    </row>
    <row r="23" spans="1:10" s="104" customFormat="1" ht="16.8" x14ac:dyDescent="0.3">
      <c r="A23" s="136" t="s">
        <v>43</v>
      </c>
      <c r="B23" s="73">
        <v>0</v>
      </c>
      <c r="C23" s="137" t="s">
        <v>26</v>
      </c>
      <c r="D23" s="138" t="str">
        <f>IF(C23="Str",'Personal File'!$C$11,IF(C23="Dex",'Personal File'!$C$12,IF(C23="Con",'Personal File'!$C$13,IF(C23="Int",'Personal File'!$C$14,IF(C23="Wis",'Personal File'!$C$15,IF(C23="Cha",'Personal File'!$C$16))))))</f>
        <v>+3</v>
      </c>
      <c r="E23" s="139" t="str">
        <f t="shared" si="8"/>
        <v>Str (+3)</v>
      </c>
      <c r="F23" s="109">
        <f>SUM(Martial!$D$22:$D$27)</f>
        <v>0</v>
      </c>
      <c r="G23" s="109">
        <f t="shared" si="6"/>
        <v>3</v>
      </c>
      <c r="H23" s="87">
        <f t="shared" ca="1" si="2"/>
        <v>10</v>
      </c>
      <c r="I23" s="109">
        <f t="shared" ca="1" si="10"/>
        <v>13</v>
      </c>
      <c r="J23" s="110"/>
    </row>
    <row r="24" spans="1:10" s="104" customFormat="1" ht="16.8" x14ac:dyDescent="0.3">
      <c r="A24" s="96" t="s">
        <v>68</v>
      </c>
      <c r="B24" s="97">
        <v>20</v>
      </c>
      <c r="C24" s="98" t="s">
        <v>23</v>
      </c>
      <c r="D24" s="99" t="str">
        <f>IF(C24="Str",'Personal File'!$C$11,IF(C24="Dex",'Personal File'!$C$12,IF(C24="Con",'Personal File'!$C$13,IF(C24="Int",'Personal File'!$C$14,IF(C24="Wis",'Personal File'!$C$15,IF(C24="Cha",'Personal File'!$C$16))))))</f>
        <v>+6</v>
      </c>
      <c r="E24" s="100" t="str">
        <f t="shared" si="8"/>
        <v>Int (+6)</v>
      </c>
      <c r="F24" s="101" t="s">
        <v>53</v>
      </c>
      <c r="G24" s="101">
        <f t="shared" si="6"/>
        <v>26</v>
      </c>
      <c r="H24" s="87">
        <f t="shared" ca="1" si="2"/>
        <v>2</v>
      </c>
      <c r="I24" s="101">
        <f t="shared" ca="1" si="10"/>
        <v>28</v>
      </c>
      <c r="J24" s="102"/>
    </row>
    <row r="25" spans="1:10" s="104" customFormat="1" ht="16.8" x14ac:dyDescent="0.3">
      <c r="A25" s="96" t="s">
        <v>381</v>
      </c>
      <c r="B25" s="97">
        <v>2</v>
      </c>
      <c r="C25" s="98" t="s">
        <v>23</v>
      </c>
      <c r="D25" s="99" t="str">
        <f>IF(C25="Str",'Personal File'!$C$11,IF(C25="Dex",'Personal File'!$C$12,IF(C25="Con",'Personal File'!$C$13,IF(C25="Int",'Personal File'!$C$14,IF(C25="Wis",'Personal File'!$C$15,IF(C25="Cha",'Personal File'!$C$16))))))</f>
        <v>+6</v>
      </c>
      <c r="E25" s="100" t="str">
        <f t="shared" si="8"/>
        <v>Int (+6)</v>
      </c>
      <c r="F25" s="101" t="s">
        <v>53</v>
      </c>
      <c r="G25" s="101">
        <f t="shared" ref="G25" si="11">B25+D25+F25</f>
        <v>8</v>
      </c>
      <c r="H25" s="87">
        <f t="shared" ca="1" si="2"/>
        <v>7</v>
      </c>
      <c r="I25" s="101">
        <f t="shared" ref="I25" ca="1" si="12">SUM(G25:H25)</f>
        <v>15</v>
      </c>
      <c r="J25" s="102"/>
    </row>
    <row r="26" spans="1:10" s="104" customFormat="1" ht="16.8" x14ac:dyDescent="0.3">
      <c r="A26" s="96" t="s">
        <v>90</v>
      </c>
      <c r="B26" s="97">
        <v>16</v>
      </c>
      <c r="C26" s="98" t="s">
        <v>23</v>
      </c>
      <c r="D26" s="99" t="str">
        <f>IF(C26="Str",'Personal File'!$C$11,IF(C26="Dex",'Personal File'!$C$12,IF(C26="Con",'Personal File'!$C$13,IF(C26="Int",'Personal File'!$C$14,IF(C26="Wis",'Personal File'!$C$15,IF(C26="Cha",'Personal File'!$C$16))))))</f>
        <v>+6</v>
      </c>
      <c r="E26" s="100" t="str">
        <f t="shared" ref="E26" si="13">CONCATENATE(C26," (",D26,")")</f>
        <v>Int (+6)</v>
      </c>
      <c r="F26" s="101" t="s">
        <v>53</v>
      </c>
      <c r="G26" s="101">
        <f t="shared" si="6"/>
        <v>22</v>
      </c>
      <c r="H26" s="87">
        <f t="shared" ca="1" si="2"/>
        <v>11</v>
      </c>
      <c r="I26" s="101">
        <f t="shared" ref="I26" ca="1" si="14">SUM(G26:H26)</f>
        <v>33</v>
      </c>
      <c r="J26" s="102"/>
    </row>
    <row r="27" spans="1:10" s="104" customFormat="1" ht="16.8" x14ac:dyDescent="0.3">
      <c r="A27" s="96" t="s">
        <v>73</v>
      </c>
      <c r="B27" s="97">
        <v>10</v>
      </c>
      <c r="C27" s="98" t="s">
        <v>23</v>
      </c>
      <c r="D27" s="99" t="str">
        <f>IF(C27="Str",'Personal File'!$C$11,IF(C27="Dex",'Personal File'!$C$12,IF(C27="Con",'Personal File'!$C$13,IF(C27="Int",'Personal File'!$C$14,IF(C27="Wis",'Personal File'!$C$15,IF(C27="Cha",'Personal File'!$C$16))))))</f>
        <v>+6</v>
      </c>
      <c r="E27" s="100" t="str">
        <f t="shared" ref="E27" si="15">CONCATENATE(C27," (",D27,")")</f>
        <v>Int (+6)</v>
      </c>
      <c r="F27" s="101" t="s">
        <v>53</v>
      </c>
      <c r="G27" s="101">
        <f t="shared" si="6"/>
        <v>16</v>
      </c>
      <c r="H27" s="87">
        <f t="shared" ca="1" si="2"/>
        <v>8</v>
      </c>
      <c r="I27" s="101">
        <f t="shared" ref="I27" ca="1" si="16">SUM(G27:H27)</f>
        <v>24</v>
      </c>
      <c r="J27" s="102"/>
    </row>
    <row r="28" spans="1:10" s="104" customFormat="1" ht="16.8" x14ac:dyDescent="0.3">
      <c r="A28" s="285" t="s">
        <v>44</v>
      </c>
      <c r="B28" s="97">
        <v>1</v>
      </c>
      <c r="C28" s="259" t="s">
        <v>24</v>
      </c>
      <c r="D28" s="260" t="str">
        <f>IF(C28="Str",'Personal File'!$C$11,IF(C28="Dex",'Personal File'!$C$12,IF(C28="Con",'Personal File'!$C$13,IF(C28="Int",'Personal File'!$C$14,IF(C28="Wis",'Personal File'!$C$15,IF(C28="Cha",'Personal File'!$C$16))))))</f>
        <v>+3</v>
      </c>
      <c r="E28" s="261" t="str">
        <f t="shared" si="8"/>
        <v>Wis (+3)</v>
      </c>
      <c r="F28" s="101" t="s">
        <v>152</v>
      </c>
      <c r="G28" s="101">
        <f t="shared" si="6"/>
        <v>5</v>
      </c>
      <c r="H28" s="87">
        <f t="shared" ca="1" si="2"/>
        <v>7</v>
      </c>
      <c r="I28" s="101">
        <f t="shared" ca="1" si="10"/>
        <v>12</v>
      </c>
      <c r="J28" s="102"/>
    </row>
    <row r="29" spans="1:10" s="104" customFormat="1" ht="16.8" x14ac:dyDescent="0.3">
      <c r="A29" s="118" t="s">
        <v>10</v>
      </c>
      <c r="B29" s="73">
        <v>0</v>
      </c>
      <c r="C29" s="119" t="s">
        <v>25</v>
      </c>
      <c r="D29" s="120" t="str">
        <f>IF(C29="Str",'Personal File'!$C$11,IF(C29="Dex",'Personal File'!$C$12,IF(C29="Con",'Personal File'!$C$13,IF(C29="Int",'Personal File'!$C$14,IF(C29="Wis",'Personal File'!$C$15,IF(C29="Cha",'Personal File'!$C$16))))))</f>
        <v>+7</v>
      </c>
      <c r="E29" s="88" t="str">
        <f t="shared" si="8"/>
        <v>Dex (+7)</v>
      </c>
      <c r="F29" s="109">
        <f>SUM(Martial!$D$22:$D$27)</f>
        <v>0</v>
      </c>
      <c r="G29" s="109">
        <f t="shared" si="6"/>
        <v>7</v>
      </c>
      <c r="H29" s="87">
        <f t="shared" ca="1" si="2"/>
        <v>5</v>
      </c>
      <c r="I29" s="109">
        <f t="shared" ca="1" si="10"/>
        <v>12</v>
      </c>
      <c r="J29" s="110"/>
    </row>
    <row r="30" spans="1:10" s="104" customFormat="1" ht="16.8" x14ac:dyDescent="0.3">
      <c r="A30" s="228" t="s">
        <v>45</v>
      </c>
      <c r="B30" s="126">
        <v>0</v>
      </c>
      <c r="C30" s="229" t="s">
        <v>25</v>
      </c>
      <c r="D30" s="230" t="str">
        <f>IF(C30="Str",'Personal File'!$C$11,IF(C30="Dex",'Personal File'!$C$12,IF(C30="Con",'Personal File'!$C$13,IF(C30="Int",'Personal File'!$C$14,IF(C30="Wis",'Personal File'!$C$15,IF(C30="Cha",'Personal File'!$C$16))))))</f>
        <v>+7</v>
      </c>
      <c r="E30" s="231" t="str">
        <f t="shared" si="8"/>
        <v>Dex (+7)</v>
      </c>
      <c r="F30" s="130" t="s">
        <v>53</v>
      </c>
      <c r="G30" s="130">
        <f t="shared" si="6"/>
        <v>7</v>
      </c>
      <c r="H30" s="87">
        <f t="shared" ca="1" si="2"/>
        <v>17</v>
      </c>
      <c r="I30" s="130">
        <f t="shared" ca="1" si="10"/>
        <v>24</v>
      </c>
      <c r="J30" s="131"/>
    </row>
    <row r="31" spans="1:10" ht="16.8" x14ac:dyDescent="0.3">
      <c r="A31" s="105" t="s">
        <v>332</v>
      </c>
      <c r="B31" s="73">
        <v>0</v>
      </c>
      <c r="C31" s="106" t="s">
        <v>21</v>
      </c>
      <c r="D31" s="107" t="str">
        <f>IF(C31="Str",'Personal File'!$C$11,IF(C31="Dex",'Personal File'!$C$12,IF(C31="Con",'Personal File'!$C$13,IF(C31="Int",'Personal File'!$C$14,IF(C31="Wis",'Personal File'!$C$15,IF(C31="Cha",'Personal File'!$C$16))))))</f>
        <v>+7</v>
      </c>
      <c r="E31" s="108" t="str">
        <f t="shared" si="8"/>
        <v>Cha (+7)</v>
      </c>
      <c r="F31" s="109" t="s">
        <v>53</v>
      </c>
      <c r="G31" s="109">
        <f t="shared" si="6"/>
        <v>7</v>
      </c>
      <c r="H31" s="87">
        <f t="shared" ca="1" si="2"/>
        <v>19</v>
      </c>
      <c r="I31" s="109">
        <f t="shared" ca="1" si="10"/>
        <v>26</v>
      </c>
      <c r="J31" s="110"/>
    </row>
    <row r="32" spans="1:10" ht="16.8" x14ac:dyDescent="0.3">
      <c r="A32" s="251" t="s">
        <v>331</v>
      </c>
      <c r="B32" s="97">
        <v>6</v>
      </c>
      <c r="C32" s="259" t="s">
        <v>24</v>
      </c>
      <c r="D32" s="260" t="str">
        <f>IF(C32="Str",'Personal File'!$C$11,IF(C32="Dex",'Personal File'!$C$12,IF(C32="Con",'Personal File'!$C$13,IF(C32="Int",'Personal File'!$C$14,IF(C32="Wis",'Personal File'!$C$15,IF(C32="Cha",'Personal File'!$C$16))))))</f>
        <v>+3</v>
      </c>
      <c r="E32" s="261" t="str">
        <f t="shared" ref="E32" si="17">CONCATENATE(C32," (",D32,")")</f>
        <v>Wis (+3)</v>
      </c>
      <c r="F32" s="101" t="s">
        <v>53</v>
      </c>
      <c r="G32" s="262">
        <f t="shared" si="6"/>
        <v>9</v>
      </c>
      <c r="H32" s="87">
        <f t="shared" ca="1" si="2"/>
        <v>19</v>
      </c>
      <c r="I32" s="262">
        <f t="shared" ca="1" si="10"/>
        <v>28</v>
      </c>
      <c r="J32" s="102"/>
    </row>
    <row r="33" spans="1:10" ht="16.8" x14ac:dyDescent="0.3">
      <c r="A33" s="402" t="s">
        <v>11</v>
      </c>
      <c r="B33" s="97">
        <v>1</v>
      </c>
      <c r="C33" s="403" t="s">
        <v>25</v>
      </c>
      <c r="D33" s="404" t="str">
        <f>IF(C33="Str",'Personal File'!$C$11,IF(C33="Dex",'Personal File'!$C$12,IF(C33="Con",'Personal File'!$C$13,IF(C33="Int",'Personal File'!$C$14,IF(C33="Wis",'Personal File'!$C$15,IF(C33="Cha",'Personal File'!$C$16))))))</f>
        <v>+7</v>
      </c>
      <c r="E33" s="405" t="str">
        <f t="shared" si="8"/>
        <v>Dex (+7)</v>
      </c>
      <c r="F33" s="101" t="s">
        <v>53</v>
      </c>
      <c r="G33" s="101">
        <f t="shared" si="6"/>
        <v>8</v>
      </c>
      <c r="H33" s="87">
        <f t="shared" ca="1" si="2"/>
        <v>10</v>
      </c>
      <c r="I33" s="101">
        <f t="shared" ca="1" si="10"/>
        <v>18</v>
      </c>
      <c r="J33" s="144" t="s">
        <v>253</v>
      </c>
    </row>
    <row r="34" spans="1:10" ht="16.8" x14ac:dyDescent="0.3">
      <c r="A34" s="121" t="s">
        <v>12</v>
      </c>
      <c r="B34" s="73">
        <v>0</v>
      </c>
      <c r="C34" s="122" t="s">
        <v>23</v>
      </c>
      <c r="D34" s="123" t="str">
        <f>IF(C34="Str",'Personal File'!$C$11,IF(C34="Dex",'Personal File'!$C$12,IF(C34="Con",'Personal File'!$C$13,IF(C34="Int",'Personal File'!$C$14,IF(C34="Wis",'Personal File'!$C$15,IF(C34="Cha",'Personal File'!$C$16))))))</f>
        <v>+6</v>
      </c>
      <c r="E34" s="124" t="str">
        <f t="shared" si="8"/>
        <v>Int (+6)</v>
      </c>
      <c r="F34" s="109" t="s">
        <v>152</v>
      </c>
      <c r="G34" s="109">
        <f t="shared" si="6"/>
        <v>7</v>
      </c>
      <c r="H34" s="87">
        <f t="shared" ca="1" si="2"/>
        <v>3</v>
      </c>
      <c r="I34" s="109">
        <f t="shared" ca="1" si="10"/>
        <v>10</v>
      </c>
      <c r="J34" s="145" t="s">
        <v>338</v>
      </c>
    </row>
    <row r="35" spans="1:10" ht="16.8" x14ac:dyDescent="0.3">
      <c r="A35" s="285" t="s">
        <v>46</v>
      </c>
      <c r="B35" s="97">
        <v>1</v>
      </c>
      <c r="C35" s="259" t="s">
        <v>24</v>
      </c>
      <c r="D35" s="260" t="str">
        <f>IF(C35="Str",'Personal File'!$C$11,IF(C35="Dex",'Personal File'!$C$12,IF(C35="Con",'Personal File'!$C$13,IF(C35="Int",'Personal File'!$C$14,IF(C35="Wis",'Personal File'!$C$15,IF(C35="Cha",'Personal File'!$C$16))))))</f>
        <v>+3</v>
      </c>
      <c r="E35" s="261" t="str">
        <f t="shared" si="8"/>
        <v>Wis (+3)</v>
      </c>
      <c r="F35" s="101" t="s">
        <v>244</v>
      </c>
      <c r="G35" s="101">
        <f t="shared" si="6"/>
        <v>6</v>
      </c>
      <c r="H35" s="87">
        <f t="shared" ca="1" si="2"/>
        <v>16</v>
      </c>
      <c r="I35" s="101">
        <f t="shared" ca="1" si="10"/>
        <v>22</v>
      </c>
      <c r="J35" s="102"/>
    </row>
    <row r="36" spans="1:10" ht="16.8" x14ac:dyDescent="0.3">
      <c r="A36" s="228" t="s">
        <v>69</v>
      </c>
      <c r="B36" s="126">
        <v>0</v>
      </c>
      <c r="C36" s="229" t="s">
        <v>25</v>
      </c>
      <c r="D36" s="230" t="str">
        <f>IF(C36="Str",'Personal File'!$C$11,IF(C36="Dex",'Personal File'!$C$12,IF(C36="Con",'Personal File'!$C$13,IF(C36="Int",'Personal File'!$C$14,IF(C36="Wis",'Personal File'!$C$15,IF(C36="Cha",'Personal File'!$C$16))))))</f>
        <v>+7</v>
      </c>
      <c r="E36" s="231" t="str">
        <f t="shared" si="8"/>
        <v>Dex (+7)</v>
      </c>
      <c r="F36" s="355">
        <f>SUM(Martial!$D$22:$D$27)</f>
        <v>0</v>
      </c>
      <c r="G36" s="130">
        <f t="shared" si="6"/>
        <v>7</v>
      </c>
      <c r="H36" s="87">
        <f t="shared" ca="1" si="2"/>
        <v>10</v>
      </c>
      <c r="I36" s="130">
        <f t="shared" ca="1" si="10"/>
        <v>17</v>
      </c>
      <c r="J36" s="131"/>
    </row>
    <row r="37" spans="1:10" ht="16.8" x14ac:dyDescent="0.3">
      <c r="A37" s="140" t="s">
        <v>145</v>
      </c>
      <c r="B37" s="126">
        <v>0</v>
      </c>
      <c r="C37" s="141" t="s">
        <v>23</v>
      </c>
      <c r="D37" s="142" t="str">
        <f>IF(C37="Str",'Personal File'!$C$11,IF(C37="Dex",'Personal File'!$C$12,IF(C37="Con",'Personal File'!$C$13,IF(C37="Int",'Personal File'!$C$14,IF(C37="Wis",'Personal File'!$C$15,IF(C37="Cha",'Personal File'!$C$16))))))</f>
        <v>+6</v>
      </c>
      <c r="E37" s="143" t="str">
        <f t="shared" si="8"/>
        <v>Int (+6)</v>
      </c>
      <c r="F37" s="130" t="s">
        <v>53</v>
      </c>
      <c r="G37" s="130">
        <f t="shared" si="6"/>
        <v>6</v>
      </c>
      <c r="H37" s="87">
        <f t="shared" ca="1" si="2"/>
        <v>14</v>
      </c>
      <c r="I37" s="130">
        <f t="shared" ca="1" si="10"/>
        <v>20</v>
      </c>
      <c r="J37" s="243"/>
    </row>
    <row r="38" spans="1:10" ht="16.8" x14ac:dyDescent="0.3">
      <c r="A38" s="96" t="s">
        <v>47</v>
      </c>
      <c r="B38" s="97">
        <v>20</v>
      </c>
      <c r="C38" s="98" t="s">
        <v>23</v>
      </c>
      <c r="D38" s="99" t="str">
        <f>IF(C38="Str",'Personal File'!$C$11,IF(C38="Dex",'Personal File'!$C$12,IF(C38="Con",'Personal File'!$C$13,IF(C38="Int",'Personal File'!$C$14,IF(C38="Wis",'Personal File'!$C$15,IF(C38="Cha",'Personal File'!$C$16))))))</f>
        <v>+6</v>
      </c>
      <c r="E38" s="100" t="str">
        <f t="shared" si="8"/>
        <v>Int (+6)</v>
      </c>
      <c r="F38" s="101" t="s">
        <v>53</v>
      </c>
      <c r="G38" s="101">
        <f t="shared" si="6"/>
        <v>26</v>
      </c>
      <c r="H38" s="87">
        <f t="shared" ca="1" si="2"/>
        <v>7</v>
      </c>
      <c r="I38" s="101">
        <f t="shared" ca="1" si="10"/>
        <v>33</v>
      </c>
      <c r="J38" s="144"/>
    </row>
    <row r="39" spans="1:10" ht="16.8" x14ac:dyDescent="0.3">
      <c r="A39" s="132" t="s">
        <v>48</v>
      </c>
      <c r="B39" s="73">
        <v>2</v>
      </c>
      <c r="C39" s="133" t="s">
        <v>24</v>
      </c>
      <c r="D39" s="134" t="str">
        <f>IF(C39="Str",'Personal File'!$C$11,IF(C39="Dex",'Personal File'!$C$12,IF(C39="Con",'Personal File'!$C$13,IF(C39="Int",'Personal File'!$C$14,IF(C39="Wis",'Personal File'!$C$15,IF(C39="Cha",'Personal File'!$C$16))))))</f>
        <v>+3</v>
      </c>
      <c r="E39" s="135" t="str">
        <f t="shared" si="8"/>
        <v>Wis (+3)</v>
      </c>
      <c r="F39" s="109" t="s">
        <v>152</v>
      </c>
      <c r="G39" s="109">
        <f t="shared" si="6"/>
        <v>6</v>
      </c>
      <c r="H39" s="87">
        <f t="shared" ca="1" si="2"/>
        <v>3</v>
      </c>
      <c r="I39" s="109">
        <f t="shared" ca="1" si="10"/>
        <v>9</v>
      </c>
      <c r="J39" s="110"/>
    </row>
    <row r="40" spans="1:10" ht="16.8" x14ac:dyDescent="0.3">
      <c r="A40" s="132" t="s">
        <v>70</v>
      </c>
      <c r="B40" s="73">
        <v>2</v>
      </c>
      <c r="C40" s="133" t="s">
        <v>24</v>
      </c>
      <c r="D40" s="134" t="str">
        <f>IF(C40="Str",'Personal File'!$C$11,IF(C40="Dex",'Personal File'!$C$12,IF(C40="Con",'Personal File'!$C$13,IF(C40="Int",'Personal File'!$C$14,IF(C40="Wis",'Personal File'!$C$15,IF(C40="Cha",'Personal File'!$C$16))))))</f>
        <v>+3</v>
      </c>
      <c r="E40" s="135" t="str">
        <f t="shared" si="8"/>
        <v>Wis (+3)</v>
      </c>
      <c r="F40" s="109" t="s">
        <v>53</v>
      </c>
      <c r="G40" s="109">
        <f t="shared" si="6"/>
        <v>5</v>
      </c>
      <c r="H40" s="87">
        <f t="shared" ca="1" si="2"/>
        <v>1</v>
      </c>
      <c r="I40" s="109">
        <f t="shared" ca="1" si="10"/>
        <v>6</v>
      </c>
      <c r="J40" s="145" t="s">
        <v>335</v>
      </c>
    </row>
    <row r="41" spans="1:10" ht="16.8" x14ac:dyDescent="0.3">
      <c r="A41" s="136" t="s">
        <v>13</v>
      </c>
      <c r="B41" s="73">
        <v>0</v>
      </c>
      <c r="C41" s="137" t="s">
        <v>26</v>
      </c>
      <c r="D41" s="138" t="str">
        <f>IF(C41="Str",'Personal File'!$C$11,IF(C41="Dex",'Personal File'!$C$12,IF(C41="Con",'Personal File'!$C$13,IF(C41="Int",'Personal File'!$C$14,IF(C41="Wis",'Personal File'!$C$15,IF(C41="Cha",'Personal File'!$C$16))))))</f>
        <v>+3</v>
      </c>
      <c r="E41" s="139" t="str">
        <f t="shared" si="8"/>
        <v>Str (+3)</v>
      </c>
      <c r="F41" s="109">
        <v>-1</v>
      </c>
      <c r="G41" s="109">
        <f t="shared" si="6"/>
        <v>2</v>
      </c>
      <c r="H41" s="87">
        <f t="shared" ca="1" si="2"/>
        <v>18</v>
      </c>
      <c r="I41" s="109">
        <f t="shared" ca="1" si="10"/>
        <v>20</v>
      </c>
      <c r="J41" s="110"/>
    </row>
    <row r="42" spans="1:10" ht="16.8" x14ac:dyDescent="0.3">
      <c r="A42" s="228" t="s">
        <v>49</v>
      </c>
      <c r="B42" s="126">
        <v>0</v>
      </c>
      <c r="C42" s="229" t="s">
        <v>25</v>
      </c>
      <c r="D42" s="230" t="str">
        <f>IF(C42="Str",'Personal File'!$C$11,IF(C42="Dex",'Personal File'!$C$12,IF(C42="Con",'Personal File'!$C$13,IF(C42="Int",'Personal File'!$C$14,IF(C42="Wis",'Personal File'!$C$15,IF(C42="Cha",'Personal File'!$C$16))))))</f>
        <v>+7</v>
      </c>
      <c r="E42" s="231" t="str">
        <f t="shared" si="8"/>
        <v>Dex (+7)</v>
      </c>
      <c r="F42" s="355">
        <f>SUM(Martial!$D$22:$D$27)</f>
        <v>0</v>
      </c>
      <c r="G42" s="130">
        <f t="shared" si="6"/>
        <v>7</v>
      </c>
      <c r="H42" s="87">
        <f t="shared" ca="1" si="2"/>
        <v>17</v>
      </c>
      <c r="I42" s="130">
        <f t="shared" ca="1" si="10"/>
        <v>24</v>
      </c>
      <c r="J42" s="131"/>
    </row>
    <row r="43" spans="1:10" ht="16.8" x14ac:dyDescent="0.3">
      <c r="A43" s="251" t="s">
        <v>50</v>
      </c>
      <c r="B43" s="97">
        <v>5</v>
      </c>
      <c r="C43" s="252" t="s">
        <v>21</v>
      </c>
      <c r="D43" s="253" t="str">
        <f>IF(C43="Str",'Personal File'!$C$11,IF(C43="Dex",'Personal File'!$C$12,IF(C43="Con",'Personal File'!$C$13,IF(C43="Int",'Personal File'!$C$14,IF(C43="Wis",'Personal File'!$C$15,IF(C43="Cha",'Personal File'!$C$16))))))</f>
        <v>+7</v>
      </c>
      <c r="E43" s="254" t="str">
        <f t="shared" si="8"/>
        <v>Cha (+7)</v>
      </c>
      <c r="F43" s="101" t="s">
        <v>53</v>
      </c>
      <c r="G43" s="101">
        <f t="shared" si="6"/>
        <v>12</v>
      </c>
      <c r="H43" s="87">
        <f t="shared" ca="1" si="2"/>
        <v>4</v>
      </c>
      <c r="I43" s="101">
        <f t="shared" ca="1" si="10"/>
        <v>16</v>
      </c>
      <c r="J43" s="102" t="s">
        <v>133</v>
      </c>
    </row>
    <row r="44" spans="1:10" ht="17.399999999999999" thickBot="1" x14ac:dyDescent="0.35">
      <c r="A44" s="146" t="s">
        <v>51</v>
      </c>
      <c r="B44" s="147">
        <v>0</v>
      </c>
      <c r="C44" s="148" t="s">
        <v>25</v>
      </c>
      <c r="D44" s="149" t="str">
        <f>IF(C44="Str",'Personal File'!$C$11,IF(C44="Dex",'Personal File'!$C$12,IF(C44="Con",'Personal File'!$C$13,IF(C44="Int",'Personal File'!$C$14,IF(C44="Wis",'Personal File'!$C$15,IF(C44="Cha",'Personal File'!$C$16))))))</f>
        <v>+7</v>
      </c>
      <c r="E44" s="150" t="str">
        <f t="shared" si="8"/>
        <v>Dex (+7)</v>
      </c>
      <c r="F44" s="151" t="s">
        <v>53</v>
      </c>
      <c r="G44" s="151">
        <f t="shared" si="6"/>
        <v>7</v>
      </c>
      <c r="H44" s="152">
        <f t="shared" ref="H44" ca="1" si="18">RANDBETWEEN(1,20)</f>
        <v>16</v>
      </c>
      <c r="I44" s="151">
        <f t="shared" ca="1" si="10"/>
        <v>23</v>
      </c>
      <c r="J44" s="153"/>
    </row>
    <row r="45" spans="1:10" ht="16.2" thickTop="1" x14ac:dyDescent="0.3">
      <c r="B45" s="155">
        <f>SUM(B6:B44)+B43</f>
        <v>138</v>
      </c>
      <c r="E45" s="348">
        <f>SUM(E46:E65)</f>
        <v>184</v>
      </c>
    </row>
    <row r="46" spans="1:10" x14ac:dyDescent="0.3">
      <c r="B46" s="155"/>
      <c r="E46" s="214">
        <f>4*(2+'Personal File'!$C$14)</f>
        <v>32</v>
      </c>
      <c r="F46" s="157" t="s">
        <v>127</v>
      </c>
    </row>
    <row r="47" spans="1:10" x14ac:dyDescent="0.3">
      <c r="E47" s="214">
        <f>(2+'Personal File'!$C$14)</f>
        <v>8</v>
      </c>
      <c r="F47" s="157" t="s">
        <v>139</v>
      </c>
    </row>
    <row r="48" spans="1:10" x14ac:dyDescent="0.3">
      <c r="E48" s="214">
        <f>(2+'Personal File'!$C$14)</f>
        <v>8</v>
      </c>
      <c r="F48" s="157" t="s">
        <v>140</v>
      </c>
    </row>
    <row r="49" spans="5:6" x14ac:dyDescent="0.3">
      <c r="E49" s="214">
        <f>(2+'Personal File'!$C$14)</f>
        <v>8</v>
      </c>
      <c r="F49" s="157" t="s">
        <v>141</v>
      </c>
    </row>
    <row r="50" spans="5:6" x14ac:dyDescent="0.3">
      <c r="E50" s="214">
        <f>(2+'Personal File'!$C$14)</f>
        <v>8</v>
      </c>
      <c r="F50" s="157" t="s">
        <v>142</v>
      </c>
    </row>
    <row r="51" spans="5:6" x14ac:dyDescent="0.3">
      <c r="E51" s="214">
        <f>(2+'Personal File'!$C$14)</f>
        <v>8</v>
      </c>
      <c r="F51" s="157" t="s">
        <v>143</v>
      </c>
    </row>
    <row r="52" spans="5:6" x14ac:dyDescent="0.3">
      <c r="E52" s="214">
        <f>(2+'Personal File'!$C$14)</f>
        <v>8</v>
      </c>
      <c r="F52" s="157" t="s">
        <v>144</v>
      </c>
    </row>
    <row r="53" spans="5:6" x14ac:dyDescent="0.3">
      <c r="E53" s="214">
        <f>(2+'Personal File'!$C$14)</f>
        <v>8</v>
      </c>
      <c r="F53" s="157" t="s">
        <v>220</v>
      </c>
    </row>
    <row r="54" spans="5:6" x14ac:dyDescent="0.3">
      <c r="E54" s="214">
        <f>(2+'Personal File'!$C$14)</f>
        <v>8</v>
      </c>
      <c r="F54" s="157" t="s">
        <v>243</v>
      </c>
    </row>
    <row r="55" spans="5:6" x14ac:dyDescent="0.3">
      <c r="E55" s="214">
        <f>(2+'Personal File'!$C$14)</f>
        <v>8</v>
      </c>
      <c r="F55" s="157" t="s">
        <v>245</v>
      </c>
    </row>
    <row r="56" spans="5:6" x14ac:dyDescent="0.3">
      <c r="E56" s="214">
        <f>(2+'Personal File'!$C$14)</f>
        <v>8</v>
      </c>
      <c r="F56" s="157" t="s">
        <v>265</v>
      </c>
    </row>
    <row r="57" spans="5:6" x14ac:dyDescent="0.3">
      <c r="E57" s="214">
        <f>(2+'Personal File'!$C$14)</f>
        <v>8</v>
      </c>
      <c r="F57" s="157" t="s">
        <v>266</v>
      </c>
    </row>
    <row r="58" spans="5:6" x14ac:dyDescent="0.3">
      <c r="E58" s="214">
        <f>(2+'Personal File'!$C$14)</f>
        <v>8</v>
      </c>
      <c r="F58" s="157" t="s">
        <v>287</v>
      </c>
    </row>
    <row r="59" spans="5:6" x14ac:dyDescent="0.3">
      <c r="E59" s="214">
        <f>(2+'Personal File'!$C$14)</f>
        <v>8</v>
      </c>
      <c r="F59" s="157" t="s">
        <v>288</v>
      </c>
    </row>
    <row r="60" spans="5:6" x14ac:dyDescent="0.3">
      <c r="E60" s="214">
        <f>(2+'Personal File'!$C$14)</f>
        <v>8</v>
      </c>
      <c r="F60" s="157" t="s">
        <v>328</v>
      </c>
    </row>
    <row r="61" spans="5:6" x14ac:dyDescent="0.3">
      <c r="E61" s="214">
        <f>(2+'Personal File'!$C$14)</f>
        <v>8</v>
      </c>
      <c r="F61" s="157" t="s">
        <v>329</v>
      </c>
    </row>
    <row r="62" spans="5:6" x14ac:dyDescent="0.3">
      <c r="E62" s="214">
        <f>(2+'Personal File'!$C$14)</f>
        <v>8</v>
      </c>
      <c r="F62" s="157" t="s">
        <v>330</v>
      </c>
    </row>
    <row r="63" spans="5:6" x14ac:dyDescent="0.3">
      <c r="E63" s="214">
        <f>(2+'Personal File'!$C$14)</f>
        <v>8</v>
      </c>
      <c r="F63" s="157" t="s">
        <v>382</v>
      </c>
    </row>
    <row r="64" spans="5:6" x14ac:dyDescent="0.3">
      <c r="E64" s="214">
        <f>(2+'Personal File'!$C$14)</f>
        <v>8</v>
      </c>
      <c r="F64" s="157" t="s">
        <v>404</v>
      </c>
    </row>
    <row r="65" spans="5:6" x14ac:dyDescent="0.3">
      <c r="E65" s="214">
        <f>(2+'Personal File'!$C$14)</f>
        <v>8</v>
      </c>
      <c r="F65" s="157" t="s">
        <v>426</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3"/>
  <sheetViews>
    <sheetView showGridLines="0" workbookViewId="0">
      <pane ySplit="2" topLeftCell="A3" activePane="bottomLeft" state="frozen"/>
      <selection pane="bottomLeft" activeCell="A3" sqref="A3"/>
    </sheetView>
  </sheetViews>
  <sheetFormatPr defaultColWidth="12.8984375" defaultRowHeight="15.6" x14ac:dyDescent="0.3"/>
  <cols>
    <col min="1" max="1" width="23.5" style="83" bestFit="1" customWidth="1"/>
    <col min="2" max="2" width="6.19921875" style="83" bestFit="1" customWidth="1"/>
    <col min="3" max="3" width="13.59765625" style="84" bestFit="1" customWidth="1"/>
    <col min="4" max="4" width="11.296875" style="84" bestFit="1" customWidth="1"/>
    <col min="5" max="5" width="10.5" style="84" bestFit="1" customWidth="1"/>
    <col min="6" max="6" width="13.19921875" style="84" bestFit="1" customWidth="1"/>
    <col min="7" max="7" width="15.3984375" style="84" bestFit="1" customWidth="1"/>
    <col min="8" max="8" width="17.8984375" style="83" bestFit="1" customWidth="1"/>
    <col min="9" max="9" width="5.5" style="75" bestFit="1" customWidth="1"/>
    <col min="10" max="16384" width="12.8984375" style="76"/>
  </cols>
  <sheetData>
    <row r="1" spans="1:9" ht="23.4" thickBot="1" x14ac:dyDescent="0.35">
      <c r="A1" s="301" t="s">
        <v>129</v>
      </c>
      <c r="B1" s="74"/>
      <c r="C1" s="74"/>
      <c r="D1" s="74"/>
      <c r="E1" s="74"/>
      <c r="F1" s="74"/>
      <c r="G1" s="74"/>
      <c r="H1" s="74"/>
    </row>
    <row r="2" spans="1:9" s="77" customFormat="1" ht="17.399999999999999" thickBot="1" x14ac:dyDescent="0.35">
      <c r="A2" s="296" t="s">
        <v>75</v>
      </c>
      <c r="B2" s="297" t="s">
        <v>77</v>
      </c>
      <c r="C2" s="297" t="s">
        <v>99</v>
      </c>
      <c r="D2" s="298" t="s">
        <v>100</v>
      </c>
      <c r="E2" s="297" t="s">
        <v>101</v>
      </c>
      <c r="F2" s="297" t="s">
        <v>102</v>
      </c>
      <c r="G2" s="297" t="s">
        <v>103</v>
      </c>
      <c r="H2" s="299" t="s">
        <v>119</v>
      </c>
      <c r="I2" s="300" t="s">
        <v>120</v>
      </c>
    </row>
    <row r="3" spans="1:9" ht="16.8" x14ac:dyDescent="0.3">
      <c r="A3" s="78" t="s">
        <v>97</v>
      </c>
      <c r="B3" s="73">
        <v>0</v>
      </c>
      <c r="C3" s="11" t="s">
        <v>104</v>
      </c>
      <c r="D3" s="8" t="s">
        <v>105</v>
      </c>
      <c r="E3" s="216" t="s">
        <v>106</v>
      </c>
      <c r="F3" s="9" t="s">
        <v>107</v>
      </c>
      <c r="G3" s="9" t="s">
        <v>108</v>
      </c>
      <c r="H3" s="9" t="s">
        <v>118</v>
      </c>
      <c r="I3" s="12">
        <v>196</v>
      </c>
    </row>
    <row r="4" spans="1:9" ht="16.8" x14ac:dyDescent="0.3">
      <c r="A4" s="78" t="s">
        <v>148</v>
      </c>
      <c r="B4" s="73">
        <v>0</v>
      </c>
      <c r="C4" s="11" t="s">
        <v>189</v>
      </c>
      <c r="D4" s="8" t="s">
        <v>105</v>
      </c>
      <c r="E4" s="216" t="s">
        <v>106</v>
      </c>
      <c r="F4" s="9" t="s">
        <v>107</v>
      </c>
      <c r="G4" s="9" t="s">
        <v>108</v>
      </c>
      <c r="H4" s="9" t="s">
        <v>118</v>
      </c>
      <c r="I4" s="12">
        <v>223</v>
      </c>
    </row>
    <row r="5" spans="1:9" ht="16.8" x14ac:dyDescent="0.3">
      <c r="A5" s="78" t="s">
        <v>98</v>
      </c>
      <c r="B5" s="73">
        <v>0</v>
      </c>
      <c r="C5" s="13" t="s">
        <v>109</v>
      </c>
      <c r="D5" s="8" t="s">
        <v>114</v>
      </c>
      <c r="E5" s="216" t="s">
        <v>106</v>
      </c>
      <c r="F5" s="9" t="s">
        <v>110</v>
      </c>
      <c r="G5" s="9" t="s">
        <v>112</v>
      </c>
      <c r="H5" s="9" t="s">
        <v>118</v>
      </c>
      <c r="I5" s="12">
        <v>248</v>
      </c>
    </row>
    <row r="6" spans="1:9" ht="16.8" x14ac:dyDescent="0.3">
      <c r="A6" s="80" t="s">
        <v>113</v>
      </c>
      <c r="B6" s="91">
        <v>0</v>
      </c>
      <c r="C6" s="217" t="s">
        <v>104</v>
      </c>
      <c r="D6" s="10" t="s">
        <v>105</v>
      </c>
      <c r="E6" s="218" t="s">
        <v>106</v>
      </c>
      <c r="F6" s="81" t="s">
        <v>107</v>
      </c>
      <c r="G6" s="81" t="s">
        <v>108</v>
      </c>
      <c r="H6" s="81" t="s">
        <v>118</v>
      </c>
      <c r="I6" s="82">
        <v>269</v>
      </c>
    </row>
    <row r="7" spans="1:9" ht="16.8" x14ac:dyDescent="0.3">
      <c r="A7" s="78" t="s">
        <v>155</v>
      </c>
      <c r="B7" s="73">
        <v>1</v>
      </c>
      <c r="C7" s="11" t="s">
        <v>185</v>
      </c>
      <c r="D7" s="8" t="s">
        <v>186</v>
      </c>
      <c r="E7" s="216" t="s">
        <v>106</v>
      </c>
      <c r="F7" s="215" t="s">
        <v>110</v>
      </c>
      <c r="G7" s="9" t="s">
        <v>112</v>
      </c>
      <c r="H7" s="9" t="s">
        <v>187</v>
      </c>
      <c r="I7" s="12">
        <v>96</v>
      </c>
    </row>
    <row r="8" spans="1:9" ht="16.8" x14ac:dyDescent="0.3">
      <c r="A8" s="78" t="s">
        <v>156</v>
      </c>
      <c r="B8" s="73">
        <v>1</v>
      </c>
      <c r="C8" s="11" t="s">
        <v>109</v>
      </c>
      <c r="D8" s="8" t="s">
        <v>105</v>
      </c>
      <c r="E8" s="216" t="s">
        <v>106</v>
      </c>
      <c r="F8" s="215" t="s">
        <v>188</v>
      </c>
      <c r="G8" s="215" t="s">
        <v>108</v>
      </c>
      <c r="H8" s="9" t="s">
        <v>118</v>
      </c>
      <c r="I8" s="12">
        <v>207</v>
      </c>
    </row>
    <row r="9" spans="1:9" ht="16.8" x14ac:dyDescent="0.3">
      <c r="A9" s="78" t="s">
        <v>157</v>
      </c>
      <c r="B9" s="73">
        <v>1</v>
      </c>
      <c r="C9" s="13" t="s">
        <v>189</v>
      </c>
      <c r="D9" s="8" t="s">
        <v>105</v>
      </c>
      <c r="E9" s="216" t="s">
        <v>106</v>
      </c>
      <c r="F9" s="9" t="s">
        <v>110</v>
      </c>
      <c r="G9" s="9" t="s">
        <v>108</v>
      </c>
      <c r="H9" s="9" t="s">
        <v>118</v>
      </c>
      <c r="I9" s="197">
        <v>209</v>
      </c>
    </row>
    <row r="10" spans="1:9" ht="16.8" x14ac:dyDescent="0.3">
      <c r="A10" s="78" t="s">
        <v>158</v>
      </c>
      <c r="B10" s="73">
        <v>1</v>
      </c>
      <c r="C10" s="13" t="s">
        <v>185</v>
      </c>
      <c r="D10" s="8" t="s">
        <v>186</v>
      </c>
      <c r="E10" s="216" t="s">
        <v>106</v>
      </c>
      <c r="F10" s="79" t="s">
        <v>190</v>
      </c>
      <c r="G10" s="9" t="s">
        <v>191</v>
      </c>
      <c r="H10" s="9" t="s">
        <v>187</v>
      </c>
      <c r="I10" s="110">
        <v>107</v>
      </c>
    </row>
    <row r="11" spans="1:9" ht="16.8" x14ac:dyDescent="0.3">
      <c r="A11" s="78" t="s">
        <v>159</v>
      </c>
      <c r="B11" s="73">
        <v>1</v>
      </c>
      <c r="C11" s="11" t="s">
        <v>104</v>
      </c>
      <c r="D11" s="8" t="s">
        <v>186</v>
      </c>
      <c r="E11" s="216" t="s">
        <v>192</v>
      </c>
      <c r="F11" s="9" t="s">
        <v>111</v>
      </c>
      <c r="G11" s="215" t="s">
        <v>108</v>
      </c>
      <c r="H11" s="215" t="s">
        <v>187</v>
      </c>
      <c r="I11" s="12">
        <v>110</v>
      </c>
    </row>
    <row r="12" spans="1:9" ht="16.8" x14ac:dyDescent="0.3">
      <c r="A12" s="286" t="s">
        <v>363</v>
      </c>
      <c r="B12" s="73">
        <v>1</v>
      </c>
      <c r="C12" s="13" t="s">
        <v>104</v>
      </c>
      <c r="D12" s="8" t="s">
        <v>208</v>
      </c>
      <c r="E12" s="216" t="s">
        <v>106</v>
      </c>
      <c r="F12" s="9" t="s">
        <v>110</v>
      </c>
      <c r="G12" s="9" t="s">
        <v>360</v>
      </c>
      <c r="H12" s="9" t="s">
        <v>118</v>
      </c>
      <c r="I12" s="12">
        <v>249</v>
      </c>
    </row>
    <row r="13" spans="1:9" ht="16.8" x14ac:dyDescent="0.3">
      <c r="A13" s="78" t="s">
        <v>134</v>
      </c>
      <c r="B13" s="73">
        <v>1</v>
      </c>
      <c r="C13" s="13" t="s">
        <v>109</v>
      </c>
      <c r="D13" s="8" t="s">
        <v>105</v>
      </c>
      <c r="E13" s="216" t="s">
        <v>106</v>
      </c>
      <c r="F13" s="9" t="s">
        <v>111</v>
      </c>
      <c r="G13" s="9" t="s">
        <v>108</v>
      </c>
      <c r="H13" s="9" t="s">
        <v>118</v>
      </c>
      <c r="I13" s="197">
        <v>251</v>
      </c>
    </row>
    <row r="14" spans="1:9" ht="16.8" x14ac:dyDescent="0.3">
      <c r="A14" s="78" t="s">
        <v>160</v>
      </c>
      <c r="B14" s="73">
        <v>1</v>
      </c>
      <c r="C14" s="13" t="s">
        <v>104</v>
      </c>
      <c r="D14" s="8" t="s">
        <v>105</v>
      </c>
      <c r="E14" s="9" t="s">
        <v>106</v>
      </c>
      <c r="F14" s="9" t="s">
        <v>107</v>
      </c>
      <c r="G14" s="215" t="s">
        <v>108</v>
      </c>
      <c r="H14" s="215" t="s">
        <v>187</v>
      </c>
      <c r="I14" s="12">
        <v>115</v>
      </c>
    </row>
    <row r="15" spans="1:9" ht="16.8" x14ac:dyDescent="0.3">
      <c r="A15" s="78" t="s">
        <v>161</v>
      </c>
      <c r="B15" s="73">
        <v>1</v>
      </c>
      <c r="C15" s="13" t="s">
        <v>104</v>
      </c>
      <c r="D15" s="8" t="s">
        <v>105</v>
      </c>
      <c r="E15" s="9" t="s">
        <v>106</v>
      </c>
      <c r="F15" s="9" t="s">
        <v>107</v>
      </c>
      <c r="G15" s="215" t="s">
        <v>108</v>
      </c>
      <c r="H15" s="215" t="s">
        <v>187</v>
      </c>
      <c r="I15" s="12">
        <v>115</v>
      </c>
    </row>
    <row r="16" spans="1:9" ht="16.8" x14ac:dyDescent="0.3">
      <c r="A16" s="78" t="s">
        <v>162</v>
      </c>
      <c r="B16" s="73">
        <v>1</v>
      </c>
      <c r="C16" s="13" t="s">
        <v>104</v>
      </c>
      <c r="D16" s="8" t="s">
        <v>105</v>
      </c>
      <c r="E16" s="9" t="s">
        <v>106</v>
      </c>
      <c r="F16" s="9" t="s">
        <v>107</v>
      </c>
      <c r="G16" s="215" t="s">
        <v>108</v>
      </c>
      <c r="H16" s="215" t="s">
        <v>187</v>
      </c>
      <c r="I16" s="12">
        <v>116</v>
      </c>
    </row>
    <row r="17" spans="1:9" ht="16.8" x14ac:dyDescent="0.3">
      <c r="A17" s="78" t="s">
        <v>163</v>
      </c>
      <c r="B17" s="73">
        <v>1</v>
      </c>
      <c r="C17" s="13" t="s">
        <v>104</v>
      </c>
      <c r="D17" s="8" t="s">
        <v>105</v>
      </c>
      <c r="E17" s="9" t="s">
        <v>106</v>
      </c>
      <c r="F17" s="9" t="s">
        <v>107</v>
      </c>
      <c r="G17" s="215" t="s">
        <v>108</v>
      </c>
      <c r="H17" s="215" t="s">
        <v>187</v>
      </c>
      <c r="I17" s="12">
        <v>116</v>
      </c>
    </row>
    <row r="18" spans="1:9" ht="16.8" x14ac:dyDescent="0.3">
      <c r="A18" s="78" t="s">
        <v>164</v>
      </c>
      <c r="B18" s="73">
        <v>1</v>
      </c>
      <c r="C18" s="13" t="s">
        <v>104</v>
      </c>
      <c r="D18" s="8" t="s">
        <v>105</v>
      </c>
      <c r="E18" s="9" t="s">
        <v>106</v>
      </c>
      <c r="F18" s="9" t="s">
        <v>107</v>
      </c>
      <c r="G18" s="215" t="s">
        <v>108</v>
      </c>
      <c r="H18" s="215" t="s">
        <v>187</v>
      </c>
      <c r="I18" s="12">
        <v>116</v>
      </c>
    </row>
    <row r="19" spans="1:9" ht="16.8" x14ac:dyDescent="0.3">
      <c r="A19" s="78" t="s">
        <v>165</v>
      </c>
      <c r="B19" s="73">
        <v>1</v>
      </c>
      <c r="C19" s="11" t="s">
        <v>109</v>
      </c>
      <c r="D19" s="8" t="s">
        <v>105</v>
      </c>
      <c r="E19" s="216" t="s">
        <v>106</v>
      </c>
      <c r="F19" s="215" t="s">
        <v>110</v>
      </c>
      <c r="G19" s="215" t="s">
        <v>108</v>
      </c>
      <c r="H19" s="9" t="s">
        <v>118</v>
      </c>
      <c r="I19" s="12">
        <v>279</v>
      </c>
    </row>
    <row r="20" spans="1:9" ht="16.8" x14ac:dyDescent="0.3">
      <c r="A20" s="80" t="s">
        <v>166</v>
      </c>
      <c r="B20" s="91">
        <v>1</v>
      </c>
      <c r="C20" s="217" t="s">
        <v>193</v>
      </c>
      <c r="D20" s="10" t="s">
        <v>194</v>
      </c>
      <c r="E20" s="218" t="s">
        <v>106</v>
      </c>
      <c r="F20" s="81" t="s">
        <v>190</v>
      </c>
      <c r="G20" s="81" t="s">
        <v>195</v>
      </c>
      <c r="H20" s="81" t="s">
        <v>118</v>
      </c>
      <c r="I20" s="82">
        <v>296</v>
      </c>
    </row>
    <row r="21" spans="1:9" ht="16.8" x14ac:dyDescent="0.3">
      <c r="A21" s="78" t="s">
        <v>167</v>
      </c>
      <c r="B21" s="73">
        <v>2</v>
      </c>
      <c r="C21" s="11" t="s">
        <v>104</v>
      </c>
      <c r="D21" s="8" t="s">
        <v>196</v>
      </c>
      <c r="E21" s="216" t="s">
        <v>197</v>
      </c>
      <c r="F21" s="215" t="s">
        <v>110</v>
      </c>
      <c r="G21" s="215" t="s">
        <v>198</v>
      </c>
      <c r="H21" s="215" t="s">
        <v>187</v>
      </c>
      <c r="I21" s="12">
        <v>99</v>
      </c>
    </row>
    <row r="22" spans="1:9" ht="16.8" x14ac:dyDescent="0.3">
      <c r="A22" s="78" t="s">
        <v>168</v>
      </c>
      <c r="B22" s="73">
        <v>2</v>
      </c>
      <c r="C22" s="13" t="s">
        <v>199</v>
      </c>
      <c r="D22" s="8" t="s">
        <v>186</v>
      </c>
      <c r="E22" s="216" t="s">
        <v>106</v>
      </c>
      <c r="F22" s="9" t="s">
        <v>110</v>
      </c>
      <c r="G22" s="9" t="s">
        <v>200</v>
      </c>
      <c r="H22" s="9" t="s">
        <v>118</v>
      </c>
      <c r="I22" s="12">
        <v>213</v>
      </c>
    </row>
    <row r="23" spans="1:9" ht="16.8" x14ac:dyDescent="0.3">
      <c r="A23" s="78" t="s">
        <v>169</v>
      </c>
      <c r="B23" s="73">
        <v>2</v>
      </c>
      <c r="C23" s="13" t="s">
        <v>201</v>
      </c>
      <c r="D23" s="7" t="s">
        <v>186</v>
      </c>
      <c r="E23" s="9" t="s">
        <v>202</v>
      </c>
      <c r="F23" s="9" t="s">
        <v>110</v>
      </c>
      <c r="G23" s="9" t="s">
        <v>200</v>
      </c>
      <c r="H23" s="9" t="s">
        <v>118</v>
      </c>
      <c r="I23" s="110">
        <v>231</v>
      </c>
    </row>
    <row r="24" spans="1:9" ht="16.8" x14ac:dyDescent="0.3">
      <c r="A24" s="78" t="s">
        <v>170</v>
      </c>
      <c r="B24" s="73">
        <v>2</v>
      </c>
      <c r="C24" s="13" t="s">
        <v>109</v>
      </c>
      <c r="D24" s="8" t="s">
        <v>186</v>
      </c>
      <c r="E24" s="216" t="s">
        <v>106</v>
      </c>
      <c r="F24" s="79" t="s">
        <v>203</v>
      </c>
      <c r="G24" s="9" t="s">
        <v>108</v>
      </c>
      <c r="H24" s="9" t="s">
        <v>187</v>
      </c>
      <c r="I24" s="110">
        <v>107</v>
      </c>
    </row>
    <row r="25" spans="1:9" ht="16.8" x14ac:dyDescent="0.3">
      <c r="A25" s="78" t="s">
        <v>255</v>
      </c>
      <c r="B25" s="73">
        <v>2</v>
      </c>
      <c r="C25" s="13" t="s">
        <v>109</v>
      </c>
      <c r="D25" s="8" t="s">
        <v>207</v>
      </c>
      <c r="E25" s="216" t="s">
        <v>106</v>
      </c>
      <c r="F25" s="9" t="s">
        <v>111</v>
      </c>
      <c r="G25" s="9" t="s">
        <v>210</v>
      </c>
      <c r="H25" s="9" t="s">
        <v>118</v>
      </c>
      <c r="I25" s="12">
        <v>232</v>
      </c>
    </row>
    <row r="26" spans="1:9" ht="16.8" x14ac:dyDescent="0.3">
      <c r="A26" s="286" t="s">
        <v>361</v>
      </c>
      <c r="B26" s="73">
        <v>2</v>
      </c>
      <c r="C26" s="13" t="s">
        <v>185</v>
      </c>
      <c r="D26" s="8" t="s">
        <v>196</v>
      </c>
      <c r="E26" s="216" t="s">
        <v>197</v>
      </c>
      <c r="F26" s="9" t="s">
        <v>190</v>
      </c>
      <c r="G26" s="9" t="s">
        <v>198</v>
      </c>
      <c r="H26" s="9" t="s">
        <v>359</v>
      </c>
      <c r="I26" s="12">
        <v>149</v>
      </c>
    </row>
    <row r="27" spans="1:9" ht="16.8" x14ac:dyDescent="0.3">
      <c r="A27" s="78" t="s">
        <v>171</v>
      </c>
      <c r="B27" s="73">
        <v>2</v>
      </c>
      <c r="C27" s="13" t="s">
        <v>104</v>
      </c>
      <c r="D27" s="8" t="s">
        <v>186</v>
      </c>
      <c r="E27" s="216" t="s">
        <v>106</v>
      </c>
      <c r="F27" s="9" t="s">
        <v>204</v>
      </c>
      <c r="G27" s="9" t="s">
        <v>108</v>
      </c>
      <c r="H27" s="9" t="s">
        <v>205</v>
      </c>
      <c r="I27" s="12">
        <v>112</v>
      </c>
    </row>
    <row r="28" spans="1:9" ht="16.8" x14ac:dyDescent="0.3">
      <c r="A28" s="78" t="s">
        <v>172</v>
      </c>
      <c r="B28" s="73">
        <v>2</v>
      </c>
      <c r="C28" s="13" t="s">
        <v>104</v>
      </c>
      <c r="D28" s="8" t="s">
        <v>206</v>
      </c>
      <c r="E28" s="216" t="s">
        <v>106</v>
      </c>
      <c r="F28" s="9" t="s">
        <v>204</v>
      </c>
      <c r="G28" s="9" t="s">
        <v>195</v>
      </c>
      <c r="H28" s="9" t="s">
        <v>118</v>
      </c>
      <c r="I28" s="12">
        <v>253</v>
      </c>
    </row>
    <row r="29" spans="1:9" ht="16.8" x14ac:dyDescent="0.3">
      <c r="A29" s="78" t="s">
        <v>173</v>
      </c>
      <c r="B29" s="73">
        <v>2</v>
      </c>
      <c r="C29" s="13" t="s">
        <v>185</v>
      </c>
      <c r="D29" s="8" t="s">
        <v>186</v>
      </c>
      <c r="E29" s="216" t="s">
        <v>106</v>
      </c>
      <c r="F29" s="9" t="s">
        <v>204</v>
      </c>
      <c r="G29" s="9" t="s">
        <v>214</v>
      </c>
      <c r="H29" s="9" t="s">
        <v>118</v>
      </c>
      <c r="I29" s="12">
        <v>267</v>
      </c>
    </row>
    <row r="30" spans="1:9" ht="16.8" x14ac:dyDescent="0.3">
      <c r="A30" s="78" t="s">
        <v>135</v>
      </c>
      <c r="B30" s="73">
        <v>2</v>
      </c>
      <c r="C30" s="13" t="s">
        <v>109</v>
      </c>
      <c r="D30" s="8" t="s">
        <v>105</v>
      </c>
      <c r="E30" s="216" t="s">
        <v>106</v>
      </c>
      <c r="F30" s="9" t="s">
        <v>107</v>
      </c>
      <c r="G30" s="9" t="s">
        <v>108</v>
      </c>
      <c r="H30" s="9" t="s">
        <v>118</v>
      </c>
      <c r="I30" s="12">
        <v>274</v>
      </c>
    </row>
    <row r="31" spans="1:9" ht="16.8" x14ac:dyDescent="0.3">
      <c r="A31" s="78" t="s">
        <v>174</v>
      </c>
      <c r="B31" s="73">
        <v>2</v>
      </c>
      <c r="C31" s="13" t="s">
        <v>109</v>
      </c>
      <c r="D31" s="8" t="s">
        <v>207</v>
      </c>
      <c r="E31" s="216" t="s">
        <v>106</v>
      </c>
      <c r="F31" s="9" t="s">
        <v>107</v>
      </c>
      <c r="G31" s="9" t="s">
        <v>108</v>
      </c>
      <c r="H31" s="9" t="s">
        <v>118</v>
      </c>
      <c r="I31" s="12">
        <v>278</v>
      </c>
    </row>
    <row r="32" spans="1:9" ht="16.8" x14ac:dyDescent="0.3">
      <c r="A32" s="80" t="s">
        <v>175</v>
      </c>
      <c r="B32" s="91">
        <v>2</v>
      </c>
      <c r="C32" s="217" t="s">
        <v>185</v>
      </c>
      <c r="D32" s="10" t="s">
        <v>208</v>
      </c>
      <c r="E32" s="218" t="s">
        <v>106</v>
      </c>
      <c r="F32" s="81" t="s">
        <v>209</v>
      </c>
      <c r="G32" s="81" t="s">
        <v>108</v>
      </c>
      <c r="H32" s="81" t="s">
        <v>187</v>
      </c>
      <c r="I32" s="82">
        <v>129</v>
      </c>
    </row>
    <row r="33" spans="1:9" ht="16.8" x14ac:dyDescent="0.3">
      <c r="A33" s="286" t="s">
        <v>218</v>
      </c>
      <c r="B33" s="73">
        <v>3</v>
      </c>
      <c r="C33" s="13" t="s">
        <v>109</v>
      </c>
      <c r="D33" s="8" t="s">
        <v>186</v>
      </c>
      <c r="E33" s="216" t="s">
        <v>106</v>
      </c>
      <c r="F33" s="9" t="s">
        <v>107</v>
      </c>
      <c r="G33" s="9" t="s">
        <v>210</v>
      </c>
      <c r="H33" s="9" t="s">
        <v>217</v>
      </c>
      <c r="I33" s="12">
        <v>30</v>
      </c>
    </row>
    <row r="34" spans="1:9" ht="16.8" x14ac:dyDescent="0.3">
      <c r="A34" s="78" t="s">
        <v>176</v>
      </c>
      <c r="B34" s="73">
        <v>3</v>
      </c>
      <c r="C34" s="13" t="s">
        <v>109</v>
      </c>
      <c r="D34" s="7" t="s">
        <v>207</v>
      </c>
      <c r="E34" s="216" t="s">
        <v>106</v>
      </c>
      <c r="F34" s="9" t="s">
        <v>190</v>
      </c>
      <c r="G34" s="9" t="s">
        <v>210</v>
      </c>
      <c r="H34" s="9" t="s">
        <v>118</v>
      </c>
      <c r="I34" s="12">
        <v>230</v>
      </c>
    </row>
    <row r="35" spans="1:9" ht="16.8" x14ac:dyDescent="0.3">
      <c r="A35" s="78" t="s">
        <v>177</v>
      </c>
      <c r="B35" s="73">
        <v>3</v>
      </c>
      <c r="C35" s="13" t="s">
        <v>109</v>
      </c>
      <c r="D35" s="8" t="s">
        <v>186</v>
      </c>
      <c r="E35" s="216" t="s">
        <v>106</v>
      </c>
      <c r="F35" s="9" t="s">
        <v>204</v>
      </c>
      <c r="G35" s="9" t="s">
        <v>108</v>
      </c>
      <c r="H35" s="9" t="s">
        <v>118</v>
      </c>
      <c r="I35" s="197">
        <v>231</v>
      </c>
    </row>
    <row r="36" spans="1:9" ht="16.8" x14ac:dyDescent="0.3">
      <c r="A36" s="78" t="s">
        <v>178</v>
      </c>
      <c r="B36" s="73">
        <v>3</v>
      </c>
      <c r="C36" s="13" t="s">
        <v>185</v>
      </c>
      <c r="D36" s="8" t="s">
        <v>186</v>
      </c>
      <c r="E36" s="216" t="s">
        <v>106</v>
      </c>
      <c r="F36" s="9" t="s">
        <v>107</v>
      </c>
      <c r="G36" s="9" t="s">
        <v>112</v>
      </c>
      <c r="H36" s="9" t="s">
        <v>118</v>
      </c>
      <c r="I36" s="197">
        <v>231</v>
      </c>
    </row>
    <row r="37" spans="1:9" ht="16.8" x14ac:dyDescent="0.3">
      <c r="A37" s="78" t="s">
        <v>179</v>
      </c>
      <c r="B37" s="73">
        <v>3</v>
      </c>
      <c r="C37" s="13" t="s">
        <v>109</v>
      </c>
      <c r="D37" s="7" t="s">
        <v>105</v>
      </c>
      <c r="E37" s="216" t="s">
        <v>106</v>
      </c>
      <c r="F37" s="9" t="s">
        <v>209</v>
      </c>
      <c r="G37" s="9" t="s">
        <v>198</v>
      </c>
      <c r="H37" s="9" t="s">
        <v>118</v>
      </c>
      <c r="I37" s="12">
        <v>238</v>
      </c>
    </row>
    <row r="38" spans="1:9" ht="16.8" x14ac:dyDescent="0.3">
      <c r="A38" s="78" t="s">
        <v>180</v>
      </c>
      <c r="B38" s="73">
        <v>3</v>
      </c>
      <c r="C38" s="13" t="s">
        <v>109</v>
      </c>
      <c r="D38" s="7" t="s">
        <v>207</v>
      </c>
      <c r="E38" s="9" t="s">
        <v>106</v>
      </c>
      <c r="F38" s="79" t="s">
        <v>204</v>
      </c>
      <c r="G38" s="9" t="s">
        <v>211</v>
      </c>
      <c r="H38" s="9" t="s">
        <v>118</v>
      </c>
      <c r="I38" s="110">
        <v>243</v>
      </c>
    </row>
    <row r="39" spans="1:9" ht="16.8" x14ac:dyDescent="0.3">
      <c r="A39" s="78" t="s">
        <v>181</v>
      </c>
      <c r="B39" s="73">
        <v>3</v>
      </c>
      <c r="C39" s="13" t="s">
        <v>109</v>
      </c>
      <c r="D39" s="8" t="s">
        <v>186</v>
      </c>
      <c r="E39" s="216" t="s">
        <v>106</v>
      </c>
      <c r="F39" s="9" t="s">
        <v>212</v>
      </c>
      <c r="G39" s="9" t="s">
        <v>108</v>
      </c>
      <c r="H39" s="9" t="s">
        <v>118</v>
      </c>
      <c r="I39" s="12">
        <v>248</v>
      </c>
    </row>
    <row r="40" spans="1:9" ht="16.8" x14ac:dyDescent="0.3">
      <c r="A40" s="78" t="s">
        <v>254</v>
      </c>
      <c r="B40" s="73">
        <v>3</v>
      </c>
      <c r="C40" s="13" t="s">
        <v>189</v>
      </c>
      <c r="D40" s="7" t="s">
        <v>256</v>
      </c>
      <c r="E40" s="9" t="s">
        <v>106</v>
      </c>
      <c r="F40" s="9" t="s">
        <v>110</v>
      </c>
      <c r="G40" s="9" t="s">
        <v>108</v>
      </c>
      <c r="H40" s="9" t="s">
        <v>118</v>
      </c>
      <c r="I40" s="110">
        <v>262</v>
      </c>
    </row>
    <row r="41" spans="1:9" ht="16.8" x14ac:dyDescent="0.3">
      <c r="A41" s="78" t="s">
        <v>182</v>
      </c>
      <c r="B41" s="73">
        <v>3</v>
      </c>
      <c r="C41" s="13" t="s">
        <v>104</v>
      </c>
      <c r="D41" s="8" t="s">
        <v>186</v>
      </c>
      <c r="E41" s="216" t="s">
        <v>106</v>
      </c>
      <c r="F41" s="79" t="s">
        <v>190</v>
      </c>
      <c r="G41" s="9" t="s">
        <v>213</v>
      </c>
      <c r="H41" s="9" t="s">
        <v>187</v>
      </c>
      <c r="I41" s="110">
        <v>121</v>
      </c>
    </row>
    <row r="42" spans="1:9" ht="16.8" x14ac:dyDescent="0.3">
      <c r="A42" s="78" t="s">
        <v>183</v>
      </c>
      <c r="B42" s="73">
        <v>3</v>
      </c>
      <c r="C42" s="13" t="s">
        <v>104</v>
      </c>
      <c r="D42" s="8" t="s">
        <v>207</v>
      </c>
      <c r="E42" s="216" t="s">
        <v>106</v>
      </c>
      <c r="F42" s="9" t="s">
        <v>204</v>
      </c>
      <c r="G42" s="9" t="s">
        <v>210</v>
      </c>
      <c r="H42" s="9" t="s">
        <v>118</v>
      </c>
      <c r="I42" s="12">
        <v>280</v>
      </c>
    </row>
    <row r="43" spans="1:9" ht="16.8" x14ac:dyDescent="0.3">
      <c r="A43" s="80" t="s">
        <v>184</v>
      </c>
      <c r="B43" s="91">
        <v>3</v>
      </c>
      <c r="C43" s="217" t="s">
        <v>104</v>
      </c>
      <c r="D43" s="10" t="s">
        <v>186</v>
      </c>
      <c r="E43" s="218" t="s">
        <v>106</v>
      </c>
      <c r="F43" s="81" t="s">
        <v>111</v>
      </c>
      <c r="G43" s="81" t="s">
        <v>210</v>
      </c>
      <c r="H43" s="81" t="s">
        <v>118</v>
      </c>
      <c r="I43" s="443">
        <v>284</v>
      </c>
    </row>
    <row r="44" spans="1:9" ht="16.8" x14ac:dyDescent="0.3">
      <c r="A44" s="289" t="s">
        <v>223</v>
      </c>
      <c r="B44" s="73">
        <v>4</v>
      </c>
      <c r="C44" s="290" t="s">
        <v>104</v>
      </c>
      <c r="D44" s="291" t="s">
        <v>105</v>
      </c>
      <c r="E44" s="292" t="s">
        <v>106</v>
      </c>
      <c r="F44" s="293" t="s">
        <v>234</v>
      </c>
      <c r="G44" s="294" t="s">
        <v>108</v>
      </c>
      <c r="H44" s="294" t="s">
        <v>187</v>
      </c>
      <c r="I44" s="295">
        <v>99</v>
      </c>
    </row>
    <row r="45" spans="1:9" ht="16.8" x14ac:dyDescent="0.3">
      <c r="A45" s="78" t="s">
        <v>224</v>
      </c>
      <c r="B45" s="73">
        <v>4</v>
      </c>
      <c r="C45" s="13" t="s">
        <v>189</v>
      </c>
      <c r="D45" s="8" t="s">
        <v>105</v>
      </c>
      <c r="E45" s="216" t="s">
        <v>106</v>
      </c>
      <c r="F45" s="9" t="s">
        <v>110</v>
      </c>
      <c r="G45" s="9" t="s">
        <v>108</v>
      </c>
      <c r="H45" s="9" t="s">
        <v>118</v>
      </c>
      <c r="I45" s="12">
        <v>213</v>
      </c>
    </row>
    <row r="46" spans="1:9" ht="16.8" x14ac:dyDescent="0.3">
      <c r="A46" s="286" t="s">
        <v>362</v>
      </c>
      <c r="B46" s="435">
        <v>4</v>
      </c>
      <c r="C46" s="436" t="s">
        <v>185</v>
      </c>
      <c r="D46" s="437" t="s">
        <v>196</v>
      </c>
      <c r="E46" s="438" t="s">
        <v>106</v>
      </c>
      <c r="F46" s="438" t="s">
        <v>204</v>
      </c>
      <c r="G46" s="438" t="s">
        <v>108</v>
      </c>
      <c r="H46" s="9" t="s">
        <v>118</v>
      </c>
      <c r="I46" s="12">
        <v>221</v>
      </c>
    </row>
    <row r="47" spans="1:9" ht="16.8" x14ac:dyDescent="0.3">
      <c r="A47" s="78" t="s">
        <v>241</v>
      </c>
      <c r="B47" s="73">
        <v>4</v>
      </c>
      <c r="C47" s="13" t="s">
        <v>104</v>
      </c>
      <c r="D47" s="8" t="s">
        <v>105</v>
      </c>
      <c r="E47" s="216" t="s">
        <v>106</v>
      </c>
      <c r="F47" s="9" t="s">
        <v>235</v>
      </c>
      <c r="G47" s="9" t="s">
        <v>210</v>
      </c>
      <c r="H47" s="9" t="s">
        <v>118</v>
      </c>
      <c r="I47" s="12">
        <v>228</v>
      </c>
    </row>
    <row r="48" spans="1:9" ht="16.8" x14ac:dyDescent="0.3">
      <c r="A48" s="78" t="s">
        <v>225</v>
      </c>
      <c r="B48" s="73">
        <v>4</v>
      </c>
      <c r="C48" s="13" t="s">
        <v>104</v>
      </c>
      <c r="D48" s="8" t="s">
        <v>105</v>
      </c>
      <c r="E48" s="216" t="s">
        <v>106</v>
      </c>
      <c r="F48" s="9" t="s">
        <v>236</v>
      </c>
      <c r="G48" s="9" t="s">
        <v>108</v>
      </c>
      <c r="H48" s="9" t="s">
        <v>187</v>
      </c>
      <c r="I48" s="12">
        <v>115</v>
      </c>
    </row>
    <row r="49" spans="1:9" ht="16.8" x14ac:dyDescent="0.3">
      <c r="A49" s="78" t="s">
        <v>226</v>
      </c>
      <c r="B49" s="73">
        <v>4</v>
      </c>
      <c r="C49" s="13" t="s">
        <v>104</v>
      </c>
      <c r="D49" s="8" t="s">
        <v>105</v>
      </c>
      <c r="E49" s="216" t="s">
        <v>106</v>
      </c>
      <c r="F49" s="9" t="s">
        <v>236</v>
      </c>
      <c r="G49" s="9" t="s">
        <v>108</v>
      </c>
      <c r="H49" s="9" t="s">
        <v>187</v>
      </c>
      <c r="I49" s="12">
        <v>115</v>
      </c>
    </row>
    <row r="50" spans="1:9" ht="16.8" x14ac:dyDescent="0.3">
      <c r="A50" s="78" t="s">
        <v>227</v>
      </c>
      <c r="B50" s="73">
        <v>4</v>
      </c>
      <c r="C50" s="13" t="s">
        <v>104</v>
      </c>
      <c r="D50" s="8" t="s">
        <v>105</v>
      </c>
      <c r="E50" s="216" t="s">
        <v>106</v>
      </c>
      <c r="F50" s="9" t="s">
        <v>236</v>
      </c>
      <c r="G50" s="9" t="s">
        <v>108</v>
      </c>
      <c r="H50" s="9" t="s">
        <v>187</v>
      </c>
      <c r="I50" s="12">
        <v>116</v>
      </c>
    </row>
    <row r="51" spans="1:9" ht="16.8" x14ac:dyDescent="0.3">
      <c r="A51" s="78" t="s">
        <v>228</v>
      </c>
      <c r="B51" s="73">
        <v>4</v>
      </c>
      <c r="C51" s="13" t="s">
        <v>104</v>
      </c>
      <c r="D51" s="8" t="s">
        <v>105</v>
      </c>
      <c r="E51" s="216" t="s">
        <v>106</v>
      </c>
      <c r="F51" s="9" t="s">
        <v>236</v>
      </c>
      <c r="G51" s="9" t="s">
        <v>108</v>
      </c>
      <c r="H51" s="9" t="s">
        <v>187</v>
      </c>
      <c r="I51" s="12">
        <v>116</v>
      </c>
    </row>
    <row r="52" spans="1:9" ht="16.8" x14ac:dyDescent="0.3">
      <c r="A52" s="78" t="s">
        <v>229</v>
      </c>
      <c r="B52" s="73">
        <v>4</v>
      </c>
      <c r="C52" s="13" t="s">
        <v>104</v>
      </c>
      <c r="D52" s="8" t="s">
        <v>105</v>
      </c>
      <c r="E52" s="216" t="s">
        <v>106</v>
      </c>
      <c r="F52" s="9" t="s">
        <v>236</v>
      </c>
      <c r="G52" s="9" t="s">
        <v>108</v>
      </c>
      <c r="H52" s="9" t="s">
        <v>187</v>
      </c>
      <c r="I52" s="12">
        <v>116</v>
      </c>
    </row>
    <row r="53" spans="1:9" ht="16.8" x14ac:dyDescent="0.3">
      <c r="A53" s="78" t="s">
        <v>230</v>
      </c>
      <c r="B53" s="73">
        <v>4</v>
      </c>
      <c r="C53" s="13" t="s">
        <v>104</v>
      </c>
      <c r="D53" s="8" t="s">
        <v>105</v>
      </c>
      <c r="E53" s="216" t="s">
        <v>106</v>
      </c>
      <c r="F53" s="9" t="s">
        <v>236</v>
      </c>
      <c r="G53" s="9" t="s">
        <v>108</v>
      </c>
      <c r="H53" s="9" t="s">
        <v>187</v>
      </c>
      <c r="I53" s="12">
        <v>116</v>
      </c>
    </row>
    <row r="54" spans="1:9" ht="16.8" x14ac:dyDescent="0.3">
      <c r="A54" s="78" t="s">
        <v>231</v>
      </c>
      <c r="B54" s="73">
        <v>4</v>
      </c>
      <c r="C54" s="13" t="s">
        <v>199</v>
      </c>
      <c r="D54" s="8" t="s">
        <v>105</v>
      </c>
      <c r="E54" s="216" t="s">
        <v>106</v>
      </c>
      <c r="F54" s="9" t="s">
        <v>111</v>
      </c>
      <c r="G54" s="9" t="s">
        <v>108</v>
      </c>
      <c r="H54" s="9" t="s">
        <v>118</v>
      </c>
      <c r="I54" s="12">
        <v>260</v>
      </c>
    </row>
    <row r="55" spans="1:9" ht="16.8" x14ac:dyDescent="0.3">
      <c r="A55" s="78" t="s">
        <v>232</v>
      </c>
      <c r="B55" s="73">
        <v>4</v>
      </c>
      <c r="C55" s="13" t="s">
        <v>109</v>
      </c>
      <c r="D55" s="8" t="s">
        <v>196</v>
      </c>
      <c r="E55" s="216" t="s">
        <v>106</v>
      </c>
      <c r="F55" s="9" t="s">
        <v>237</v>
      </c>
      <c r="G55" s="9" t="s">
        <v>108</v>
      </c>
      <c r="H55" s="9" t="s">
        <v>118</v>
      </c>
      <c r="I55" s="12">
        <v>279</v>
      </c>
    </row>
    <row r="56" spans="1:9" ht="16.8" x14ac:dyDescent="0.3">
      <c r="A56" s="80" t="s">
        <v>233</v>
      </c>
      <c r="B56" s="91">
        <v>4</v>
      </c>
      <c r="C56" s="217" t="s">
        <v>109</v>
      </c>
      <c r="D56" s="10" t="s">
        <v>105</v>
      </c>
      <c r="E56" s="218" t="s">
        <v>106</v>
      </c>
      <c r="F56" s="81" t="s">
        <v>111</v>
      </c>
      <c r="G56" s="81" t="s">
        <v>259</v>
      </c>
      <c r="H56" s="81" t="s">
        <v>118</v>
      </c>
      <c r="I56" s="82">
        <v>298</v>
      </c>
    </row>
    <row r="57" spans="1:9" ht="16.8" x14ac:dyDescent="0.3">
      <c r="A57" s="78" t="s">
        <v>246</v>
      </c>
      <c r="B57" s="73">
        <v>5</v>
      </c>
      <c r="C57" s="13" t="s">
        <v>104</v>
      </c>
      <c r="D57" s="8" t="s">
        <v>207</v>
      </c>
      <c r="E57" s="216" t="s">
        <v>106</v>
      </c>
      <c r="F57" s="79" t="s">
        <v>107</v>
      </c>
      <c r="G57" s="9" t="s">
        <v>108</v>
      </c>
      <c r="H57" s="9" t="s">
        <v>187</v>
      </c>
      <c r="I57" s="110">
        <v>97</v>
      </c>
    </row>
    <row r="58" spans="1:9" ht="16.8" x14ac:dyDescent="0.3">
      <c r="A58" s="78" t="s">
        <v>247</v>
      </c>
      <c r="B58" s="73">
        <v>5</v>
      </c>
      <c r="C58" s="13" t="s">
        <v>104</v>
      </c>
      <c r="D58" s="8" t="s">
        <v>105</v>
      </c>
      <c r="E58" s="9" t="s">
        <v>106</v>
      </c>
      <c r="F58" s="9" t="s">
        <v>111</v>
      </c>
      <c r="G58" s="9" t="s">
        <v>213</v>
      </c>
      <c r="H58" s="9" t="s">
        <v>118</v>
      </c>
      <c r="I58" s="12">
        <v>210</v>
      </c>
    </row>
    <row r="59" spans="1:9" ht="16.8" x14ac:dyDescent="0.3">
      <c r="A59" s="78" t="s">
        <v>248</v>
      </c>
      <c r="B59" s="73">
        <v>5</v>
      </c>
      <c r="C59" s="13" t="s">
        <v>109</v>
      </c>
      <c r="D59" s="8" t="s">
        <v>207</v>
      </c>
      <c r="E59" s="216" t="s">
        <v>106</v>
      </c>
      <c r="F59" s="79" t="s">
        <v>209</v>
      </c>
      <c r="G59" s="9" t="s">
        <v>108</v>
      </c>
      <c r="H59" s="9" t="s">
        <v>118</v>
      </c>
      <c r="I59" s="110">
        <v>212</v>
      </c>
    </row>
    <row r="60" spans="1:9" ht="16.8" x14ac:dyDescent="0.3">
      <c r="A60" s="78" t="s">
        <v>250</v>
      </c>
      <c r="B60" s="73">
        <v>5</v>
      </c>
      <c r="C60" s="13" t="s">
        <v>109</v>
      </c>
      <c r="D60" s="8" t="s">
        <v>186</v>
      </c>
      <c r="E60" s="216" t="s">
        <v>106</v>
      </c>
      <c r="F60" s="9" t="s">
        <v>107</v>
      </c>
      <c r="G60" s="9" t="s">
        <v>210</v>
      </c>
      <c r="H60" s="9" t="s">
        <v>187</v>
      </c>
      <c r="I60" s="110">
        <v>106</v>
      </c>
    </row>
    <row r="61" spans="1:9" ht="16.8" x14ac:dyDescent="0.3">
      <c r="A61" s="78" t="s">
        <v>251</v>
      </c>
      <c r="B61" s="73">
        <v>5</v>
      </c>
      <c r="C61" s="13" t="s">
        <v>109</v>
      </c>
      <c r="D61" s="8" t="s">
        <v>186</v>
      </c>
      <c r="E61" s="216" t="s">
        <v>106</v>
      </c>
      <c r="F61" s="79" t="s">
        <v>257</v>
      </c>
      <c r="G61" s="9" t="s">
        <v>108</v>
      </c>
      <c r="H61" s="9" t="s">
        <v>187</v>
      </c>
      <c r="I61" s="110">
        <v>107</v>
      </c>
    </row>
    <row r="62" spans="1:9" ht="16.8" x14ac:dyDescent="0.3">
      <c r="A62" s="80" t="s">
        <v>249</v>
      </c>
      <c r="B62" s="73">
        <v>5</v>
      </c>
      <c r="C62" s="217" t="s">
        <v>109</v>
      </c>
      <c r="D62" s="10" t="s">
        <v>105</v>
      </c>
      <c r="E62" s="218" t="s">
        <v>106</v>
      </c>
      <c r="F62" s="81" t="s">
        <v>111</v>
      </c>
      <c r="G62" s="81" t="s">
        <v>108</v>
      </c>
      <c r="H62" s="81" t="s">
        <v>187</v>
      </c>
      <c r="I62" s="82">
        <v>118</v>
      </c>
    </row>
    <row r="63" spans="1:9" ht="16.8" x14ac:dyDescent="0.3">
      <c r="A63" s="78" t="s">
        <v>267</v>
      </c>
      <c r="B63" s="73">
        <v>6</v>
      </c>
      <c r="C63" s="13" t="s">
        <v>104</v>
      </c>
      <c r="D63" s="7" t="s">
        <v>280</v>
      </c>
      <c r="E63" s="216" t="s">
        <v>106</v>
      </c>
      <c r="F63" s="79" t="s">
        <v>111</v>
      </c>
      <c r="G63" s="79" t="s">
        <v>210</v>
      </c>
      <c r="H63" s="9" t="s">
        <v>118</v>
      </c>
      <c r="I63" s="12">
        <v>196</v>
      </c>
    </row>
    <row r="64" spans="1:9" ht="16.8" x14ac:dyDescent="0.3">
      <c r="A64" s="78" t="s">
        <v>268</v>
      </c>
      <c r="B64" s="73">
        <v>6</v>
      </c>
      <c r="C64" s="13" t="s">
        <v>109</v>
      </c>
      <c r="D64" s="8" t="s">
        <v>105</v>
      </c>
      <c r="E64" s="216" t="s">
        <v>106</v>
      </c>
      <c r="F64" s="79" t="s">
        <v>111</v>
      </c>
      <c r="G64" s="9" t="s">
        <v>213</v>
      </c>
      <c r="H64" s="9" t="s">
        <v>118</v>
      </c>
      <c r="I64" s="12">
        <v>205</v>
      </c>
    </row>
    <row r="65" spans="1:9" ht="16.8" x14ac:dyDescent="0.3">
      <c r="A65" s="78" t="s">
        <v>269</v>
      </c>
      <c r="B65" s="73">
        <v>6</v>
      </c>
      <c r="C65" s="13" t="s">
        <v>109</v>
      </c>
      <c r="D65" s="8" t="s">
        <v>208</v>
      </c>
      <c r="E65" s="216" t="s">
        <v>106</v>
      </c>
      <c r="F65" s="9" t="s">
        <v>204</v>
      </c>
      <c r="G65" s="9" t="s">
        <v>108</v>
      </c>
      <c r="H65" s="9" t="s">
        <v>118</v>
      </c>
      <c r="I65" s="12">
        <v>203</v>
      </c>
    </row>
    <row r="66" spans="1:9" ht="16.8" x14ac:dyDescent="0.3">
      <c r="A66" s="78" t="s">
        <v>270</v>
      </c>
      <c r="B66" s="73">
        <v>6</v>
      </c>
      <c r="C66" s="11" t="s">
        <v>189</v>
      </c>
      <c r="D66" s="8" t="s">
        <v>186</v>
      </c>
      <c r="E66" s="216" t="s">
        <v>106</v>
      </c>
      <c r="F66" s="215" t="s">
        <v>111</v>
      </c>
      <c r="G66" s="9" t="s">
        <v>108</v>
      </c>
      <c r="H66" s="9" t="s">
        <v>118</v>
      </c>
      <c r="I66" s="12">
        <v>209</v>
      </c>
    </row>
    <row r="67" spans="1:9" ht="16.8" x14ac:dyDescent="0.3">
      <c r="A67" s="78" t="s">
        <v>271</v>
      </c>
      <c r="B67" s="73">
        <v>6</v>
      </c>
      <c r="C67" s="13" t="s">
        <v>185</v>
      </c>
      <c r="D67" s="8" t="s">
        <v>207</v>
      </c>
      <c r="E67" s="216" t="s">
        <v>106</v>
      </c>
      <c r="F67" s="79" t="s">
        <v>111</v>
      </c>
      <c r="G67" s="9" t="s">
        <v>108</v>
      </c>
      <c r="H67" s="9" t="s">
        <v>118</v>
      </c>
      <c r="I67" s="12">
        <v>222</v>
      </c>
    </row>
    <row r="68" spans="1:9" ht="16.8" x14ac:dyDescent="0.3">
      <c r="A68" s="78" t="s">
        <v>272</v>
      </c>
      <c r="B68" s="73">
        <v>6</v>
      </c>
      <c r="C68" s="13" t="s">
        <v>104</v>
      </c>
      <c r="D68" s="8" t="s">
        <v>186</v>
      </c>
      <c r="E68" s="9" t="s">
        <v>106</v>
      </c>
      <c r="F68" s="9" t="s">
        <v>110</v>
      </c>
      <c r="G68" s="9" t="s">
        <v>112</v>
      </c>
      <c r="H68" s="9" t="s">
        <v>118</v>
      </c>
      <c r="I68" s="12">
        <v>230</v>
      </c>
    </row>
    <row r="69" spans="1:9" ht="16.8" x14ac:dyDescent="0.3">
      <c r="A69" s="78" t="s">
        <v>281</v>
      </c>
      <c r="B69" s="73">
        <v>6</v>
      </c>
      <c r="C69" s="13" t="s">
        <v>109</v>
      </c>
      <c r="D69" s="8" t="s">
        <v>208</v>
      </c>
      <c r="E69" s="9" t="s">
        <v>106</v>
      </c>
      <c r="F69" s="9" t="s">
        <v>204</v>
      </c>
      <c r="G69" s="9" t="s">
        <v>210</v>
      </c>
      <c r="H69" s="9" t="s">
        <v>118</v>
      </c>
      <c r="I69" s="12">
        <v>258</v>
      </c>
    </row>
    <row r="70" spans="1:9" ht="16.8" x14ac:dyDescent="0.3">
      <c r="A70" s="80" t="s">
        <v>282</v>
      </c>
      <c r="B70" s="91">
        <v>6</v>
      </c>
      <c r="C70" s="217" t="s">
        <v>185</v>
      </c>
      <c r="D70" s="10" t="s">
        <v>186</v>
      </c>
      <c r="E70" s="218" t="s">
        <v>106</v>
      </c>
      <c r="F70" s="81" t="s">
        <v>190</v>
      </c>
      <c r="G70" s="81" t="s">
        <v>210</v>
      </c>
      <c r="H70" s="81" t="s">
        <v>118</v>
      </c>
      <c r="I70" s="82">
        <v>294</v>
      </c>
    </row>
    <row r="71" spans="1:9" ht="16.8" x14ac:dyDescent="0.3">
      <c r="A71" s="78" t="s">
        <v>273</v>
      </c>
      <c r="B71" s="73">
        <v>7</v>
      </c>
      <c r="C71" s="13" t="s">
        <v>109</v>
      </c>
      <c r="D71" s="8" t="s">
        <v>186</v>
      </c>
      <c r="E71" s="216" t="s">
        <v>106</v>
      </c>
      <c r="F71" s="9" t="s">
        <v>204</v>
      </c>
      <c r="G71" s="9" t="s">
        <v>284</v>
      </c>
      <c r="H71" s="9" t="s">
        <v>118</v>
      </c>
      <c r="I71" s="12">
        <v>217</v>
      </c>
    </row>
    <row r="72" spans="1:9" ht="16.8" x14ac:dyDescent="0.3">
      <c r="A72" s="78" t="s">
        <v>274</v>
      </c>
      <c r="B72" s="73">
        <v>7</v>
      </c>
      <c r="C72" s="13" t="s">
        <v>109</v>
      </c>
      <c r="D72" s="8" t="s">
        <v>256</v>
      </c>
      <c r="E72" s="9" t="s">
        <v>106</v>
      </c>
      <c r="F72" s="9" t="s">
        <v>204</v>
      </c>
      <c r="G72" s="9" t="s">
        <v>198</v>
      </c>
      <c r="H72" s="9" t="s">
        <v>118</v>
      </c>
      <c r="I72" s="12">
        <v>225</v>
      </c>
    </row>
    <row r="73" spans="1:9" ht="16.8" x14ac:dyDescent="0.3">
      <c r="A73" s="78" t="s">
        <v>275</v>
      </c>
      <c r="B73" s="73">
        <v>7</v>
      </c>
      <c r="C73" s="13" t="s">
        <v>189</v>
      </c>
      <c r="D73" s="8" t="s">
        <v>105</v>
      </c>
      <c r="E73" s="9" t="s">
        <v>106</v>
      </c>
      <c r="F73" s="9" t="s">
        <v>107</v>
      </c>
      <c r="G73" s="9" t="s">
        <v>108</v>
      </c>
      <c r="H73" s="9" t="s">
        <v>118</v>
      </c>
      <c r="I73" s="12">
        <v>230</v>
      </c>
    </row>
    <row r="74" spans="1:9" ht="16.8" x14ac:dyDescent="0.3">
      <c r="A74" s="78" t="s">
        <v>276</v>
      </c>
      <c r="B74" s="73">
        <v>7</v>
      </c>
      <c r="C74" s="13" t="s">
        <v>109</v>
      </c>
      <c r="D74" s="8" t="s">
        <v>105</v>
      </c>
      <c r="E74" s="9" t="s">
        <v>192</v>
      </c>
      <c r="F74" s="9" t="s">
        <v>111</v>
      </c>
      <c r="G74" s="9" t="s">
        <v>108</v>
      </c>
      <c r="H74" s="9" t="s">
        <v>118</v>
      </c>
      <c r="I74" s="12">
        <v>231</v>
      </c>
    </row>
    <row r="75" spans="1:9" ht="16.8" x14ac:dyDescent="0.3">
      <c r="A75" s="78" t="s">
        <v>283</v>
      </c>
      <c r="B75" s="73">
        <v>7</v>
      </c>
      <c r="C75" s="13" t="s">
        <v>109</v>
      </c>
      <c r="D75" s="8" t="s">
        <v>208</v>
      </c>
      <c r="E75" s="9" t="s">
        <v>106</v>
      </c>
      <c r="F75" s="9" t="s">
        <v>107</v>
      </c>
      <c r="G75" s="9" t="s">
        <v>210</v>
      </c>
      <c r="H75" s="9" t="s">
        <v>118</v>
      </c>
      <c r="I75" s="12">
        <v>256</v>
      </c>
    </row>
    <row r="76" spans="1:9" ht="16.8" x14ac:dyDescent="0.3">
      <c r="A76" s="78" t="s">
        <v>277</v>
      </c>
      <c r="B76" s="73">
        <v>7</v>
      </c>
      <c r="C76" s="13" t="s">
        <v>109</v>
      </c>
      <c r="D76" s="8" t="s">
        <v>105</v>
      </c>
      <c r="E76" s="9" t="s">
        <v>106</v>
      </c>
      <c r="F76" s="9" t="s">
        <v>209</v>
      </c>
      <c r="G76" s="9" t="s">
        <v>108</v>
      </c>
      <c r="H76" s="9" t="s">
        <v>118</v>
      </c>
      <c r="I76" s="12">
        <v>264</v>
      </c>
    </row>
    <row r="77" spans="1:9" ht="16.8" x14ac:dyDescent="0.3">
      <c r="A77" s="78" t="s">
        <v>278</v>
      </c>
      <c r="B77" s="73">
        <v>7</v>
      </c>
      <c r="C77" s="13" t="s">
        <v>109</v>
      </c>
      <c r="D77" s="8" t="s">
        <v>256</v>
      </c>
      <c r="E77" s="9" t="s">
        <v>106</v>
      </c>
      <c r="F77" s="9" t="s">
        <v>209</v>
      </c>
      <c r="G77" s="9" t="s">
        <v>210</v>
      </c>
      <c r="H77" s="9" t="s">
        <v>118</v>
      </c>
      <c r="I77" s="12">
        <v>289</v>
      </c>
    </row>
    <row r="78" spans="1:9" ht="16.8" x14ac:dyDescent="0.3">
      <c r="A78" s="80" t="s">
        <v>279</v>
      </c>
      <c r="B78" s="91">
        <v>7</v>
      </c>
      <c r="C78" s="217" t="s">
        <v>189</v>
      </c>
      <c r="D78" s="10" t="s">
        <v>105</v>
      </c>
      <c r="E78" s="81" t="s">
        <v>106</v>
      </c>
      <c r="F78" s="81" t="s">
        <v>209</v>
      </c>
      <c r="G78" s="81" t="s">
        <v>108</v>
      </c>
      <c r="H78" s="81" t="s">
        <v>118</v>
      </c>
      <c r="I78" s="82">
        <v>301</v>
      </c>
    </row>
    <row r="79" spans="1:9" ht="16.8" x14ac:dyDescent="0.3">
      <c r="A79" s="78" t="s">
        <v>391</v>
      </c>
      <c r="B79" s="73">
        <v>8</v>
      </c>
      <c r="C79" s="11" t="s">
        <v>189</v>
      </c>
      <c r="D79" s="8" t="s">
        <v>207</v>
      </c>
      <c r="E79" s="216" t="s">
        <v>106</v>
      </c>
      <c r="F79" s="9" t="s">
        <v>204</v>
      </c>
      <c r="G79" s="9" t="s">
        <v>108</v>
      </c>
      <c r="H79" s="9" t="s">
        <v>118</v>
      </c>
      <c r="I79" s="12">
        <v>242</v>
      </c>
    </row>
    <row r="80" spans="1:9" ht="16.8" x14ac:dyDescent="0.3">
      <c r="A80" s="78" t="s">
        <v>392</v>
      </c>
      <c r="B80" s="73">
        <v>8</v>
      </c>
      <c r="C80" s="11" t="s">
        <v>104</v>
      </c>
      <c r="D80" s="8" t="s">
        <v>105</v>
      </c>
      <c r="E80" s="216" t="s">
        <v>106</v>
      </c>
      <c r="F80" s="215" t="s">
        <v>111</v>
      </c>
      <c r="G80" s="215" t="s">
        <v>210</v>
      </c>
      <c r="H80" s="9" t="s">
        <v>118</v>
      </c>
      <c r="I80" s="12">
        <v>244</v>
      </c>
    </row>
    <row r="81" spans="1:9" ht="16.8" x14ac:dyDescent="0.3">
      <c r="A81" s="78" t="s">
        <v>393</v>
      </c>
      <c r="B81" s="73">
        <v>8</v>
      </c>
      <c r="C81" s="13" t="s">
        <v>109</v>
      </c>
      <c r="D81" s="8" t="s">
        <v>208</v>
      </c>
      <c r="E81" s="216" t="s">
        <v>106</v>
      </c>
      <c r="F81" s="9" t="s">
        <v>107</v>
      </c>
      <c r="G81" s="9" t="s">
        <v>108</v>
      </c>
      <c r="H81" s="9" t="s">
        <v>118</v>
      </c>
      <c r="I81" s="12">
        <v>262</v>
      </c>
    </row>
    <row r="82" spans="1:9" ht="16.8" x14ac:dyDescent="0.3">
      <c r="A82" s="78" t="s">
        <v>394</v>
      </c>
      <c r="B82" s="73">
        <v>8</v>
      </c>
      <c r="C82" s="13" t="s">
        <v>201</v>
      </c>
      <c r="D82" s="8" t="s">
        <v>105</v>
      </c>
      <c r="E82" s="9" t="s">
        <v>106</v>
      </c>
      <c r="F82" s="9" t="s">
        <v>107</v>
      </c>
      <c r="G82" s="9" t="s">
        <v>112</v>
      </c>
      <c r="H82" s="9" t="s">
        <v>118</v>
      </c>
      <c r="I82" s="12">
        <v>264</v>
      </c>
    </row>
    <row r="83" spans="1:9" ht="16.8" x14ac:dyDescent="0.3">
      <c r="A83" s="78" t="s">
        <v>395</v>
      </c>
      <c r="B83" s="73">
        <v>8</v>
      </c>
      <c r="C83" s="13" t="s">
        <v>199</v>
      </c>
      <c r="D83" s="8" t="s">
        <v>186</v>
      </c>
      <c r="E83" s="9" t="s">
        <v>106</v>
      </c>
      <c r="F83" s="9" t="s">
        <v>107</v>
      </c>
      <c r="G83" s="9" t="s">
        <v>7</v>
      </c>
      <c r="H83" s="9" t="s">
        <v>118</v>
      </c>
      <c r="I83" s="12">
        <v>274</v>
      </c>
    </row>
    <row r="84" spans="1:9" ht="16.8" x14ac:dyDescent="0.3">
      <c r="A84" s="78" t="s">
        <v>396</v>
      </c>
      <c r="B84" s="73">
        <v>8</v>
      </c>
      <c r="C84" s="13" t="s">
        <v>109</v>
      </c>
      <c r="D84" s="8" t="s">
        <v>208</v>
      </c>
      <c r="E84" s="9" t="s">
        <v>106</v>
      </c>
      <c r="F84" s="9" t="s">
        <v>96</v>
      </c>
      <c r="G84" s="9" t="s">
        <v>108</v>
      </c>
      <c r="H84" s="9" t="s">
        <v>118</v>
      </c>
      <c r="I84" s="12">
        <v>279</v>
      </c>
    </row>
    <row r="85" spans="1:9" ht="16.8" x14ac:dyDescent="0.3">
      <c r="A85" s="80" t="s">
        <v>397</v>
      </c>
      <c r="B85" s="91">
        <v>8</v>
      </c>
      <c r="C85" s="217" t="s">
        <v>109</v>
      </c>
      <c r="D85" s="10" t="s">
        <v>207</v>
      </c>
      <c r="E85" s="81" t="s">
        <v>106</v>
      </c>
      <c r="F85" s="81" t="s">
        <v>209</v>
      </c>
      <c r="G85" s="81" t="s">
        <v>210</v>
      </c>
      <c r="H85" s="81" t="s">
        <v>118</v>
      </c>
      <c r="I85" s="82">
        <v>289</v>
      </c>
    </row>
    <row r="86" spans="1:9" ht="16.8" x14ac:dyDescent="0.3">
      <c r="A86" s="78" t="s">
        <v>398</v>
      </c>
      <c r="B86" s="73">
        <v>9</v>
      </c>
      <c r="C86" s="13" t="s">
        <v>104</v>
      </c>
      <c r="D86" s="8" t="s">
        <v>105</v>
      </c>
      <c r="E86" s="9" t="s">
        <v>202</v>
      </c>
      <c r="F86" s="9" t="s">
        <v>111</v>
      </c>
      <c r="G86" s="9" t="s">
        <v>112</v>
      </c>
      <c r="H86" s="9" t="s">
        <v>118</v>
      </c>
      <c r="I86" s="12">
        <v>226</v>
      </c>
    </row>
    <row r="87" spans="1:9" ht="16.8" x14ac:dyDescent="0.3">
      <c r="A87" s="78" t="s">
        <v>399</v>
      </c>
      <c r="B87" s="73">
        <v>9</v>
      </c>
      <c r="C87" s="13" t="s">
        <v>109</v>
      </c>
      <c r="D87" s="8" t="s">
        <v>105</v>
      </c>
      <c r="E87" s="9" t="s">
        <v>106</v>
      </c>
      <c r="F87" s="9" t="s">
        <v>107</v>
      </c>
      <c r="G87" s="9" t="s">
        <v>7</v>
      </c>
      <c r="H87" s="9" t="s">
        <v>118</v>
      </c>
      <c r="I87" s="12">
        <v>243</v>
      </c>
    </row>
    <row r="88" spans="1:9" ht="16.8" x14ac:dyDescent="0.3">
      <c r="A88" s="78" t="s">
        <v>400</v>
      </c>
      <c r="B88" s="73">
        <v>9</v>
      </c>
      <c r="C88" s="13" t="s">
        <v>109</v>
      </c>
      <c r="D88" s="8" t="s">
        <v>105</v>
      </c>
      <c r="E88" s="9" t="s">
        <v>106</v>
      </c>
      <c r="F88" s="9" t="s">
        <v>204</v>
      </c>
      <c r="G88" s="9" t="s">
        <v>108</v>
      </c>
      <c r="H88" s="9" t="s">
        <v>118</v>
      </c>
      <c r="I88" s="12">
        <v>253</v>
      </c>
    </row>
    <row r="89" spans="1:9" ht="16.8" x14ac:dyDescent="0.3">
      <c r="A89" s="78" t="s">
        <v>401</v>
      </c>
      <c r="B89" s="73">
        <v>9</v>
      </c>
      <c r="C89" s="13" t="s">
        <v>201</v>
      </c>
      <c r="D89" s="8" t="s">
        <v>196</v>
      </c>
      <c r="E89" s="9" t="s">
        <v>106</v>
      </c>
      <c r="F89" s="9" t="s">
        <v>257</v>
      </c>
      <c r="G89" s="9" t="s">
        <v>112</v>
      </c>
      <c r="H89" s="9" t="s">
        <v>118</v>
      </c>
      <c r="I89" s="12">
        <v>264</v>
      </c>
    </row>
    <row r="90" spans="1:9" ht="16.8" x14ac:dyDescent="0.3">
      <c r="A90" s="78" t="s">
        <v>402</v>
      </c>
      <c r="B90" s="73">
        <v>9</v>
      </c>
      <c r="C90" s="13" t="s">
        <v>189</v>
      </c>
      <c r="D90" s="8" t="s">
        <v>196</v>
      </c>
      <c r="E90" s="9" t="s">
        <v>106</v>
      </c>
      <c r="F90" s="9" t="s">
        <v>107</v>
      </c>
      <c r="G90" s="9" t="s">
        <v>108</v>
      </c>
      <c r="H90" s="9" t="s">
        <v>118</v>
      </c>
      <c r="I90" s="12">
        <v>298</v>
      </c>
    </row>
    <row r="91" spans="1:9" ht="17.399999999999999" thickBot="1" x14ac:dyDescent="0.35">
      <c r="A91" s="421" t="s">
        <v>403</v>
      </c>
      <c r="B91" s="147">
        <v>9</v>
      </c>
      <c r="C91" s="422" t="s">
        <v>199</v>
      </c>
      <c r="D91" s="423" t="s">
        <v>105</v>
      </c>
      <c r="E91" s="424" t="s">
        <v>106</v>
      </c>
      <c r="F91" s="425" t="s">
        <v>111</v>
      </c>
      <c r="G91" s="425" t="s">
        <v>108</v>
      </c>
      <c r="H91" s="425" t="s">
        <v>118</v>
      </c>
      <c r="I91" s="426">
        <v>301</v>
      </c>
    </row>
    <row r="92" spans="1:9" ht="16.2" thickTop="1" x14ac:dyDescent="0.3"/>
    <row r="93" spans="1:9" x14ac:dyDescent="0.3">
      <c r="A93" s="444" t="s">
        <v>364</v>
      </c>
    </row>
  </sheetData>
  <sortState xmlns:xlrd2="http://schemas.microsoft.com/office/spreadsheetml/2017/richdata2" ref="A3:I91">
    <sortCondition ref="B3:B91"/>
    <sortCondition ref="A3:A91"/>
  </sortState>
  <conditionalFormatting sqref="B3:B62">
    <cfRule type="cellIs" dxfId="134" priority="100" operator="equal">
      <formula>9</formula>
    </cfRule>
    <cfRule type="cellIs" dxfId="133" priority="101" operator="equal">
      <formula>8</formula>
    </cfRule>
    <cfRule type="cellIs" dxfId="132" priority="102" operator="equal">
      <formula>7</formula>
    </cfRule>
    <cfRule type="cellIs" dxfId="131" priority="103" operator="equal">
      <formula>6</formula>
    </cfRule>
    <cfRule type="cellIs" dxfId="130" priority="104" operator="equal">
      <formula>5</formula>
    </cfRule>
    <cfRule type="cellIs" dxfId="129" priority="105" operator="equal">
      <formula>4</formula>
    </cfRule>
    <cfRule type="cellIs" dxfId="128" priority="106" operator="equal">
      <formula>3</formula>
    </cfRule>
    <cfRule type="cellIs" dxfId="127" priority="107" operator="equal">
      <formula>2</formula>
    </cfRule>
    <cfRule type="cellIs" dxfId="126" priority="108" operator="equal">
      <formula>1</formula>
    </cfRule>
    <cfRule type="containsBlanks" dxfId="125" priority="109">
      <formula>LEN(TRIM(B3))=0</formula>
    </cfRule>
    <cfRule type="cellIs" dxfId="124" priority="110" operator="equal">
      <formula>0</formula>
    </cfRule>
  </conditionalFormatting>
  <conditionalFormatting sqref="B63:B68 B70">
    <cfRule type="cellIs" dxfId="123" priority="89" operator="equal">
      <formula>9</formula>
    </cfRule>
    <cfRule type="cellIs" dxfId="122" priority="90" operator="equal">
      <formula>8</formula>
    </cfRule>
    <cfRule type="cellIs" dxfId="121" priority="91" operator="equal">
      <formula>7</formula>
    </cfRule>
    <cfRule type="cellIs" dxfId="120" priority="92" operator="equal">
      <formula>6</formula>
    </cfRule>
    <cfRule type="cellIs" dxfId="119" priority="93" operator="equal">
      <formula>5</formula>
    </cfRule>
    <cfRule type="cellIs" dxfId="118" priority="94" operator="equal">
      <formula>4</formula>
    </cfRule>
    <cfRule type="cellIs" dxfId="117" priority="95" operator="equal">
      <formula>3</formula>
    </cfRule>
    <cfRule type="cellIs" dxfId="116" priority="96" operator="equal">
      <formula>2</formula>
    </cfRule>
    <cfRule type="cellIs" dxfId="115" priority="97" operator="equal">
      <formula>1</formula>
    </cfRule>
    <cfRule type="containsBlanks" dxfId="114" priority="98">
      <formula>LEN(TRIM(B63))=0</formula>
    </cfRule>
    <cfRule type="cellIs" dxfId="113" priority="99" operator="equal">
      <formula>0</formula>
    </cfRule>
  </conditionalFormatting>
  <conditionalFormatting sqref="B69">
    <cfRule type="cellIs" dxfId="112" priority="78" operator="equal">
      <formula>9</formula>
    </cfRule>
    <cfRule type="cellIs" dxfId="111" priority="79" operator="equal">
      <formula>8</formula>
    </cfRule>
    <cfRule type="cellIs" dxfId="110" priority="80" operator="equal">
      <formula>7</formula>
    </cfRule>
    <cfRule type="cellIs" dxfId="109" priority="81" operator="equal">
      <formula>6</formula>
    </cfRule>
    <cfRule type="cellIs" dxfId="108" priority="82" operator="equal">
      <formula>5</formula>
    </cfRule>
    <cfRule type="cellIs" dxfId="107" priority="83" operator="equal">
      <formula>4</formula>
    </cfRule>
    <cfRule type="cellIs" dxfId="106" priority="84" operator="equal">
      <formula>3</formula>
    </cfRule>
    <cfRule type="cellIs" dxfId="105" priority="85" operator="equal">
      <formula>2</formula>
    </cfRule>
    <cfRule type="cellIs" dxfId="104" priority="86" operator="equal">
      <formula>1</formula>
    </cfRule>
    <cfRule type="containsBlanks" dxfId="103" priority="87">
      <formula>LEN(TRIM(B69))=0</formula>
    </cfRule>
    <cfRule type="cellIs" dxfId="102" priority="88" operator="equal">
      <formula>0</formula>
    </cfRule>
  </conditionalFormatting>
  <conditionalFormatting sqref="B71:B76 B78">
    <cfRule type="cellIs" dxfId="101" priority="67" operator="equal">
      <formula>9</formula>
    </cfRule>
    <cfRule type="cellIs" dxfId="100" priority="68" operator="equal">
      <formula>8</formula>
    </cfRule>
    <cfRule type="cellIs" dxfId="99" priority="69" operator="equal">
      <formula>7</formula>
    </cfRule>
    <cfRule type="cellIs" dxfId="98" priority="70" operator="equal">
      <formula>6</formula>
    </cfRule>
    <cfRule type="cellIs" dxfId="97" priority="71" operator="equal">
      <formula>5</formula>
    </cfRule>
    <cfRule type="cellIs" dxfId="96" priority="72" operator="equal">
      <formula>4</formula>
    </cfRule>
    <cfRule type="cellIs" dxfId="95" priority="73" operator="equal">
      <formula>3</formula>
    </cfRule>
    <cfRule type="cellIs" dxfId="94" priority="74" operator="equal">
      <formula>2</formula>
    </cfRule>
    <cfRule type="cellIs" dxfId="93" priority="75" operator="equal">
      <formula>1</formula>
    </cfRule>
    <cfRule type="containsBlanks" dxfId="92" priority="76">
      <formula>LEN(TRIM(B71))=0</formula>
    </cfRule>
    <cfRule type="cellIs" dxfId="91" priority="77" operator="equal">
      <formula>0</formula>
    </cfRule>
  </conditionalFormatting>
  <conditionalFormatting sqref="B77">
    <cfRule type="cellIs" dxfId="90" priority="56" operator="equal">
      <formula>9</formula>
    </cfRule>
    <cfRule type="cellIs" dxfId="89" priority="57" operator="equal">
      <formula>8</formula>
    </cfRule>
    <cfRule type="cellIs" dxfId="88" priority="58" operator="equal">
      <formula>7</formula>
    </cfRule>
    <cfRule type="cellIs" dxfId="87" priority="59" operator="equal">
      <formula>6</formula>
    </cfRule>
    <cfRule type="cellIs" dxfId="86" priority="60" operator="equal">
      <formula>5</formula>
    </cfRule>
    <cfRule type="cellIs" dxfId="85" priority="61" operator="equal">
      <formula>4</formula>
    </cfRule>
    <cfRule type="cellIs" dxfId="84" priority="62" operator="equal">
      <formula>3</formula>
    </cfRule>
    <cfRule type="cellIs" dxfId="83" priority="63" operator="equal">
      <formula>2</formula>
    </cfRule>
    <cfRule type="cellIs" dxfId="82" priority="64" operator="equal">
      <formula>1</formula>
    </cfRule>
    <cfRule type="containsBlanks" dxfId="81" priority="65">
      <formula>LEN(TRIM(B77))=0</formula>
    </cfRule>
    <cfRule type="cellIs" dxfId="80" priority="66" operator="equal">
      <formula>0</formula>
    </cfRule>
  </conditionalFormatting>
  <conditionalFormatting sqref="B79:B90">
    <cfRule type="cellIs" dxfId="79" priority="1" operator="equal">
      <formula>9</formula>
    </cfRule>
    <cfRule type="cellIs" dxfId="78" priority="2" operator="equal">
      <formula>8</formula>
    </cfRule>
    <cfRule type="cellIs" dxfId="77" priority="3" operator="equal">
      <formula>7</formula>
    </cfRule>
    <cfRule type="cellIs" dxfId="76" priority="4" operator="equal">
      <formula>6</formula>
    </cfRule>
    <cfRule type="cellIs" dxfId="75" priority="5" operator="equal">
      <formula>5</formula>
    </cfRule>
    <cfRule type="cellIs" dxfId="74" priority="6" operator="equal">
      <formula>4</formula>
    </cfRule>
    <cfRule type="cellIs" dxfId="73" priority="7" operator="equal">
      <formula>3</formula>
    </cfRule>
    <cfRule type="cellIs" dxfId="72" priority="8" operator="equal">
      <formula>2</formula>
    </cfRule>
    <cfRule type="cellIs" dxfId="71" priority="9" operator="equal">
      <formula>1</formula>
    </cfRule>
    <cfRule type="containsBlanks" dxfId="70" priority="10">
      <formula>LEN(TRIM(B79))=0</formula>
    </cfRule>
    <cfRule type="cellIs" dxfId="69" priority="11" operator="equal">
      <formula>0</formula>
    </cfRule>
  </conditionalFormatting>
  <conditionalFormatting sqref="B79:B90">
    <cfRule type="cellIs" dxfId="68" priority="45" operator="equal">
      <formula>9</formula>
    </cfRule>
    <cfRule type="cellIs" dxfId="67" priority="46" operator="equal">
      <formula>8</formula>
    </cfRule>
    <cfRule type="cellIs" dxfId="66" priority="47" operator="equal">
      <formula>7</formula>
    </cfRule>
    <cfRule type="cellIs" dxfId="65" priority="48" operator="equal">
      <formula>6</formula>
    </cfRule>
    <cfRule type="cellIs" dxfId="64" priority="49" operator="equal">
      <formula>5</formula>
    </cfRule>
    <cfRule type="cellIs" dxfId="63" priority="50" operator="equal">
      <formula>4</formula>
    </cfRule>
    <cfRule type="cellIs" dxfId="62" priority="51" operator="equal">
      <formula>3</formula>
    </cfRule>
    <cfRule type="cellIs" dxfId="61" priority="52" operator="equal">
      <formula>2</formula>
    </cfRule>
    <cfRule type="cellIs" dxfId="60" priority="53" operator="equal">
      <formula>1</formula>
    </cfRule>
    <cfRule type="containsBlanks" dxfId="59" priority="54">
      <formula>LEN(TRIM(B79))=0</formula>
    </cfRule>
    <cfRule type="cellIs" dxfId="58" priority="55" operator="equal">
      <formula>0</formula>
    </cfRule>
  </conditionalFormatting>
  <conditionalFormatting sqref="B78">
    <cfRule type="cellIs" dxfId="57" priority="34" operator="equal">
      <formula>9</formula>
    </cfRule>
    <cfRule type="cellIs" dxfId="56" priority="35" operator="equal">
      <formula>8</formula>
    </cfRule>
    <cfRule type="cellIs" dxfId="55" priority="36" operator="equal">
      <formula>7</formula>
    </cfRule>
    <cfRule type="cellIs" dxfId="54" priority="37" operator="equal">
      <formula>6</formula>
    </cfRule>
    <cfRule type="cellIs" dxfId="53" priority="38" operator="equal">
      <formula>5</formula>
    </cfRule>
    <cfRule type="cellIs" dxfId="52" priority="39" operator="equal">
      <formula>4</formula>
    </cfRule>
    <cfRule type="cellIs" dxfId="51" priority="40" operator="equal">
      <formula>3</formula>
    </cfRule>
    <cfRule type="cellIs" dxfId="50" priority="41" operator="equal">
      <formula>2</formula>
    </cfRule>
    <cfRule type="cellIs" dxfId="49" priority="42" operator="equal">
      <formula>1</formula>
    </cfRule>
    <cfRule type="containsBlanks" dxfId="48" priority="43">
      <formula>LEN(TRIM(B78))=0</formula>
    </cfRule>
    <cfRule type="cellIs" dxfId="47" priority="44" operator="equal">
      <formula>0</formula>
    </cfRule>
  </conditionalFormatting>
  <conditionalFormatting sqref="B79:B90">
    <cfRule type="cellIs" dxfId="46" priority="23" operator="equal">
      <formula>9</formula>
    </cfRule>
    <cfRule type="cellIs" dxfId="45" priority="24" operator="equal">
      <formula>8</formula>
    </cfRule>
    <cfRule type="cellIs" dxfId="44" priority="25" operator="equal">
      <formula>7</formula>
    </cfRule>
    <cfRule type="cellIs" dxfId="43" priority="26" operator="equal">
      <formula>6</formula>
    </cfRule>
    <cfRule type="cellIs" dxfId="42" priority="27" operator="equal">
      <formula>5</formula>
    </cfRule>
    <cfRule type="cellIs" dxfId="41" priority="28" operator="equal">
      <formula>4</formula>
    </cfRule>
    <cfRule type="cellIs" dxfId="40" priority="29" operator="equal">
      <formula>3</formula>
    </cfRule>
    <cfRule type="cellIs" dxfId="39" priority="30" operator="equal">
      <formula>2</formula>
    </cfRule>
    <cfRule type="cellIs" dxfId="38" priority="31" operator="equal">
      <formula>1</formula>
    </cfRule>
    <cfRule type="containsBlanks" dxfId="37" priority="32">
      <formula>LEN(TRIM(B79))=0</formula>
    </cfRule>
    <cfRule type="cellIs" dxfId="36" priority="33" operator="equal">
      <formula>0</formula>
    </cfRule>
  </conditionalFormatting>
  <conditionalFormatting sqref="B91">
    <cfRule type="cellIs" dxfId="35" priority="12" operator="equal">
      <formula>9</formula>
    </cfRule>
    <cfRule type="cellIs" dxfId="34" priority="13" operator="equal">
      <formula>8</formula>
    </cfRule>
    <cfRule type="cellIs" dxfId="33" priority="14" operator="equal">
      <formula>7</formula>
    </cfRule>
    <cfRule type="cellIs" dxfId="32" priority="15" operator="equal">
      <formula>6</formula>
    </cfRule>
    <cfRule type="cellIs" dxfId="31" priority="16" operator="equal">
      <formula>5</formula>
    </cfRule>
    <cfRule type="cellIs" dxfId="30" priority="17" operator="equal">
      <formula>4</formula>
    </cfRule>
    <cfRule type="cellIs" dxfId="29" priority="18" operator="equal">
      <formula>3</formula>
    </cfRule>
    <cfRule type="cellIs" dxfId="28" priority="19" operator="equal">
      <formula>2</formula>
    </cfRule>
    <cfRule type="cellIs" dxfId="27" priority="20" operator="equal">
      <formula>1</formula>
    </cfRule>
    <cfRule type="containsBlanks" dxfId="26" priority="21">
      <formula>LEN(TRIM(B91))=0</formula>
    </cfRule>
    <cfRule type="cellIs" dxfId="25" priority="22"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
  <sheetViews>
    <sheetView showGridLines="0" workbookViewId="0"/>
  </sheetViews>
  <sheetFormatPr defaultColWidth="10.59765625" defaultRowHeight="16.8" x14ac:dyDescent="0.3"/>
  <cols>
    <col min="1" max="1" width="32.796875" style="172" bestFit="1" customWidth="1"/>
    <col min="2" max="2" width="2.59765625" style="167" customWidth="1"/>
    <col min="3" max="3" width="34.796875" style="192" bestFit="1" customWidth="1"/>
    <col min="4" max="4" width="3.59765625" style="192" bestFit="1" customWidth="1"/>
    <col min="5" max="5" width="15.796875" style="192" bestFit="1" customWidth="1"/>
    <col min="6" max="6" width="3.59765625" style="192" customWidth="1"/>
    <col min="7" max="7" width="3.3984375" style="192" bestFit="1" customWidth="1"/>
    <col min="8" max="8" width="3.8984375" style="192" bestFit="1" customWidth="1"/>
    <col min="9" max="9" width="3.69921875" style="192" bestFit="1" customWidth="1"/>
    <col min="10" max="15" width="3.59765625" style="192" bestFit="1" customWidth="1"/>
    <col min="16" max="16384" width="10.59765625" style="192"/>
  </cols>
  <sheetData>
    <row r="1" spans="1:15" ht="24" thickTop="1" thickBot="1" x14ac:dyDescent="0.35">
      <c r="A1" s="227" t="s">
        <v>238</v>
      </c>
      <c r="C1" s="70" t="s">
        <v>137</v>
      </c>
      <c r="E1" s="202"/>
      <c r="F1" s="233" t="s">
        <v>130</v>
      </c>
      <c r="G1" s="234"/>
      <c r="H1" s="368"/>
      <c r="I1" s="368"/>
      <c r="J1" s="368"/>
      <c r="K1" s="368"/>
      <c r="L1" s="368"/>
      <c r="M1" s="368"/>
      <c r="N1" s="368"/>
      <c r="O1" s="369"/>
    </row>
    <row r="2" spans="1:15" ht="17.399999999999999" thickBot="1" x14ac:dyDescent="0.35">
      <c r="A2" s="418" t="s">
        <v>334</v>
      </c>
      <c r="C2" s="416" t="s">
        <v>356</v>
      </c>
      <c r="E2" s="202"/>
      <c r="F2" s="235" t="s">
        <v>88</v>
      </c>
      <c r="G2" s="236" t="s">
        <v>81</v>
      </c>
      <c r="H2" s="236" t="s">
        <v>82</v>
      </c>
      <c r="I2" s="236" t="s">
        <v>83</v>
      </c>
      <c r="J2" s="236" t="s">
        <v>84</v>
      </c>
      <c r="K2" s="236" t="s">
        <v>85</v>
      </c>
      <c r="L2" s="236" t="s">
        <v>86</v>
      </c>
      <c r="M2" s="236" t="s">
        <v>87</v>
      </c>
      <c r="N2" s="236" t="s">
        <v>285</v>
      </c>
      <c r="O2" s="237" t="s">
        <v>286</v>
      </c>
    </row>
    <row r="3" spans="1:15" ht="17.399999999999999" thickTop="1" x14ac:dyDescent="0.3">
      <c r="A3" s="416" t="s">
        <v>147</v>
      </c>
      <c r="C3" s="416" t="s">
        <v>357</v>
      </c>
      <c r="E3" s="238" t="s">
        <v>129</v>
      </c>
      <c r="F3" s="370">
        <v>6</v>
      </c>
      <c r="G3" s="371">
        <v>6</v>
      </c>
      <c r="H3" s="371">
        <v>6</v>
      </c>
      <c r="I3" s="371">
        <v>6</v>
      </c>
      <c r="J3" s="371">
        <v>6</v>
      </c>
      <c r="K3" s="371">
        <v>6</v>
      </c>
      <c r="L3" s="371">
        <v>6</v>
      </c>
      <c r="M3" s="388">
        <v>6</v>
      </c>
      <c r="N3" s="388">
        <v>6</v>
      </c>
      <c r="O3" s="395">
        <v>5</v>
      </c>
    </row>
    <row r="4" spans="1:15" x14ac:dyDescent="0.3">
      <c r="A4" s="416" t="s">
        <v>346</v>
      </c>
      <c r="C4" s="416" t="s">
        <v>258</v>
      </c>
      <c r="E4" s="239" t="s">
        <v>128</v>
      </c>
      <c r="F4" s="372">
        <v>0</v>
      </c>
      <c r="G4" s="372">
        <v>2</v>
      </c>
      <c r="H4" s="372">
        <v>2</v>
      </c>
      <c r="I4" s="372">
        <v>2</v>
      </c>
      <c r="J4" s="372">
        <v>1</v>
      </c>
      <c r="K4" s="373">
        <v>1</v>
      </c>
      <c r="L4" s="373">
        <v>1</v>
      </c>
      <c r="M4" s="389">
        <v>1</v>
      </c>
      <c r="N4" s="396">
        <v>0</v>
      </c>
      <c r="O4" s="397">
        <v>0</v>
      </c>
    </row>
    <row r="5" spans="1:15" ht="17.399999999999999" thickBot="1" x14ac:dyDescent="0.35">
      <c r="A5" s="419" t="s">
        <v>347</v>
      </c>
      <c r="C5" s="416" t="s">
        <v>355</v>
      </c>
      <c r="E5" s="311" t="s">
        <v>89</v>
      </c>
      <c r="F5" s="374">
        <f t="shared" ref="F5:J5" si="0">SUM(F3:F4)</f>
        <v>6</v>
      </c>
      <c r="G5" s="374">
        <f t="shared" si="0"/>
        <v>8</v>
      </c>
      <c r="H5" s="374">
        <f t="shared" si="0"/>
        <v>8</v>
      </c>
      <c r="I5" s="374">
        <f t="shared" si="0"/>
        <v>8</v>
      </c>
      <c r="J5" s="374">
        <f t="shared" si="0"/>
        <v>7</v>
      </c>
      <c r="K5" s="374">
        <f t="shared" ref="K5:L5" si="1">SUM(K3:K4)</f>
        <v>7</v>
      </c>
      <c r="L5" s="374">
        <f t="shared" si="1"/>
        <v>7</v>
      </c>
      <c r="M5" s="390">
        <f t="shared" ref="M5:O5" si="2">SUM(M3:M4)</f>
        <v>7</v>
      </c>
      <c r="N5" s="390">
        <f t="shared" si="2"/>
        <v>6</v>
      </c>
      <c r="O5" s="399">
        <f t="shared" si="2"/>
        <v>5</v>
      </c>
    </row>
    <row r="6" spans="1:15" x14ac:dyDescent="0.3">
      <c r="A6" s="416" t="s">
        <v>348</v>
      </c>
      <c r="C6" s="416" t="s">
        <v>350</v>
      </c>
      <c r="E6" s="310" t="s">
        <v>78</v>
      </c>
      <c r="F6" s="375">
        <f>10+LEFT(F2,1)+'Personal File'!$C$16</f>
        <v>17</v>
      </c>
      <c r="G6" s="375">
        <f>10+LEFT(G2,1)+'Personal File'!$C$16</f>
        <v>18</v>
      </c>
      <c r="H6" s="375">
        <f>10+LEFT(H2,1)+'Personal File'!$C$16</f>
        <v>19</v>
      </c>
      <c r="I6" s="375">
        <f>10+LEFT(I2,1)+'Personal File'!$C$16</f>
        <v>20</v>
      </c>
      <c r="J6" s="375">
        <f>10+LEFT(J2,1)+'Personal File'!$C$16</f>
        <v>21</v>
      </c>
      <c r="K6" s="375">
        <f>10+LEFT(K2,1)+'Personal File'!$C$16</f>
        <v>22</v>
      </c>
      <c r="L6" s="375">
        <f>10+LEFT(L2,1)+'Personal File'!$C$16</f>
        <v>23</v>
      </c>
      <c r="M6" s="391">
        <f>10+LEFT(M2,1)+'Personal File'!$C$16</f>
        <v>24</v>
      </c>
      <c r="N6" s="393">
        <f>10+LEFT(N2,1)+'Personal File'!$C$16</f>
        <v>25</v>
      </c>
      <c r="O6" s="376">
        <f>10+LEFT(O2,1)+'Personal File'!$C$16</f>
        <v>26</v>
      </c>
    </row>
    <row r="7" spans="1:15" ht="17.399999999999999" thickBot="1" x14ac:dyDescent="0.35">
      <c r="A7" s="416" t="s">
        <v>349</v>
      </c>
      <c r="C7" s="416" t="s">
        <v>146</v>
      </c>
      <c r="E7" s="240" t="s">
        <v>79</v>
      </c>
      <c r="F7" s="377">
        <v>0</v>
      </c>
      <c r="G7" s="377">
        <v>1</v>
      </c>
      <c r="H7" s="377">
        <v>0</v>
      </c>
      <c r="I7" s="377">
        <v>0</v>
      </c>
      <c r="J7" s="377">
        <v>0</v>
      </c>
      <c r="K7" s="377">
        <v>0</v>
      </c>
      <c r="L7" s="377">
        <v>1</v>
      </c>
      <c r="M7" s="392">
        <v>0</v>
      </c>
      <c r="N7" s="392">
        <v>1</v>
      </c>
      <c r="O7" s="398">
        <v>1</v>
      </c>
    </row>
    <row r="8" spans="1:15" ht="18" thickTop="1" thickBot="1" x14ac:dyDescent="0.35">
      <c r="A8" s="420" t="s">
        <v>380</v>
      </c>
      <c r="C8" s="416" t="s">
        <v>252</v>
      </c>
      <c r="E8" s="202"/>
      <c r="F8" s="202"/>
      <c r="G8" s="202"/>
      <c r="H8" s="202"/>
      <c r="I8" s="202"/>
      <c r="J8" s="202"/>
      <c r="K8" s="202"/>
      <c r="L8" s="202"/>
      <c r="M8" s="202"/>
      <c r="N8" s="202"/>
      <c r="O8" s="202"/>
    </row>
    <row r="9" spans="1:15" ht="18" thickTop="1" thickBot="1" x14ac:dyDescent="0.35">
      <c r="C9" s="416" t="s">
        <v>326</v>
      </c>
      <c r="E9" s="380" t="s">
        <v>121</v>
      </c>
      <c r="F9" s="381" t="s">
        <v>132</v>
      </c>
      <c r="G9" s="381"/>
      <c r="H9" s="382" t="s">
        <v>131</v>
      </c>
      <c r="I9" s="382"/>
      <c r="J9" s="383"/>
      <c r="K9" s="202"/>
      <c r="L9" s="202"/>
      <c r="M9" s="202"/>
      <c r="N9" s="202"/>
      <c r="O9" s="202"/>
    </row>
    <row r="10" spans="1:15" ht="22.2" thickTop="1" thickBot="1" x14ac:dyDescent="0.35">
      <c r="A10" s="439" t="s">
        <v>322</v>
      </c>
      <c r="C10" s="416" t="s">
        <v>138</v>
      </c>
      <c r="E10" s="384" t="s">
        <v>126</v>
      </c>
      <c r="F10" s="385">
        <f>'Personal File'!$E$3</f>
        <v>20</v>
      </c>
      <c r="G10" s="385"/>
      <c r="H10" s="387">
        <f>F10+4+1</f>
        <v>25</v>
      </c>
      <c r="I10" s="385"/>
      <c r="J10" s="386"/>
      <c r="K10" s="202"/>
      <c r="L10" s="202"/>
      <c r="M10" s="202"/>
      <c r="N10" s="202"/>
      <c r="O10" s="202"/>
    </row>
    <row r="11" spans="1:15" ht="17.399999999999999" thickBot="1" x14ac:dyDescent="0.35">
      <c r="A11" s="440" t="s">
        <v>323</v>
      </c>
      <c r="C11" s="417" t="s">
        <v>427</v>
      </c>
    </row>
    <row r="12" spans="1:15" ht="18" thickTop="1" thickBot="1" x14ac:dyDescent="0.35">
      <c r="A12" s="441" t="s">
        <v>324</v>
      </c>
    </row>
    <row r="13" spans="1:15" ht="24" thickTop="1" thickBot="1" x14ac:dyDescent="0.35">
      <c r="A13" s="442" t="s">
        <v>325</v>
      </c>
      <c r="C13" s="378" t="s">
        <v>59</v>
      </c>
    </row>
    <row r="14" spans="1:15" ht="18" thickTop="1" thickBot="1" x14ac:dyDescent="0.35">
      <c r="C14" s="394" t="s">
        <v>320</v>
      </c>
    </row>
    <row r="15" spans="1:15" ht="24" thickTop="1" thickBot="1" x14ac:dyDescent="0.35">
      <c r="A15" s="379" t="s">
        <v>71</v>
      </c>
      <c r="C15" s="72" t="s">
        <v>321</v>
      </c>
    </row>
    <row r="16" spans="1:15" x14ac:dyDescent="0.3">
      <c r="A16" s="71" t="s">
        <v>222</v>
      </c>
    </row>
    <row r="17" spans="1:3" ht="17.399999999999999" thickBot="1" x14ac:dyDescent="0.35">
      <c r="A17" s="72" t="s">
        <v>221</v>
      </c>
    </row>
    <row r="18" spans="1:3" ht="17.399999999999999" thickTop="1" x14ac:dyDescent="0.3">
      <c r="C18" s="167"/>
    </row>
    <row r="19" spans="1:3" x14ac:dyDescent="0.3">
      <c r="C19" s="167"/>
    </row>
    <row r="20" spans="1:3" x14ac:dyDescent="0.3">
      <c r="A20" s="192"/>
      <c r="C20" s="167"/>
    </row>
    <row r="21" spans="1:3" x14ac:dyDescent="0.3">
      <c r="C21" s="167"/>
    </row>
    <row r="22" spans="1:3" x14ac:dyDescent="0.3">
      <c r="C22" s="167"/>
    </row>
    <row r="23" spans="1:3" x14ac:dyDescent="0.3">
      <c r="C23" s="167"/>
    </row>
  </sheetData>
  <sortState xmlns:xlrd2="http://schemas.microsoft.com/office/spreadsheetml/2017/richdata2" ref="C2:C5">
    <sortCondition ref="C2:C5"/>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2"/>
  <sheetViews>
    <sheetView showGridLines="0" workbookViewId="0"/>
  </sheetViews>
  <sheetFormatPr defaultColWidth="9.69921875" defaultRowHeight="15.6" x14ac:dyDescent="0.3"/>
  <cols>
    <col min="1" max="1" width="34.8984375" style="30" bestFit="1" customWidth="1"/>
    <col min="2" max="2" width="14.19921875" style="30" bestFit="1" customWidth="1"/>
    <col min="3" max="3" width="4.296875" style="30" bestFit="1" customWidth="1"/>
    <col min="4" max="4" width="7.296875" style="30" customWidth="1"/>
    <col min="5" max="5" width="8.09765625" style="30" bestFit="1" customWidth="1"/>
    <col min="6" max="6" width="8.3984375" style="30" bestFit="1" customWidth="1"/>
    <col min="7" max="7" width="4.69921875" style="30" bestFit="1" customWidth="1"/>
    <col min="8" max="8" width="5.69921875" style="30" bestFit="1" customWidth="1"/>
    <col min="9" max="9" width="5.59765625" style="30" bestFit="1" customWidth="1"/>
    <col min="10" max="10" width="6.296875" style="30" bestFit="1" customWidth="1"/>
    <col min="11" max="11" width="22.8984375" style="30" bestFit="1" customWidth="1"/>
    <col min="12" max="12" width="1.8984375" style="25" customWidth="1"/>
    <col min="13" max="13" width="9.296875" style="208" bestFit="1" customWidth="1"/>
    <col min="14" max="14" width="9.69921875" style="30"/>
    <col min="15" max="16384" width="9.69921875" style="25"/>
  </cols>
  <sheetData>
    <row r="1" spans="1:13" ht="23.4" thickBot="1" x14ac:dyDescent="0.35">
      <c r="A1" s="23" t="s">
        <v>14</v>
      </c>
      <c r="B1" s="23"/>
      <c r="C1" s="23"/>
      <c r="D1" s="23"/>
      <c r="E1" s="23"/>
      <c r="F1" s="23"/>
      <c r="G1" s="23"/>
      <c r="H1" s="23"/>
      <c r="I1" s="23"/>
      <c r="J1" s="23"/>
      <c r="K1" s="23"/>
    </row>
    <row r="2" spans="1:13" ht="16.8" thickTop="1" thickBot="1" x14ac:dyDescent="0.35">
      <c r="A2" s="41" t="s">
        <v>0</v>
      </c>
      <c r="B2" s="42" t="s">
        <v>1</v>
      </c>
      <c r="C2" s="42" t="s">
        <v>16</v>
      </c>
      <c r="D2" s="42" t="s">
        <v>17</v>
      </c>
      <c r="E2" s="43" t="s">
        <v>55</v>
      </c>
      <c r="F2" s="42" t="s">
        <v>15</v>
      </c>
      <c r="G2" s="42" t="s">
        <v>18</v>
      </c>
      <c r="H2" s="44" t="s">
        <v>72</v>
      </c>
      <c r="I2" s="459" t="s">
        <v>74</v>
      </c>
      <c r="J2" s="44" t="s">
        <v>65</v>
      </c>
      <c r="K2" s="45" t="s">
        <v>63</v>
      </c>
      <c r="M2" s="209" t="s">
        <v>117</v>
      </c>
    </row>
    <row r="3" spans="1:13" x14ac:dyDescent="0.3">
      <c r="A3" s="325" t="s">
        <v>343</v>
      </c>
      <c r="B3" s="326" t="s">
        <v>354</v>
      </c>
      <c r="C3" s="327" t="str">
        <f>'Personal File'!$C$11</f>
        <v>+3</v>
      </c>
      <c r="D3" s="328" t="s">
        <v>244</v>
      </c>
      <c r="E3" s="328" t="s">
        <v>116</v>
      </c>
      <c r="F3" s="329" t="s">
        <v>153</v>
      </c>
      <c r="G3" s="330">
        <v>2</v>
      </c>
      <c r="H3" s="331">
        <f>'Personal File'!$B$8+'Personal File'!$C$11+D3</f>
        <v>16</v>
      </c>
      <c r="I3" s="460">
        <f t="shared" ref="I3:I10" ca="1" si="0">RANDBETWEEN(1,20)</f>
        <v>13</v>
      </c>
      <c r="J3" s="332">
        <f t="shared" ref="J3:J11" ca="1" si="1">I3+H3</f>
        <v>29</v>
      </c>
      <c r="K3" s="333" t="s">
        <v>378</v>
      </c>
      <c r="M3" s="334">
        <v>8000</v>
      </c>
    </row>
    <row r="4" spans="1:13" x14ac:dyDescent="0.3">
      <c r="A4" s="335" t="s">
        <v>289</v>
      </c>
      <c r="B4" s="336" t="s">
        <v>354</v>
      </c>
      <c r="C4" s="337" t="str">
        <f>'Personal File'!$C$11</f>
        <v>+3</v>
      </c>
      <c r="D4" s="338" t="s">
        <v>244</v>
      </c>
      <c r="E4" s="338" t="s">
        <v>116</v>
      </c>
      <c r="F4" s="339" t="s">
        <v>153</v>
      </c>
      <c r="G4" s="340" t="s">
        <v>76</v>
      </c>
      <c r="H4" s="331">
        <f>H3-5</f>
        <v>11</v>
      </c>
      <c r="I4" s="460">
        <f t="shared" ca="1" si="0"/>
        <v>17</v>
      </c>
      <c r="J4" s="332">
        <f t="shared" ref="J4" ca="1" si="2">I4+H4</f>
        <v>28</v>
      </c>
      <c r="K4" s="341" t="s">
        <v>378</v>
      </c>
      <c r="M4" s="347" t="s">
        <v>76</v>
      </c>
    </row>
    <row r="5" spans="1:13" x14ac:dyDescent="0.3">
      <c r="A5" s="335" t="s">
        <v>290</v>
      </c>
      <c r="B5" s="336" t="s">
        <v>354</v>
      </c>
      <c r="C5" s="337" t="str">
        <f>'Personal File'!$C$11</f>
        <v>+3</v>
      </c>
      <c r="D5" s="338" t="s">
        <v>244</v>
      </c>
      <c r="E5" s="338" t="s">
        <v>116</v>
      </c>
      <c r="F5" s="339" t="s">
        <v>153</v>
      </c>
      <c r="G5" s="340" t="s">
        <v>76</v>
      </c>
      <c r="H5" s="331">
        <f>H3</f>
        <v>16</v>
      </c>
      <c r="I5" s="460">
        <f t="shared" ca="1" si="0"/>
        <v>19</v>
      </c>
      <c r="J5" s="332">
        <f t="shared" ref="J5" ca="1" si="3">I5+H5</f>
        <v>35</v>
      </c>
      <c r="K5" s="341" t="s">
        <v>378</v>
      </c>
      <c r="M5" s="347" t="s">
        <v>76</v>
      </c>
    </row>
    <row r="6" spans="1:13" x14ac:dyDescent="0.3">
      <c r="A6" s="322" t="s">
        <v>407</v>
      </c>
      <c r="B6" s="342" t="s">
        <v>76</v>
      </c>
      <c r="C6" s="343" t="s">
        <v>76</v>
      </c>
      <c r="D6" s="344" t="s">
        <v>76</v>
      </c>
      <c r="E6" s="344" t="s">
        <v>76</v>
      </c>
      <c r="F6" s="345" t="s">
        <v>76</v>
      </c>
      <c r="G6" s="324" t="s">
        <v>76</v>
      </c>
      <c r="H6" s="346" t="s">
        <v>76</v>
      </c>
      <c r="I6" s="461" t="s">
        <v>76</v>
      </c>
      <c r="J6" s="324" t="s">
        <v>76</v>
      </c>
      <c r="K6" s="323" t="s">
        <v>408</v>
      </c>
      <c r="M6" s="211">
        <v>6000</v>
      </c>
    </row>
    <row r="7" spans="1:13" x14ac:dyDescent="0.3">
      <c r="A7" s="322" t="s">
        <v>410</v>
      </c>
      <c r="B7" s="342" t="s">
        <v>154</v>
      </c>
      <c r="C7" s="343" t="s">
        <v>411</v>
      </c>
      <c r="D7" s="344" t="s">
        <v>412</v>
      </c>
      <c r="E7" s="344" t="s">
        <v>76</v>
      </c>
      <c r="F7" s="345" t="s">
        <v>76</v>
      </c>
      <c r="G7" s="324" t="s">
        <v>76</v>
      </c>
      <c r="H7" s="346" t="s">
        <v>76</v>
      </c>
      <c r="I7" s="461" t="s">
        <v>76</v>
      </c>
      <c r="J7" s="324" t="s">
        <v>76</v>
      </c>
      <c r="K7" s="323"/>
      <c r="M7" s="211">
        <v>10000</v>
      </c>
    </row>
    <row r="8" spans="1:13" x14ac:dyDescent="0.3">
      <c r="A8" s="313" t="s">
        <v>387</v>
      </c>
      <c r="B8" s="314" t="s">
        <v>154</v>
      </c>
      <c r="C8" s="315" t="str">
        <f>'Personal File'!C11</f>
        <v>+3</v>
      </c>
      <c r="D8" s="316" t="s">
        <v>216</v>
      </c>
      <c r="E8" s="316" t="s">
        <v>116</v>
      </c>
      <c r="F8" s="317" t="s">
        <v>92</v>
      </c>
      <c r="G8" s="318">
        <v>0</v>
      </c>
      <c r="H8" s="308">
        <f>'Personal File'!$B$8+D8</f>
        <v>14</v>
      </c>
      <c r="I8" s="462">
        <f t="shared" ca="1" si="0"/>
        <v>12</v>
      </c>
      <c r="J8" s="308">
        <f t="shared" ref="J8" ca="1" si="4">I8+H8</f>
        <v>26</v>
      </c>
      <c r="K8" s="319"/>
      <c r="M8" s="320" t="s">
        <v>76</v>
      </c>
    </row>
    <row r="9" spans="1:13" x14ac:dyDescent="0.3">
      <c r="A9" s="350" t="s">
        <v>241</v>
      </c>
      <c r="B9" s="303" t="s">
        <v>291</v>
      </c>
      <c r="C9" s="304">
        <v>0</v>
      </c>
      <c r="D9" s="305" t="s">
        <v>53</v>
      </c>
      <c r="E9" s="305" t="s">
        <v>116</v>
      </c>
      <c r="F9" s="306" t="s">
        <v>92</v>
      </c>
      <c r="G9" s="307">
        <v>0</v>
      </c>
      <c r="H9" s="308">
        <f>8+'Personal File'!$E$3+D9</f>
        <v>28</v>
      </c>
      <c r="I9" s="462">
        <f t="shared" ca="1" si="0"/>
        <v>9</v>
      </c>
      <c r="J9" s="308">
        <f t="shared" ref="J9" ca="1" si="5">I9+H9</f>
        <v>37</v>
      </c>
      <c r="K9" s="309"/>
      <c r="M9" s="312" t="s">
        <v>76</v>
      </c>
    </row>
    <row r="10" spans="1:13" x14ac:dyDescent="0.3">
      <c r="A10" s="350" t="s">
        <v>283</v>
      </c>
      <c r="B10" s="303" t="s">
        <v>390</v>
      </c>
      <c r="C10" s="304">
        <v>3</v>
      </c>
      <c r="D10" s="305" t="s">
        <v>216</v>
      </c>
      <c r="E10" s="305" t="s">
        <v>389</v>
      </c>
      <c r="F10" s="306" t="s">
        <v>153</v>
      </c>
      <c r="G10" s="307">
        <v>0</v>
      </c>
      <c r="H10" s="308">
        <f>'Feats &amp; Spells'!$H$10+'Personal File'!$C$16+D10</f>
        <v>35</v>
      </c>
      <c r="I10" s="462">
        <f t="shared" ca="1" si="0"/>
        <v>6</v>
      </c>
      <c r="J10" s="308">
        <f t="shared" ref="J10" ca="1" si="6">I10+H10</f>
        <v>41</v>
      </c>
      <c r="K10" s="309" t="s">
        <v>388</v>
      </c>
      <c r="M10" s="312" t="s">
        <v>76</v>
      </c>
    </row>
    <row r="11" spans="1:13" ht="16.2" thickBot="1" x14ac:dyDescent="0.35">
      <c r="A11" s="15" t="s">
        <v>239</v>
      </c>
      <c r="B11" s="16" t="s">
        <v>93</v>
      </c>
      <c r="C11" s="17" t="str">
        <f>'Personal File'!$C$11</f>
        <v>+3</v>
      </c>
      <c r="D11" s="18" t="s">
        <v>53</v>
      </c>
      <c r="E11" s="18" t="s">
        <v>116</v>
      </c>
      <c r="F11" s="19" t="s">
        <v>92</v>
      </c>
      <c r="G11" s="20">
        <v>0</v>
      </c>
      <c r="H11" s="21">
        <f>'Personal File'!$B$8+'Personal File'!$C$11+D11</f>
        <v>14</v>
      </c>
      <c r="I11" s="463">
        <f t="shared" ref="I11" ca="1" si="7">RANDBETWEEN(1,20)</f>
        <v>6</v>
      </c>
      <c r="J11" s="46">
        <f t="shared" ca="1" si="1"/>
        <v>20</v>
      </c>
      <c r="K11" s="22"/>
      <c r="M11" s="226" t="s">
        <v>76</v>
      </c>
    </row>
    <row r="12" spans="1:13" ht="6" customHeight="1" thickTop="1" thickBot="1" x14ac:dyDescent="0.35">
      <c r="I12" s="47"/>
      <c r="J12" s="47"/>
      <c r="M12" s="213"/>
    </row>
    <row r="13" spans="1:13" ht="16.8" thickTop="1" thickBot="1" x14ac:dyDescent="0.35">
      <c r="A13" s="41" t="s">
        <v>3</v>
      </c>
      <c r="B13" s="42" t="s">
        <v>4</v>
      </c>
      <c r="C13" s="42" t="s">
        <v>16</v>
      </c>
      <c r="D13" s="42" t="s">
        <v>17</v>
      </c>
      <c r="E13" s="43" t="s">
        <v>55</v>
      </c>
      <c r="F13" s="42" t="s">
        <v>5</v>
      </c>
      <c r="G13" s="42" t="s">
        <v>18</v>
      </c>
      <c r="H13" s="44" t="s">
        <v>72</v>
      </c>
      <c r="I13" s="459" t="s">
        <v>74</v>
      </c>
      <c r="J13" s="44" t="s">
        <v>65</v>
      </c>
      <c r="K13" s="45" t="s">
        <v>63</v>
      </c>
      <c r="M13" s="209" t="s">
        <v>117</v>
      </c>
    </row>
    <row r="14" spans="1:13" x14ac:dyDescent="0.3">
      <c r="A14" s="325" t="s">
        <v>409</v>
      </c>
      <c r="B14" s="326" t="s">
        <v>353</v>
      </c>
      <c r="C14" s="327">
        <v>3</v>
      </c>
      <c r="D14" s="328" t="s">
        <v>216</v>
      </c>
      <c r="E14" s="328" t="s">
        <v>116</v>
      </c>
      <c r="F14" s="329" t="s">
        <v>262</v>
      </c>
      <c r="G14" s="330">
        <v>0</v>
      </c>
      <c r="H14" s="331">
        <f>'Personal File'!$B$8+'Personal File'!$C$12+D14</f>
        <v>21</v>
      </c>
      <c r="I14" s="460">
        <f t="shared" ref="I14:I18" ca="1" si="8">RANDBETWEEN(1,20)</f>
        <v>1</v>
      </c>
      <c r="J14" s="332">
        <f t="shared" ref="J14:J18" ca="1" si="9">I14+H14</f>
        <v>22</v>
      </c>
      <c r="K14" s="333"/>
      <c r="M14" s="334">
        <v>18000</v>
      </c>
    </row>
    <row r="15" spans="1:13" x14ac:dyDescent="0.3">
      <c r="A15" s="335" t="s">
        <v>351</v>
      </c>
      <c r="B15" s="336" t="s">
        <v>353</v>
      </c>
      <c r="C15" s="337">
        <v>2</v>
      </c>
      <c r="D15" s="338" t="s">
        <v>244</v>
      </c>
      <c r="E15" s="338" t="s">
        <v>116</v>
      </c>
      <c r="F15" s="339" t="s">
        <v>262</v>
      </c>
      <c r="G15" s="340" t="s">
        <v>76</v>
      </c>
      <c r="H15" s="331">
        <f>H14-5</f>
        <v>16</v>
      </c>
      <c r="I15" s="460">
        <f t="shared" ca="1" si="8"/>
        <v>5</v>
      </c>
      <c r="J15" s="332">
        <f t="shared" ca="1" si="9"/>
        <v>21</v>
      </c>
      <c r="K15" s="341"/>
      <c r="M15" s="347" t="s">
        <v>76</v>
      </c>
    </row>
    <row r="16" spans="1:13" x14ac:dyDescent="0.3">
      <c r="A16" s="322" t="s">
        <v>352</v>
      </c>
      <c r="B16" s="200" t="s">
        <v>353</v>
      </c>
      <c r="C16" s="359">
        <v>2</v>
      </c>
      <c r="D16" s="360" t="s">
        <v>244</v>
      </c>
      <c r="E16" s="360" t="s">
        <v>116</v>
      </c>
      <c r="F16" s="361" t="s">
        <v>262</v>
      </c>
      <c r="G16" s="324" t="s">
        <v>76</v>
      </c>
      <c r="H16" s="206">
        <f>H14</f>
        <v>21</v>
      </c>
      <c r="I16" s="461">
        <f t="shared" ca="1" si="8"/>
        <v>15</v>
      </c>
      <c r="J16" s="207">
        <f t="shared" ref="J16" ca="1" si="10">I16+H16</f>
        <v>36</v>
      </c>
      <c r="K16" s="323"/>
      <c r="M16" s="362" t="s">
        <v>76</v>
      </c>
    </row>
    <row r="17" spans="1:14" x14ac:dyDescent="0.3">
      <c r="A17" s="335" t="s">
        <v>261</v>
      </c>
      <c r="B17" s="336" t="s">
        <v>263</v>
      </c>
      <c r="C17" s="337">
        <v>0</v>
      </c>
      <c r="D17" s="338" t="s">
        <v>53</v>
      </c>
      <c r="E17" s="338" t="s">
        <v>116</v>
      </c>
      <c r="F17" s="339" t="s">
        <v>257</v>
      </c>
      <c r="G17" s="364">
        <f>K17</f>
        <v>10</v>
      </c>
      <c r="H17" s="206">
        <f>H15</f>
        <v>16</v>
      </c>
      <c r="I17" s="461">
        <f t="shared" ca="1" si="8"/>
        <v>4</v>
      </c>
      <c r="J17" s="207">
        <f t="shared" ref="J17" ca="1" si="11">I17+H17</f>
        <v>20</v>
      </c>
      <c r="K17" s="341">
        <v>10</v>
      </c>
      <c r="M17" s="363">
        <f>20*K17</f>
        <v>200</v>
      </c>
    </row>
    <row r="18" spans="1:14" x14ac:dyDescent="0.3">
      <c r="A18" s="302" t="s">
        <v>240</v>
      </c>
      <c r="B18" s="303" t="s">
        <v>76</v>
      </c>
      <c r="C18" s="349" t="str">
        <f>'Personal File'!C14</f>
        <v>+6</v>
      </c>
      <c r="D18" s="305" t="s">
        <v>152</v>
      </c>
      <c r="E18" s="305" t="s">
        <v>76</v>
      </c>
      <c r="F18" s="306" t="s">
        <v>76</v>
      </c>
      <c r="G18" s="307" t="s">
        <v>76</v>
      </c>
      <c r="H18" s="308">
        <f>'Personal File'!$B$8+'Personal File'!$C$12+D18</f>
        <v>19</v>
      </c>
      <c r="I18" s="462">
        <f t="shared" ca="1" si="8"/>
        <v>1</v>
      </c>
      <c r="J18" s="308">
        <f t="shared" ca="1" si="9"/>
        <v>20</v>
      </c>
      <c r="K18" s="309" t="s">
        <v>219</v>
      </c>
      <c r="M18" s="312" t="s">
        <v>76</v>
      </c>
    </row>
    <row r="19" spans="1:14" ht="16.2" thickBot="1" x14ac:dyDescent="0.35">
      <c r="A19" s="244" t="s">
        <v>136</v>
      </c>
      <c r="B19" s="245" t="s">
        <v>242</v>
      </c>
      <c r="C19" s="246" t="s">
        <v>76</v>
      </c>
      <c r="D19" s="246" t="s">
        <v>76</v>
      </c>
      <c r="E19" s="245" t="s">
        <v>76</v>
      </c>
      <c r="F19" s="246" t="s">
        <v>76</v>
      </c>
      <c r="G19" s="247" t="s">
        <v>76</v>
      </c>
      <c r="H19" s="248">
        <f>'Feats &amp; Spells'!F10</f>
        <v>20</v>
      </c>
      <c r="I19" s="464">
        <f t="shared" ref="I19" ca="1" si="12">RANDBETWEEN(1,20)</f>
        <v>9</v>
      </c>
      <c r="J19" s="248">
        <f t="shared" ref="J19" ca="1" si="13">I19+H19</f>
        <v>29</v>
      </c>
      <c r="K19" s="249"/>
      <c r="M19" s="250" t="s">
        <v>76</v>
      </c>
    </row>
    <row r="20" spans="1:14" ht="6" customHeight="1" thickTop="1" thickBot="1" x14ac:dyDescent="0.35">
      <c r="D20" s="48"/>
      <c r="E20" s="48"/>
      <c r="G20" s="40"/>
      <c r="H20" s="40"/>
      <c r="I20" s="47"/>
      <c r="J20" s="40"/>
      <c r="M20" s="213"/>
    </row>
    <row r="21" spans="1:14" ht="16.8" thickTop="1" thickBot="1" x14ac:dyDescent="0.35">
      <c r="A21" s="41" t="s">
        <v>57</v>
      </c>
      <c r="B21" s="42" t="s">
        <v>8</v>
      </c>
      <c r="C21" s="42" t="s">
        <v>25</v>
      </c>
      <c r="D21" s="42" t="s">
        <v>65</v>
      </c>
      <c r="E21" s="42" t="s">
        <v>66</v>
      </c>
      <c r="F21" s="42" t="s">
        <v>67</v>
      </c>
      <c r="G21" s="42" t="s">
        <v>18</v>
      </c>
      <c r="H21" s="49" t="s">
        <v>63</v>
      </c>
      <c r="I21" s="50"/>
      <c r="J21" s="50"/>
      <c r="K21" s="51"/>
      <c r="M21" s="209" t="s">
        <v>117</v>
      </c>
    </row>
    <row r="22" spans="1:14" x14ac:dyDescent="0.3">
      <c r="A22" s="267" t="s">
        <v>406</v>
      </c>
      <c r="B22" s="474">
        <f>5+5</f>
        <v>10</v>
      </c>
      <c r="C22" s="475">
        <v>7</v>
      </c>
      <c r="D22" s="474">
        <v>0</v>
      </c>
      <c r="E22" s="476">
        <v>0.3</v>
      </c>
      <c r="F22" s="477" t="s">
        <v>96</v>
      </c>
      <c r="G22" s="268">
        <v>20</v>
      </c>
      <c r="H22" s="269"/>
      <c r="I22" s="270"/>
      <c r="J22" s="270"/>
      <c r="K22" s="271"/>
      <c r="M22" s="468">
        <f>150+300+(9*9*1000)+3000</f>
        <v>84450</v>
      </c>
      <c r="N22" s="47"/>
    </row>
    <row r="23" spans="1:14" x14ac:dyDescent="0.3">
      <c r="A23" s="427" t="s">
        <v>405</v>
      </c>
      <c r="B23" s="200">
        <v>5</v>
      </c>
      <c r="C23" s="428" t="s">
        <v>76</v>
      </c>
      <c r="D23" s="200" t="s">
        <v>76</v>
      </c>
      <c r="E23" s="429" t="s">
        <v>76</v>
      </c>
      <c r="F23" s="430" t="s">
        <v>76</v>
      </c>
      <c r="G23" s="431">
        <v>1</v>
      </c>
      <c r="H23" s="432"/>
      <c r="I23" s="433"/>
      <c r="J23" s="433"/>
      <c r="K23" s="434"/>
      <c r="L23" s="202"/>
      <c r="M23" s="468">
        <v>25000</v>
      </c>
      <c r="N23" s="47"/>
    </row>
    <row r="24" spans="1:14" x14ac:dyDescent="0.3">
      <c r="A24" s="427" t="s">
        <v>344</v>
      </c>
      <c r="B24" s="200" t="s">
        <v>76</v>
      </c>
      <c r="C24" s="428" t="s">
        <v>76</v>
      </c>
      <c r="D24" s="200" t="s">
        <v>76</v>
      </c>
      <c r="E24" s="429" t="s">
        <v>76</v>
      </c>
      <c r="F24" s="430" t="s">
        <v>76</v>
      </c>
      <c r="G24" s="431">
        <v>0</v>
      </c>
      <c r="H24" s="432"/>
      <c r="I24" s="433"/>
      <c r="J24" s="433"/>
      <c r="K24" s="434"/>
      <c r="L24" s="202"/>
      <c r="M24" s="363">
        <v>500</v>
      </c>
      <c r="N24" s="47"/>
    </row>
    <row r="25" spans="1:14" x14ac:dyDescent="0.3">
      <c r="A25" s="272" t="s">
        <v>342</v>
      </c>
      <c r="B25" s="273">
        <v>4</v>
      </c>
      <c r="C25" s="274">
        <v>1</v>
      </c>
      <c r="D25" s="273">
        <v>0</v>
      </c>
      <c r="E25" s="275">
        <v>0.05</v>
      </c>
      <c r="F25" s="276" t="s">
        <v>76</v>
      </c>
      <c r="G25" s="277">
        <v>5</v>
      </c>
      <c r="H25" s="278"/>
      <c r="I25" s="279"/>
      <c r="J25" s="279"/>
      <c r="K25" s="280"/>
      <c r="M25" s="281">
        <v>9000</v>
      </c>
      <c r="N25" s="47"/>
    </row>
    <row r="26" spans="1:14" x14ac:dyDescent="0.3">
      <c r="A26" s="272" t="s">
        <v>149</v>
      </c>
      <c r="B26" s="273" t="s">
        <v>150</v>
      </c>
      <c r="C26" s="274" t="s">
        <v>76</v>
      </c>
      <c r="D26" s="273" t="s">
        <v>76</v>
      </c>
      <c r="E26" s="275" t="s">
        <v>76</v>
      </c>
      <c r="F26" s="276" t="s">
        <v>76</v>
      </c>
      <c r="G26" s="277">
        <v>0</v>
      </c>
      <c r="H26" s="278" t="s">
        <v>151</v>
      </c>
      <c r="I26" s="279"/>
      <c r="J26" s="279"/>
      <c r="K26" s="280"/>
      <c r="M26" s="281">
        <v>1000</v>
      </c>
      <c r="N26" s="47"/>
    </row>
    <row r="27" spans="1:14" ht="16.2" thickBot="1" x14ac:dyDescent="0.35">
      <c r="A27" s="450" t="s">
        <v>377</v>
      </c>
      <c r="B27" s="451">
        <v>4</v>
      </c>
      <c r="C27" s="452"/>
      <c r="D27" s="451"/>
      <c r="E27" s="453"/>
      <c r="F27" s="451"/>
      <c r="G27" s="454"/>
      <c r="H27" s="455"/>
      <c r="I27" s="456"/>
      <c r="J27" s="456"/>
      <c r="K27" s="457"/>
      <c r="M27" s="458"/>
    </row>
    <row r="28" spans="1:14" ht="6.75" customHeight="1" thickTop="1" thickBot="1" x14ac:dyDescent="0.35">
      <c r="M28" s="213"/>
    </row>
    <row r="29" spans="1:14" ht="16.8" thickTop="1" thickBot="1" x14ac:dyDescent="0.35">
      <c r="A29" s="53"/>
      <c r="B29" s="40"/>
      <c r="D29" s="54" t="s">
        <v>58</v>
      </c>
      <c r="E29" s="55"/>
      <c r="F29" s="49" t="s">
        <v>2</v>
      </c>
      <c r="G29" s="42" t="s">
        <v>18</v>
      </c>
      <c r="H29" s="44" t="s">
        <v>72</v>
      </c>
      <c r="I29" s="49" t="s">
        <v>63</v>
      </c>
      <c r="J29" s="50"/>
      <c r="K29" s="51"/>
      <c r="M29" s="209" t="s">
        <v>117</v>
      </c>
    </row>
    <row r="30" spans="1:14" x14ac:dyDescent="0.3">
      <c r="A30" s="53"/>
      <c r="B30" s="255"/>
      <c r="D30" s="56" t="s">
        <v>365</v>
      </c>
      <c r="E30" s="57"/>
      <c r="F30" s="58">
        <v>20</v>
      </c>
      <c r="G30" s="14">
        <f>0.1*F30</f>
        <v>2</v>
      </c>
      <c r="H30" s="59" t="s">
        <v>215</v>
      </c>
      <c r="I30" s="60"/>
      <c r="J30" s="61"/>
      <c r="K30" s="62"/>
      <c r="M30" s="210">
        <f>0.005*F30</f>
        <v>0.1</v>
      </c>
    </row>
    <row r="31" spans="1:14" ht="16.2" thickBot="1" x14ac:dyDescent="0.35">
      <c r="A31" s="53"/>
      <c r="B31" s="255"/>
      <c r="D31" s="63"/>
      <c r="E31" s="64"/>
      <c r="F31" s="65"/>
      <c r="G31" s="20"/>
      <c r="H31" s="66"/>
      <c r="I31" s="67"/>
      <c r="J31" s="68"/>
      <c r="K31" s="52"/>
      <c r="M31" s="212"/>
    </row>
    <row r="32" spans="1:14" ht="16.8" thickTop="1" thickBot="1" x14ac:dyDescent="0.35">
      <c r="B32" s="25"/>
    </row>
    <row r="33" spans="1:14" ht="16.8" thickTop="1" thickBot="1" x14ac:dyDescent="0.35">
      <c r="B33" s="25"/>
      <c r="D33" s="54" t="s">
        <v>115</v>
      </c>
      <c r="E33" s="50"/>
      <c r="F33" s="50"/>
      <c r="G33" s="50"/>
      <c r="H33" s="69" t="s">
        <v>2</v>
      </c>
      <c r="I33" s="69" t="s">
        <v>77</v>
      </c>
      <c r="J33" s="69" t="s">
        <v>94</v>
      </c>
      <c r="K33" s="51" t="s">
        <v>63</v>
      </c>
      <c r="M33" s="209" t="s">
        <v>117</v>
      </c>
    </row>
    <row r="34" spans="1:14" x14ac:dyDescent="0.3">
      <c r="B34" s="25"/>
      <c r="D34" s="198" t="s">
        <v>386</v>
      </c>
      <c r="E34" s="199"/>
      <c r="F34" s="199"/>
      <c r="G34" s="199"/>
      <c r="H34" s="200">
        <v>1</v>
      </c>
      <c r="I34" s="200">
        <v>2</v>
      </c>
      <c r="J34" s="200">
        <v>4</v>
      </c>
      <c r="K34" s="201" t="s">
        <v>432</v>
      </c>
      <c r="L34" s="202"/>
      <c r="M34" s="211">
        <f>25*H34*I34*J34*LEFT(K34,2)</f>
        <v>8200</v>
      </c>
      <c r="N34" s="47"/>
    </row>
    <row r="35" spans="1:14" ht="16.2" thickBot="1" x14ac:dyDescent="0.35">
      <c r="B35" s="25"/>
      <c r="D35" s="203" t="s">
        <v>418</v>
      </c>
      <c r="E35" s="204"/>
      <c r="F35" s="204"/>
      <c r="G35" s="204"/>
      <c r="H35" s="16">
        <v>1</v>
      </c>
      <c r="I35" s="16">
        <v>1</v>
      </c>
      <c r="J35" s="16">
        <v>2</v>
      </c>
      <c r="K35" s="205" t="s">
        <v>385</v>
      </c>
      <c r="M35" s="212">
        <f t="shared" ref="M35" si="14">25*H35*I35*J35*LEFT(K35,2)</f>
        <v>1650</v>
      </c>
      <c r="N35" s="47"/>
    </row>
    <row r="36" spans="1:14" ht="16.2" thickTop="1" x14ac:dyDescent="0.3">
      <c r="A36" s="25"/>
      <c r="B36" s="25"/>
    </row>
    <row r="37" spans="1:14" x14ac:dyDescent="0.3">
      <c r="A37" s="25"/>
      <c r="B37" s="25"/>
      <c r="K37" s="154" t="s">
        <v>122</v>
      </c>
      <c r="L37" s="202"/>
      <c r="M37" s="288">
        <f>SUM(M3:M35)</f>
        <v>172000.1</v>
      </c>
    </row>
    <row r="38" spans="1:14" x14ac:dyDescent="0.3">
      <c r="A38" s="25"/>
      <c r="B38" s="25"/>
    </row>
    <row r="39" spans="1:14" x14ac:dyDescent="0.3">
      <c r="A39" s="25"/>
      <c r="B39" s="25"/>
    </row>
    <row r="40" spans="1:14" x14ac:dyDescent="0.3">
      <c r="A40" s="25"/>
      <c r="B40" s="25"/>
    </row>
    <row r="41" spans="1:14" x14ac:dyDescent="0.3">
      <c r="A41" s="25"/>
      <c r="B41" s="25"/>
    </row>
    <row r="42" spans="1:14" x14ac:dyDescent="0.3">
      <c r="A42" s="25"/>
      <c r="B42" s="25"/>
    </row>
  </sheetData>
  <sortState xmlns:xlrd2="http://schemas.microsoft.com/office/spreadsheetml/2017/richdata2" ref="D21:K42">
    <sortCondition ref="I21:I42"/>
    <sortCondition ref="D21:D42"/>
  </sortState>
  <phoneticPr fontId="0" type="noConversion"/>
  <conditionalFormatting sqref="I11">
    <cfRule type="cellIs" dxfId="24" priority="33" operator="equal">
      <formula>20</formula>
    </cfRule>
    <cfRule type="cellIs" dxfId="23" priority="34" operator="equal">
      <formula>1</formula>
    </cfRule>
  </conditionalFormatting>
  <conditionalFormatting sqref="I19">
    <cfRule type="cellIs" dxfId="22" priority="29" operator="equal">
      <formula>20</formula>
    </cfRule>
    <cfRule type="cellIs" dxfId="21" priority="30" operator="equal">
      <formula>1</formula>
    </cfRule>
  </conditionalFormatting>
  <conditionalFormatting sqref="I3:I4 I6">
    <cfRule type="cellIs" dxfId="20" priority="23" operator="equal">
      <formula>20</formula>
    </cfRule>
    <cfRule type="cellIs" dxfId="19" priority="24" operator="equal">
      <formula>1</formula>
    </cfRule>
  </conditionalFormatting>
  <conditionalFormatting sqref="I14:I16">
    <cfRule type="cellIs" dxfId="18" priority="19" operator="equal">
      <formula>20</formula>
    </cfRule>
    <cfRule type="cellIs" dxfId="17" priority="20" operator="equal">
      <formula>1</formula>
    </cfRule>
  </conditionalFormatting>
  <conditionalFormatting sqref="I9">
    <cfRule type="cellIs" dxfId="16" priority="15" operator="equal">
      <formula>20</formula>
    </cfRule>
    <cfRule type="cellIs" dxfId="15" priority="16" operator="equal">
      <formula>1</formula>
    </cfRule>
  </conditionalFormatting>
  <conditionalFormatting sqref="I18">
    <cfRule type="cellIs" dxfId="14" priority="11" operator="equal">
      <formula>20</formula>
    </cfRule>
    <cfRule type="cellIs" dxfId="13" priority="12" operator="equal">
      <formula>1</formula>
    </cfRule>
  </conditionalFormatting>
  <conditionalFormatting sqref="I8">
    <cfRule type="cellIs" dxfId="12" priority="9" operator="equal">
      <formula>20</formula>
    </cfRule>
    <cfRule type="cellIs" dxfId="11" priority="10" operator="equal">
      <formula>1</formula>
    </cfRule>
  </conditionalFormatting>
  <conditionalFormatting sqref="I5">
    <cfRule type="cellIs" dxfId="10" priority="7" operator="equal">
      <formula>20</formula>
    </cfRule>
    <cfRule type="cellIs" dxfId="9" priority="8" operator="equal">
      <formula>1</formula>
    </cfRule>
  </conditionalFormatting>
  <conditionalFormatting sqref="I17">
    <cfRule type="cellIs" dxfId="8" priority="5" operator="equal">
      <formula>20</formula>
    </cfRule>
    <cfRule type="cellIs" dxfId="7" priority="6" operator="equal">
      <formula>1</formula>
    </cfRule>
  </conditionalFormatting>
  <conditionalFormatting sqref="I10">
    <cfRule type="cellIs" dxfId="6" priority="3" operator="equal">
      <formula>20</formula>
    </cfRule>
    <cfRule type="cellIs" dxfId="5" priority="4" operator="equal">
      <formula>1</formula>
    </cfRule>
  </conditionalFormatting>
  <conditionalFormatting sqref="I7">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8"/>
  <sheetViews>
    <sheetView showGridLines="0" workbookViewId="0"/>
  </sheetViews>
  <sheetFormatPr defaultColWidth="8.59765625" defaultRowHeight="15.6" x14ac:dyDescent="0.3"/>
  <cols>
    <col min="1" max="1" width="30.3984375" style="30" bestFit="1" customWidth="1"/>
    <col min="2" max="2" width="8.296875" style="30" bestFit="1" customWidth="1"/>
    <col min="3" max="3" width="4.3984375" style="40" bestFit="1" customWidth="1"/>
    <col min="4" max="5" width="32.09765625" style="25" customWidth="1"/>
    <col min="6" max="6" width="2.3984375" style="25" customWidth="1"/>
    <col min="7" max="7" width="9.296875" style="25" bestFit="1" customWidth="1"/>
    <col min="8" max="16384" width="8.59765625" style="25"/>
  </cols>
  <sheetData>
    <row r="1" spans="1:9" ht="23.4" thickBot="1" x14ac:dyDescent="0.35">
      <c r="A1" s="23" t="s">
        <v>60</v>
      </c>
      <c r="B1" s="23"/>
      <c r="C1" s="24"/>
      <c r="D1" s="23"/>
      <c r="E1" s="23"/>
    </row>
    <row r="2" spans="1:9" s="30" customFormat="1" ht="16.8" thickTop="1" thickBot="1" x14ac:dyDescent="0.35">
      <c r="A2" s="26" t="s">
        <v>61</v>
      </c>
      <c r="B2" s="26" t="s">
        <v>2</v>
      </c>
      <c r="C2" s="27" t="s">
        <v>18</v>
      </c>
      <c r="D2" s="28" t="s">
        <v>62</v>
      </c>
      <c r="E2" s="29" t="s">
        <v>63</v>
      </c>
      <c r="G2" s="256" t="s">
        <v>117</v>
      </c>
      <c r="I2" s="25"/>
    </row>
    <row r="3" spans="1:9" x14ac:dyDescent="0.3">
      <c r="A3" s="446" t="s">
        <v>374</v>
      </c>
      <c r="B3" s="447">
        <v>1</v>
      </c>
      <c r="C3" s="32" t="s">
        <v>150</v>
      </c>
      <c r="D3" s="351"/>
      <c r="E3" s="448"/>
      <c r="G3" s="321" t="s">
        <v>76</v>
      </c>
    </row>
    <row r="4" spans="1:9" x14ac:dyDescent="0.3">
      <c r="A4" s="446" t="s">
        <v>376</v>
      </c>
      <c r="B4" s="31">
        <v>2</v>
      </c>
      <c r="C4" s="32">
        <f>0.5*B4</f>
        <v>1</v>
      </c>
      <c r="D4" s="449"/>
      <c r="E4" s="448"/>
      <c r="F4" s="202"/>
      <c r="G4" s="257">
        <v>0</v>
      </c>
    </row>
    <row r="5" spans="1:9" x14ac:dyDescent="0.3">
      <c r="A5" s="446" t="s">
        <v>367</v>
      </c>
      <c r="B5" s="447">
        <v>1</v>
      </c>
      <c r="C5" s="32">
        <v>0.5</v>
      </c>
      <c r="D5" s="351"/>
      <c r="E5" s="448"/>
      <c r="F5" s="445"/>
      <c r="G5" s="352" t="s">
        <v>76</v>
      </c>
    </row>
    <row r="6" spans="1:9" x14ac:dyDescent="0.3">
      <c r="A6" s="446" t="s">
        <v>421</v>
      </c>
      <c r="B6" s="447">
        <v>1</v>
      </c>
      <c r="C6" s="32">
        <v>0</v>
      </c>
      <c r="D6" s="351" t="s">
        <v>424</v>
      </c>
      <c r="E6" s="448" t="s">
        <v>425</v>
      </c>
      <c r="F6" s="445"/>
      <c r="G6" s="352"/>
    </row>
    <row r="7" spans="1:9" x14ac:dyDescent="0.3">
      <c r="A7" s="446" t="s">
        <v>422</v>
      </c>
      <c r="B7" s="447">
        <v>1</v>
      </c>
      <c r="C7" s="32">
        <v>0</v>
      </c>
      <c r="D7" s="351"/>
      <c r="E7" s="448"/>
      <c r="F7" s="445"/>
      <c r="G7" s="352">
        <v>5000</v>
      </c>
    </row>
    <row r="8" spans="1:9" x14ac:dyDescent="0.3">
      <c r="A8" s="446" t="s">
        <v>423</v>
      </c>
      <c r="B8" s="447">
        <v>1</v>
      </c>
      <c r="C8" s="32">
        <v>5</v>
      </c>
      <c r="D8" s="351"/>
      <c r="E8" s="448"/>
      <c r="F8" s="445"/>
      <c r="G8" s="352">
        <v>10000</v>
      </c>
    </row>
    <row r="9" spans="1:9" x14ac:dyDescent="0.3">
      <c r="A9" s="446" t="s">
        <v>413</v>
      </c>
      <c r="B9" s="447">
        <v>1</v>
      </c>
      <c r="C9" s="32">
        <v>0</v>
      </c>
      <c r="D9" s="351"/>
      <c r="E9" s="448"/>
      <c r="F9" s="445"/>
      <c r="G9" s="352">
        <v>180000</v>
      </c>
    </row>
    <row r="10" spans="1:9" x14ac:dyDescent="0.3">
      <c r="A10" s="446" t="s">
        <v>414</v>
      </c>
      <c r="B10" s="447">
        <v>1</v>
      </c>
      <c r="C10" s="32">
        <v>0</v>
      </c>
      <c r="D10" s="351"/>
      <c r="E10" s="448"/>
      <c r="F10" s="445"/>
      <c r="G10" s="352">
        <v>75000</v>
      </c>
    </row>
    <row r="11" spans="1:9" x14ac:dyDescent="0.3">
      <c r="A11" s="469" t="s">
        <v>429</v>
      </c>
      <c r="B11" s="470">
        <v>1</v>
      </c>
      <c r="C11" s="32">
        <v>2</v>
      </c>
      <c r="D11" s="471"/>
      <c r="E11" s="448"/>
      <c r="F11" s="202"/>
      <c r="G11" s="257">
        <f>8000+32000</f>
        <v>40000</v>
      </c>
    </row>
    <row r="12" spans="1:9" x14ac:dyDescent="0.3">
      <c r="A12" s="472" t="s">
        <v>419</v>
      </c>
      <c r="B12" s="283">
        <v>1</v>
      </c>
      <c r="C12" s="353">
        <v>0</v>
      </c>
      <c r="D12" s="351"/>
      <c r="E12" s="448"/>
      <c r="F12" s="47"/>
      <c r="G12" s="352">
        <v>36000</v>
      </c>
    </row>
    <row r="13" spans="1:9" x14ac:dyDescent="0.3">
      <c r="A13" s="446" t="s">
        <v>417</v>
      </c>
      <c r="B13" s="31">
        <v>1</v>
      </c>
      <c r="C13" s="353">
        <v>0</v>
      </c>
      <c r="D13" s="367"/>
      <c r="E13" s="354"/>
      <c r="F13" s="202"/>
      <c r="G13" s="352">
        <v>3400</v>
      </c>
    </row>
    <row r="14" spans="1:9" x14ac:dyDescent="0.3">
      <c r="A14" s="446" t="s">
        <v>415</v>
      </c>
      <c r="B14" s="447">
        <v>1</v>
      </c>
      <c r="C14" s="32">
        <v>0</v>
      </c>
      <c r="D14" s="351"/>
      <c r="E14" s="448"/>
      <c r="F14" s="445"/>
      <c r="G14" s="352">
        <v>38000</v>
      </c>
    </row>
    <row r="15" spans="1:9" x14ac:dyDescent="0.3">
      <c r="A15" s="469" t="s">
        <v>416</v>
      </c>
      <c r="B15" s="470">
        <v>1</v>
      </c>
      <c r="C15" s="32">
        <v>1</v>
      </c>
      <c r="D15" s="471"/>
      <c r="E15" s="448"/>
      <c r="F15"/>
      <c r="G15" s="257">
        <v>750</v>
      </c>
    </row>
    <row r="16" spans="1:9" x14ac:dyDescent="0.3">
      <c r="A16" s="446" t="s">
        <v>345</v>
      </c>
      <c r="B16" s="447">
        <v>1</v>
      </c>
      <c r="C16" s="32">
        <v>1</v>
      </c>
      <c r="D16" s="351"/>
      <c r="E16" s="448"/>
      <c r="G16" s="284">
        <v>9000</v>
      </c>
    </row>
    <row r="17" spans="1:7" ht="16.2" thickBot="1" x14ac:dyDescent="0.35">
      <c r="A17" s="33" t="s">
        <v>260</v>
      </c>
      <c r="B17" s="34">
        <v>1</v>
      </c>
      <c r="C17" s="35">
        <v>2</v>
      </c>
      <c r="D17" s="36"/>
      <c r="E17" s="37"/>
      <c r="G17" s="258">
        <v>36000</v>
      </c>
    </row>
    <row r="18" spans="1:7" ht="24" thickTop="1" thickBot="1" x14ac:dyDescent="0.35">
      <c r="A18" s="23" t="s">
        <v>64</v>
      </c>
      <c r="B18" s="23"/>
      <c r="C18" s="38"/>
      <c r="D18" s="23"/>
      <c r="E18" s="39"/>
      <c r="G18" s="38"/>
    </row>
    <row r="19" spans="1:7" ht="16.8" thickTop="1" thickBot="1" x14ac:dyDescent="0.35">
      <c r="A19" s="26" t="s">
        <v>61</v>
      </c>
      <c r="B19" s="26" t="s">
        <v>2</v>
      </c>
      <c r="C19" s="27" t="s">
        <v>18</v>
      </c>
      <c r="D19" s="28" t="s">
        <v>62</v>
      </c>
      <c r="E19" s="29" t="s">
        <v>63</v>
      </c>
      <c r="G19" s="256" t="s">
        <v>117</v>
      </c>
    </row>
    <row r="20" spans="1:7" x14ac:dyDescent="0.3">
      <c r="A20" s="446" t="s">
        <v>91</v>
      </c>
      <c r="B20" s="447">
        <v>1</v>
      </c>
      <c r="C20" s="32">
        <v>0.5</v>
      </c>
      <c r="D20" s="351"/>
      <c r="E20" s="448"/>
      <c r="F20" s="202"/>
      <c r="G20" s="352">
        <v>1</v>
      </c>
    </row>
    <row r="21" spans="1:7" x14ac:dyDescent="0.3">
      <c r="A21" s="446" t="s">
        <v>375</v>
      </c>
      <c r="B21" s="447">
        <v>1</v>
      </c>
      <c r="C21" s="32">
        <v>7</v>
      </c>
      <c r="D21" s="351"/>
      <c r="E21" s="448"/>
      <c r="F21" s="202"/>
      <c r="G21" s="352">
        <v>0</v>
      </c>
    </row>
    <row r="22" spans="1:7" x14ac:dyDescent="0.3">
      <c r="A22" s="446" t="s">
        <v>368</v>
      </c>
      <c r="B22" s="447">
        <v>1</v>
      </c>
      <c r="C22" s="32">
        <v>0</v>
      </c>
      <c r="D22" s="351"/>
      <c r="E22" s="448"/>
      <c r="F22" s="202"/>
      <c r="G22" s="352">
        <v>1</v>
      </c>
    </row>
    <row r="23" spans="1:7" x14ac:dyDescent="0.3">
      <c r="A23" s="446" t="s">
        <v>370</v>
      </c>
      <c r="B23" s="447">
        <v>1</v>
      </c>
      <c r="C23" s="32">
        <v>0</v>
      </c>
      <c r="D23" s="351"/>
      <c r="E23" s="448"/>
      <c r="F23" s="202"/>
      <c r="G23" s="352">
        <v>8</v>
      </c>
    </row>
    <row r="24" spans="1:7" x14ac:dyDescent="0.3">
      <c r="A24" s="446" t="s">
        <v>372</v>
      </c>
      <c r="B24" s="447">
        <v>1</v>
      </c>
      <c r="C24" s="32">
        <v>0.5</v>
      </c>
      <c r="D24" s="282"/>
      <c r="E24" s="448"/>
      <c r="F24" s="202"/>
      <c r="G24" s="352">
        <v>1</v>
      </c>
    </row>
    <row r="25" spans="1:7" x14ac:dyDescent="0.3">
      <c r="A25" s="446" t="s">
        <v>373</v>
      </c>
      <c r="B25" s="447">
        <v>1</v>
      </c>
      <c r="C25" s="32">
        <v>0</v>
      </c>
      <c r="D25" s="351"/>
      <c r="E25" s="448"/>
      <c r="F25" s="202"/>
      <c r="G25" s="352">
        <v>0</v>
      </c>
    </row>
    <row r="26" spans="1:7" x14ac:dyDescent="0.3">
      <c r="A26" s="446" t="s">
        <v>369</v>
      </c>
      <c r="B26" s="283">
        <v>1</v>
      </c>
      <c r="C26" s="353">
        <v>4</v>
      </c>
      <c r="D26" s="367"/>
      <c r="E26" s="354"/>
      <c r="F26" s="47"/>
      <c r="G26" s="352">
        <v>1</v>
      </c>
    </row>
    <row r="27" spans="1:7" x14ac:dyDescent="0.3">
      <c r="A27" s="446" t="s">
        <v>371</v>
      </c>
      <c r="B27" s="283">
        <v>1</v>
      </c>
      <c r="C27" s="353">
        <v>5</v>
      </c>
      <c r="D27" s="367"/>
      <c r="E27" s="354"/>
      <c r="F27" s="47"/>
      <c r="G27" s="352">
        <v>0</v>
      </c>
    </row>
    <row r="28" spans="1:7" x14ac:dyDescent="0.3">
      <c r="A28" s="446" t="s">
        <v>370</v>
      </c>
      <c r="B28" s="447">
        <v>1</v>
      </c>
      <c r="C28" s="32">
        <v>0</v>
      </c>
      <c r="D28" s="351"/>
      <c r="E28" s="448"/>
      <c r="F28" s="202"/>
      <c r="G28" s="352">
        <v>8</v>
      </c>
    </row>
    <row r="29" spans="1:7" x14ac:dyDescent="0.3">
      <c r="A29" s="365" t="s">
        <v>264</v>
      </c>
      <c r="B29" s="366">
        <v>16</v>
      </c>
      <c r="C29" s="353">
        <f>B29</f>
        <v>16</v>
      </c>
      <c r="D29" s="367"/>
      <c r="E29" s="354"/>
      <c r="F29" s="47"/>
      <c r="G29" s="257">
        <v>0</v>
      </c>
    </row>
    <row r="30" spans="1:7" ht="16.2" thickBot="1" x14ac:dyDescent="0.35">
      <c r="A30" s="33" t="s">
        <v>384</v>
      </c>
      <c r="B30" s="34">
        <v>0</v>
      </c>
      <c r="C30" s="35">
        <f t="shared" ref="C30" si="0">B30/100</f>
        <v>0</v>
      </c>
      <c r="D30" s="36"/>
      <c r="E30" s="37"/>
      <c r="G30" s="258">
        <f>B30</f>
        <v>0</v>
      </c>
    </row>
    <row r="31" spans="1:7" ht="22.8" thickTop="1" thickBot="1" x14ac:dyDescent="0.35">
      <c r="A31" s="483"/>
      <c r="B31" s="483"/>
      <c r="C31" s="483"/>
      <c r="D31" s="484" t="s">
        <v>430</v>
      </c>
      <c r="E31" s="485"/>
      <c r="F31" s="47"/>
      <c r="G31" s="47">
        <v>10000</v>
      </c>
    </row>
    <row r="32" spans="1:7" ht="16.8" thickTop="1" thickBot="1" x14ac:dyDescent="0.35">
      <c r="A32" s="26" t="s">
        <v>61</v>
      </c>
      <c r="B32" s="26" t="s">
        <v>2</v>
      </c>
      <c r="C32" s="27" t="s">
        <v>18</v>
      </c>
      <c r="D32" s="28" t="s">
        <v>62</v>
      </c>
      <c r="E32" s="29" t="s">
        <v>63</v>
      </c>
      <c r="F32" s="47"/>
      <c r="G32" s="256" t="s">
        <v>117</v>
      </c>
    </row>
    <row r="33" spans="1:7" x14ac:dyDescent="0.3">
      <c r="A33" s="495"/>
      <c r="B33" s="496"/>
      <c r="C33" s="497"/>
      <c r="D33" s="498"/>
      <c r="E33" s="499"/>
      <c r="F33" s="47"/>
      <c r="G33" s="352"/>
    </row>
    <row r="34" spans="1:7" x14ac:dyDescent="0.3">
      <c r="A34" s="469"/>
      <c r="B34" s="470"/>
      <c r="C34" s="32"/>
      <c r="D34" s="471"/>
      <c r="E34" s="448"/>
      <c r="F34" s="47"/>
      <c r="G34" s="352"/>
    </row>
    <row r="35" spans="1:7" x14ac:dyDescent="0.3">
      <c r="A35" s="469"/>
      <c r="B35" s="470"/>
      <c r="C35" s="32"/>
      <c r="D35" s="471"/>
      <c r="E35" s="448"/>
      <c r="F35" s="47"/>
      <c r="G35" s="352"/>
    </row>
    <row r="36" spans="1:7" x14ac:dyDescent="0.3">
      <c r="A36" s="469"/>
      <c r="B36" s="470"/>
      <c r="C36" s="32"/>
      <c r="D36" s="471"/>
      <c r="E36" s="448"/>
      <c r="F36" s="47"/>
      <c r="G36" s="352"/>
    </row>
    <row r="37" spans="1:7" x14ac:dyDescent="0.3">
      <c r="A37" s="469"/>
      <c r="B37" s="470"/>
      <c r="C37" s="32"/>
      <c r="D37" s="471"/>
      <c r="E37" s="448"/>
      <c r="F37" s="47"/>
      <c r="G37" s="352"/>
    </row>
    <row r="38" spans="1:7" x14ac:dyDescent="0.3">
      <c r="A38" s="469"/>
      <c r="B38" s="470"/>
      <c r="C38" s="32"/>
      <c r="D38" s="471"/>
      <c r="E38" s="448"/>
      <c r="F38" s="47"/>
      <c r="G38" s="257"/>
    </row>
    <row r="39" spans="1:7" x14ac:dyDescent="0.3">
      <c r="A39" s="469"/>
      <c r="B39" s="470"/>
      <c r="C39" s="32"/>
      <c r="D39" s="471"/>
      <c r="E39" s="448"/>
      <c r="F39" s="47"/>
      <c r="G39" s="257"/>
    </row>
    <row r="40" spans="1:7" x14ac:dyDescent="0.3">
      <c r="A40" s="469"/>
      <c r="B40" s="470"/>
      <c r="C40" s="32"/>
      <c r="D40" s="471"/>
      <c r="E40" s="448"/>
      <c r="F40" s="47"/>
      <c r="G40" s="486"/>
    </row>
    <row r="41" spans="1:7" x14ac:dyDescent="0.3">
      <c r="A41" s="469"/>
      <c r="B41" s="470"/>
      <c r="C41" s="32"/>
      <c r="D41" s="471"/>
      <c r="E41" s="448"/>
      <c r="F41" s="47"/>
      <c r="G41" s="257"/>
    </row>
    <row r="42" spans="1:7" x14ac:dyDescent="0.3">
      <c r="A42" s="469"/>
      <c r="B42" s="470"/>
      <c r="C42" s="32"/>
      <c r="D42" s="471"/>
      <c r="E42" s="448"/>
      <c r="F42" s="47"/>
      <c r="G42" s="486"/>
    </row>
    <row r="43" spans="1:7" ht="16.2" thickBot="1" x14ac:dyDescent="0.35">
      <c r="A43" s="487"/>
      <c r="B43" s="488"/>
      <c r="C43" s="489"/>
      <c r="D43" s="490"/>
      <c r="E43" s="491"/>
      <c r="F43" s="47"/>
      <c r="G43" s="492"/>
    </row>
    <row r="44" spans="1:7" ht="16.2" thickTop="1" x14ac:dyDescent="0.3">
      <c r="A44" s="154" t="s">
        <v>431</v>
      </c>
      <c r="B44" s="493">
        <f>C44/1500</f>
        <v>0</v>
      </c>
      <c r="C44" s="494">
        <f>SUM(C33:C43)</f>
        <v>0</v>
      </c>
    </row>
    <row r="45" spans="1:7" x14ac:dyDescent="0.3">
      <c r="E45" s="154" t="s">
        <v>122</v>
      </c>
      <c r="F45" s="202"/>
      <c r="G45" s="288">
        <f>SUM(G3:G43)</f>
        <v>443170</v>
      </c>
    </row>
    <row r="46" spans="1:7" x14ac:dyDescent="0.3">
      <c r="E46" s="154" t="s">
        <v>123</v>
      </c>
      <c r="F46" s="202"/>
      <c r="G46" s="288">
        <f>G45+Martial!M37</f>
        <v>615170.1</v>
      </c>
    </row>
    <row r="47" spans="1:7" x14ac:dyDescent="0.3">
      <c r="E47" s="154" t="s">
        <v>366</v>
      </c>
      <c r="F47" s="47"/>
      <c r="G47" s="288">
        <v>580000</v>
      </c>
    </row>
    <row r="48" spans="1:7" x14ac:dyDescent="0.3">
      <c r="G48" s="473"/>
    </row>
  </sheetData>
  <sortState xmlns:xlrd2="http://schemas.microsoft.com/office/spreadsheetml/2017/richdata2" ref="A57:D69">
    <sortCondition ref="A57:A69"/>
  </sortState>
  <phoneticPr fontId="0" type="noConversion"/>
  <conditionalFormatting sqref="G45:G46">
    <cfRule type="cellIs" dxfId="2" priority="5" operator="lessThan">
      <formula>0</formula>
    </cfRule>
  </conditionalFormatting>
  <conditionalFormatting sqref="G47">
    <cfRule type="cellIs" dxfId="1" priority="2" operator="lessThan">
      <formula>0</formula>
    </cfRule>
  </conditionalFormatting>
  <conditionalFormatting sqref="B44">
    <cfRule type="cellIs" dxfId="0"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Warmage</vt:lpstr>
      <vt:lpstr>Feats &amp; Spells</vt:lpstr>
      <vt:lpstr>Martial</vt:lpstr>
      <vt:lpstr>Equipment</vt:lpstr>
      <vt:lpstr>'Personal File'!Print_Area</vt:lpstr>
      <vt:lpstr>Skills!Print_Area</vt:lpstr>
      <vt:lpstr>Warmage!Print_Area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2022-11-28T19:05:30Z</dcterms:modified>
</cp:coreProperties>
</file>