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C:\A\Juegos\NLM\"/>
    </mc:Choice>
  </mc:AlternateContent>
  <xr:revisionPtr revIDLastSave="0" documentId="13_ncr:1_{B0007662-0D1B-4F15-8FAC-F1F97CE5D15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6" l="1"/>
  <c r="C3" i="6"/>
  <c r="B8" i="4"/>
  <c r="B7" i="4" l="1"/>
  <c r="I6" i="6" l="1"/>
  <c r="C14" i="20"/>
  <c r="I11" i="6" l="1"/>
  <c r="H24" i="15"/>
  <c r="H25" i="15"/>
  <c r="H23" i="15"/>
  <c r="H22" i="15"/>
  <c r="H38" i="15"/>
  <c r="H36" i="15"/>
  <c r="H18" i="15"/>
  <c r="H16" i="15"/>
  <c r="H15" i="15"/>
  <c r="H14" i="15"/>
  <c r="H13" i="15"/>
  <c r="H12" i="15"/>
  <c r="H11" i="15"/>
  <c r="H10" i="15"/>
  <c r="H9" i="15"/>
  <c r="H8" i="15"/>
  <c r="H7" i="15"/>
  <c r="H37" i="15"/>
  <c r="B13" i="6" l="1"/>
  <c r="H21" i="15"/>
  <c r="F21" i="15"/>
  <c r="F9" i="15"/>
  <c r="F23" i="15"/>
  <c r="F39" i="15"/>
  <c r="F33" i="15"/>
  <c r="F26" i="15"/>
  <c r="F16" i="15"/>
  <c r="F7" i="15"/>
  <c r="B9" i="4" l="1"/>
  <c r="M32" i="6"/>
  <c r="M33" i="6"/>
  <c r="M34" i="6"/>
  <c r="B5" i="4" l="1"/>
  <c r="B12" i="4" l="1"/>
  <c r="I4" i="6" l="1"/>
  <c r="C20" i="19" l="1"/>
  <c r="M25" i="6" l="1"/>
  <c r="M26" i="6"/>
  <c r="M27" i="6"/>
  <c r="M28" i="6"/>
  <c r="G21" i="19" s="1"/>
  <c r="M29" i="6"/>
  <c r="I12" i="6" l="1"/>
  <c r="G27" i="6" l="1"/>
  <c r="G28" i="6"/>
  <c r="G29" i="6"/>
  <c r="G24" i="6"/>
  <c r="G25" i="6"/>
  <c r="G26" i="6"/>
  <c r="I5" i="6" l="1"/>
  <c r="K13" i="6" l="1"/>
  <c r="H41" i="15" l="1"/>
  <c r="H31" i="15" l="1"/>
  <c r="I3" i="6" l="1"/>
  <c r="I7" i="6"/>
  <c r="H3" i="15" l="1"/>
  <c r="H4" i="15"/>
  <c r="H5" i="15"/>
  <c r="H6" i="15"/>
  <c r="H17" i="15"/>
  <c r="H19" i="15"/>
  <c r="H20" i="15"/>
  <c r="E55" i="15" l="1"/>
  <c r="H26" i="15" l="1"/>
  <c r="H27" i="15"/>
  <c r="H28" i="15"/>
  <c r="H29" i="15"/>
  <c r="H30" i="15"/>
  <c r="H35" i="15" l="1"/>
  <c r="H40" i="15"/>
  <c r="H39" i="15"/>
  <c r="H34" i="15"/>
  <c r="H33" i="15"/>
  <c r="H32" i="15"/>
  <c r="I14" i="6" l="1"/>
  <c r="I10" i="6"/>
  <c r="B42" i="15" l="1"/>
  <c r="E8" i="4" l="1"/>
  <c r="C12" i="4" l="1"/>
  <c r="C3" i="20" s="1"/>
  <c r="C11" i="4"/>
  <c r="C10" i="4"/>
  <c r="C9" i="4"/>
  <c r="E9" i="4" s="1"/>
  <c r="C8" i="4"/>
  <c r="C7" i="4"/>
  <c r="H6" i="6" l="1"/>
  <c r="J6" i="6" s="1"/>
  <c r="C12" i="6"/>
  <c r="H11" i="6"/>
  <c r="J11" i="6" s="1"/>
  <c r="H10" i="6"/>
  <c r="J10" i="6" s="1"/>
  <c r="E54" i="15"/>
  <c r="E53" i="15"/>
  <c r="E52" i="15"/>
  <c r="E48" i="15"/>
  <c r="E44" i="15"/>
  <c r="E51" i="15"/>
  <c r="E47" i="15"/>
  <c r="E45" i="15"/>
  <c r="E50" i="15"/>
  <c r="E46" i="15"/>
  <c r="E43" i="15"/>
  <c r="E49" i="15"/>
  <c r="E10" i="4"/>
  <c r="E12" i="4" s="1"/>
  <c r="E11" i="4" s="1"/>
  <c r="H12" i="6"/>
  <c r="J12" i="6" s="1"/>
  <c r="H3" i="6"/>
  <c r="J3" i="6" s="1"/>
  <c r="H4" i="6"/>
  <c r="J4" i="6" s="1"/>
  <c r="D15" i="15"/>
  <c r="D8" i="15"/>
  <c r="D22" i="15"/>
  <c r="D13" i="15"/>
  <c r="D18" i="15"/>
  <c r="D19" i="15"/>
  <c r="D28" i="15"/>
  <c r="H5" i="6"/>
  <c r="J5" i="6" s="1"/>
  <c r="H14" i="6"/>
  <c r="J14" i="6" s="1"/>
  <c r="D5" i="15"/>
  <c r="D20" i="15"/>
  <c r="D29" i="15"/>
  <c r="D25" i="15"/>
  <c r="H7" i="6"/>
  <c r="J7" i="6" s="1"/>
  <c r="D6" i="15"/>
  <c r="D14" i="15"/>
  <c r="D11" i="15"/>
  <c r="D12" i="15"/>
  <c r="D17" i="15"/>
  <c r="D31" i="15"/>
  <c r="D24" i="15"/>
  <c r="D3" i="15"/>
  <c r="D10" i="15"/>
  <c r="D4" i="15"/>
  <c r="D7" i="15"/>
  <c r="D16" i="15"/>
  <c r="D21" i="15"/>
  <c r="D30" i="15"/>
  <c r="D26" i="15"/>
  <c r="D27" i="15"/>
  <c r="D9" i="15"/>
  <c r="D23" i="15"/>
  <c r="B6" i="4"/>
  <c r="E42" i="15" l="1"/>
  <c r="E28" i="15"/>
  <c r="G28" i="15"/>
  <c r="I28" i="15" s="1"/>
  <c r="E22" i="15"/>
  <c r="G22" i="15"/>
  <c r="I22" i="15" s="1"/>
  <c r="G19" i="15"/>
  <c r="I19" i="15" s="1"/>
  <c r="E19" i="15"/>
  <c r="E8" i="15"/>
  <c r="G8" i="15"/>
  <c r="I8" i="15" s="1"/>
  <c r="G18" i="15"/>
  <c r="I18" i="15" s="1"/>
  <c r="E18" i="15"/>
  <c r="E15" i="15"/>
  <c r="G15" i="15"/>
  <c r="I15" i="15" s="1"/>
  <c r="E13" i="15"/>
  <c r="G13" i="15"/>
  <c r="I13" i="15" s="1"/>
  <c r="E25" i="15"/>
  <c r="G25" i="15"/>
  <c r="I25" i="15" s="1"/>
  <c r="E29" i="15"/>
  <c r="G29" i="15"/>
  <c r="I29" i="15" s="1"/>
  <c r="E20" i="15"/>
  <c r="G20" i="15"/>
  <c r="I20" i="15" s="1"/>
  <c r="E5" i="15"/>
  <c r="G5" i="15"/>
  <c r="I5" i="15" s="1"/>
  <c r="G24" i="15"/>
  <c r="I24" i="15" s="1"/>
  <c r="E24" i="15"/>
  <c r="E31" i="15"/>
  <c r="G31" i="15"/>
  <c r="I31"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7" i="15"/>
  <c r="G27" i="15"/>
  <c r="I27" i="15" s="1"/>
  <c r="G30" i="15"/>
  <c r="I30" i="15" s="1"/>
  <c r="E30" i="15"/>
  <c r="G16" i="15"/>
  <c r="I16" i="15" s="1"/>
  <c r="E16" i="15"/>
  <c r="G4" i="15"/>
  <c r="I4" i="15" s="1"/>
  <c r="E4" i="15"/>
  <c r="E26" i="15"/>
  <c r="G26" i="15"/>
  <c r="I26" i="15" s="1"/>
  <c r="E23" i="15"/>
  <c r="G23" i="15"/>
  <c r="I23" i="15" s="1"/>
  <c r="E9" i="15"/>
  <c r="G9" i="15"/>
  <c r="I9" i="15" s="1"/>
  <c r="D35" i="15" l="1"/>
  <c r="D37" i="15"/>
  <c r="D34" i="15"/>
  <c r="D39" i="15"/>
  <c r="D36" i="15"/>
  <c r="D38" i="15"/>
  <c r="D40" i="15"/>
  <c r="D33" i="15"/>
  <c r="D41" i="15"/>
  <c r="D32" i="15"/>
  <c r="E41" i="15" l="1"/>
  <c r="G41" i="15"/>
  <c r="I41" i="15" s="1"/>
  <c r="E36" i="15"/>
  <c r="G36" i="15"/>
  <c r="I36" i="15" s="1"/>
  <c r="E34" i="15"/>
  <c r="G34" i="15"/>
  <c r="I34" i="15" s="1"/>
  <c r="E32" i="15"/>
  <c r="G32" i="15"/>
  <c r="I32" i="15" s="1"/>
  <c r="E33" i="15"/>
  <c r="G33" i="15"/>
  <c r="I33" i="15" s="1"/>
  <c r="E40" i="15"/>
  <c r="G40" i="15"/>
  <c r="I40" i="15" s="1"/>
  <c r="E38" i="15"/>
  <c r="G38" i="15"/>
  <c r="I38" i="15" s="1"/>
  <c r="E39" i="15"/>
  <c r="G39" i="15"/>
  <c r="I39" i="15" s="1"/>
  <c r="E37" i="15"/>
  <c r="G37" i="15"/>
  <c r="I37" i="15" s="1"/>
  <c r="E35" i="15"/>
  <c r="G35" i="15"/>
  <c r="I3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00000000-0006-0000-0000-000001000000}">
      <text>
        <r>
          <rPr>
            <i/>
            <sz val="12"/>
            <color indexed="81"/>
            <rFont val="Times New Roman"/>
            <family val="1"/>
          </rPr>
          <t>bless +1
shaken -2</t>
        </r>
      </text>
    </comment>
    <comment ref="B7" authorId="0" shapeId="0" xr:uid="{00000000-0006-0000-0000-000002000000}">
      <text>
        <r>
          <rPr>
            <i/>
            <sz val="12"/>
            <color indexed="81"/>
            <rFont val="Times New Roman"/>
            <family val="1"/>
          </rPr>
          <t>bull’s strength +4</t>
        </r>
      </text>
    </comment>
    <comment ref="E7" authorId="0" shapeId="0" xr:uid="{00000000-0006-0000-0000-000003000000}">
      <text>
        <r>
          <rPr>
            <sz val="12"/>
            <color indexed="81"/>
            <rFont val="Times New Roman"/>
            <family val="1"/>
          </rPr>
          <t>See PHB 162</t>
        </r>
      </text>
    </comment>
    <comment ref="B8" authorId="0" shapeId="0" xr:uid="{00000000-0006-0000-0000-000004000000}">
      <text>
        <r>
          <rPr>
            <i/>
            <sz val="12"/>
            <color indexed="81"/>
            <rFont val="Times New Roman"/>
            <family val="1"/>
          </rPr>
          <t>ray of clumsiness -8</t>
        </r>
      </text>
    </comment>
    <comment ref="B9" authorId="0" shapeId="0" xr:uid="{00000000-0006-0000-0000-000005000000}">
      <text>
        <r>
          <rPr>
            <i/>
            <sz val="12"/>
            <color indexed="81"/>
            <rFont val="Times New Roman"/>
            <family val="1"/>
          </rPr>
          <t>bear’s endurance +4</t>
        </r>
      </text>
    </comment>
    <comment ref="E9" authorId="0" shapeId="0" xr:uid="{00000000-0006-0000-0000-000006000000}">
      <text>
        <r>
          <rPr>
            <sz val="12"/>
            <color indexed="81"/>
            <rFont val="Times New Roman"/>
            <family val="1"/>
          </rPr>
          <t>[(20 * 10 Dragon Shaman) * 75%]
+ (20 * 2 Con)</t>
        </r>
      </text>
    </comment>
    <comment ref="E10" authorId="0" shapeId="0" xr:uid="{00000000-0006-0000-0000-000007000000}">
      <text>
        <r>
          <rPr>
            <i/>
            <sz val="12"/>
            <color indexed="81"/>
            <rFont val="Times New Roman"/>
            <family val="1"/>
          </rPr>
          <t>haste +1</t>
        </r>
      </text>
    </comment>
    <comment ref="E11" authorId="0" shapeId="0" xr:uid="{00000000-0006-0000-0000-000008000000}">
      <text>
        <r>
          <rPr>
            <i/>
            <sz val="12"/>
            <color indexed="81"/>
            <rFont val="Times New Roman"/>
            <family val="1"/>
          </rPr>
          <t>includes natural armor bonus +2</t>
        </r>
      </text>
    </comment>
    <comment ref="B12" authorId="0" shapeId="0" xr:uid="{00000000-0006-0000-0000-000009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i/>
            <sz val="12"/>
            <color indexed="81"/>
            <rFont val="Times New Roman"/>
            <family val="1"/>
          </rPr>
          <t>Dragonscale Armor -2</t>
        </r>
      </text>
    </comment>
    <comment ref="F9" authorId="0" shapeId="0" xr:uid="{00000000-0006-0000-0100-000002000000}">
      <text>
        <r>
          <rPr>
            <i/>
            <sz val="12"/>
            <color indexed="81"/>
            <rFont val="Times New Roman"/>
            <family val="1"/>
          </rPr>
          <t>Dragonscale Armor -2</t>
        </r>
      </text>
    </comment>
    <comment ref="F16" authorId="0" shapeId="0" xr:uid="{00000000-0006-0000-0100-000003000000}">
      <text>
        <r>
          <rPr>
            <i/>
            <sz val="12"/>
            <color indexed="81"/>
            <rFont val="Times New Roman"/>
            <family val="1"/>
          </rPr>
          <t>Dragonscale Armor -2</t>
        </r>
      </text>
    </comment>
    <comment ref="F21" authorId="0" shapeId="0" xr:uid="{00000000-0006-0000-0100-000004000000}">
      <text>
        <r>
          <rPr>
            <i/>
            <sz val="12"/>
            <color indexed="81"/>
            <rFont val="Times New Roman"/>
            <family val="1"/>
          </rPr>
          <t>Dragonscale Armor -2</t>
        </r>
      </text>
    </comment>
    <comment ref="F23" authorId="0" shapeId="0" xr:uid="{00000000-0006-0000-0100-000005000000}">
      <text>
        <r>
          <rPr>
            <i/>
            <sz val="12"/>
            <color indexed="81"/>
            <rFont val="Times New Roman"/>
            <family val="1"/>
          </rPr>
          <t>Dragonscale Armor -2</t>
        </r>
      </text>
    </comment>
    <comment ref="F26" authorId="0" shapeId="0" xr:uid="{00000000-0006-0000-0100-000006000000}">
      <text>
        <r>
          <rPr>
            <i/>
            <sz val="12"/>
            <color indexed="81"/>
            <rFont val="Times New Roman"/>
            <family val="1"/>
          </rPr>
          <t>Dragonscale Armor -2</t>
        </r>
      </text>
    </comment>
    <comment ref="F33" authorId="0" shapeId="0" xr:uid="{00000000-0006-0000-0100-000007000000}">
      <text>
        <r>
          <rPr>
            <i/>
            <sz val="12"/>
            <color indexed="81"/>
            <rFont val="Times New Roman"/>
            <family val="1"/>
          </rPr>
          <t>Dragonscale Armor -2</t>
        </r>
      </text>
    </comment>
    <comment ref="F38" authorId="0" shapeId="0" xr:uid="{00000000-0006-0000-0100-000008000000}">
      <text>
        <r>
          <rPr>
            <sz val="12"/>
            <color indexed="81"/>
            <rFont val="Times New Roman"/>
            <family val="1"/>
          </rPr>
          <t>Skill Focus +3</t>
        </r>
      </text>
    </comment>
    <comment ref="F39" authorId="0" shapeId="0" xr:uid="{00000000-0006-0000-0100-000009000000}">
      <text>
        <r>
          <rPr>
            <i/>
            <sz val="12"/>
            <color indexed="81"/>
            <rFont val="Times New Roman"/>
            <family val="1"/>
          </rPr>
          <t>Dragonscale Armor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shapeId="0" xr:uid="{D4A113F8-99D7-4D3B-B76F-2F857E17CCA3}">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3" authorId="0" shapeId="0" xr:uid="{00000000-0006-0000-0200-00000300000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shapeId="0" xr:uid="{00000000-0006-0000-0200-00000500000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C5" authorId="0" shapeId="0" xr:uid="{00000000-0006-0000-0200-000006000000}">
      <text>
        <r>
          <rPr>
            <sz val="12"/>
            <color indexed="81"/>
            <rFont val="Times New Roman"/>
            <family val="1"/>
          </rPr>
          <t>You can walk across icy surfaces without reducing your speed or making Balance checks (always active).
PHB II 13</t>
        </r>
      </text>
    </comment>
    <comment ref="A6" authorId="0" shapeId="0" xr:uid="{00000000-0006-0000-0200-000007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A7" authorId="0" shapeId="0" xr:uid="{00000000-0006-0000-0200-00000800000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C8" authorId="0" shapeId="0" xr:uid="{00000000-0006-0000-0200-000009000000}">
      <text>
        <r>
          <rPr>
            <sz val="12"/>
            <color indexed="81"/>
            <rFont val="Times New Roman"/>
            <family val="1"/>
          </rPr>
          <t>At 9th level, you gain immunity to the energy type of the breath weapon you gained at 4th level.
PHB II 13</t>
        </r>
      </text>
    </comment>
    <comment ref="C9" authorId="0" shapeId="0" xr:uid="{00000000-0006-0000-0200-00000A000000}">
      <text>
        <r>
          <rPr>
            <sz val="12"/>
            <color indexed="81"/>
            <rFont val="Times New Roman"/>
            <family val="1"/>
          </rPr>
          <t>At 4th level, you gain immunity to paralysis and sleep effects.  You also become immue to the frightful presence of dragons.
PHB II 13</t>
        </r>
      </text>
    </comment>
    <comment ref="C11" authorId="0" shapeId="0" xr:uid="{00000000-0006-0000-0200-00000B00000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PHB II 13</t>
        </r>
      </text>
    </comment>
    <comment ref="C12" authorId="0" shapeId="0" xr:uid="{00000000-0006-0000-0200-00000C000000}">
      <text>
        <r>
          <rPr>
            <sz val="12"/>
            <color indexed="81"/>
            <rFont val="Times New Roman"/>
            <family val="1"/>
          </rPr>
          <t>Bonus on melee damage rolls equal to your aura bonus.
PHB II 13</t>
        </r>
      </text>
    </comment>
    <comment ref="C13" authorId="0" shapeId="0" xr:uid="{00000000-0006-0000-0200-00000D000000}">
      <text>
        <r>
          <rPr>
            <sz val="12"/>
            <color indexed="81"/>
            <rFont val="Times New Roman"/>
            <family val="1"/>
          </rPr>
          <t>Bonus on Bluff, Diplomacy, and Intimidate checks equal to your aura bonus.
PHB II 13</t>
        </r>
      </text>
    </comment>
    <comment ref="C14" authorId="0" shapeId="0" xr:uid="{00000000-0006-0000-0200-00000E000000}">
      <text>
        <r>
          <rPr>
            <sz val="12"/>
            <color indexed="81"/>
            <rFont val="Times New Roman"/>
            <family val="1"/>
          </rPr>
          <t>Resistance to your totem dragon’s energy type equal to 5 x your aura bonus.
PHB II 13</t>
        </r>
      </text>
    </comment>
    <comment ref="C15" authorId="0" shapeId="0" xr:uid="{00000000-0006-0000-0200-00000F000000}">
      <text>
        <r>
          <rPr>
            <sz val="12"/>
            <color indexed="81"/>
            <rFont val="Times New Roman"/>
            <family val="1"/>
          </rPr>
          <t>Bonus on Listen and Spot checks, as well as on initiative checks, equal to your aura bonus.
PHB II 13</t>
        </r>
      </text>
    </comment>
    <comment ref="C16" authorId="0" shapeId="0" xr:uid="{00000000-0006-0000-0200-000010000000}">
      <text>
        <r>
          <rPr>
            <sz val="12"/>
            <color indexed="81"/>
            <rFont val="Times New Roman"/>
            <family val="1"/>
          </rPr>
          <t>DR 1/magic for each point of your aura bonus (up to 5).
PHB II 13</t>
        </r>
      </text>
    </comment>
    <comment ref="C17" authorId="0" shapeId="0" xr:uid="{00000000-0006-0000-0200-00001100000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300-000001000000}">
      <text>
        <r>
          <rPr>
            <i/>
            <sz val="12"/>
            <color indexed="81"/>
            <rFont val="Times New Roman"/>
            <family val="1"/>
          </rPr>
          <t>Weapon Specialization +2</t>
        </r>
      </text>
    </comment>
    <comment ref="C4" authorId="0" shapeId="0" xr:uid="{00000000-0006-0000-0300-000002000000}">
      <text>
        <r>
          <rPr>
            <i/>
            <sz val="12"/>
            <color indexed="81"/>
            <rFont val="Times New Roman"/>
            <family val="1"/>
          </rPr>
          <t>Weapon Specialization +2</t>
        </r>
      </text>
    </comment>
    <comment ref="C12" authorId="0" shapeId="0" xr:uid="{00000000-0006-0000-0300-000003000000}">
      <text>
        <r>
          <rPr>
            <i/>
            <sz val="12"/>
            <color indexed="81"/>
            <rFont val="Times New Roman"/>
            <family val="1"/>
          </rPr>
          <t>Weapon Specialization +2</t>
        </r>
      </text>
    </comment>
    <comment ref="C13" authorId="0" shapeId="0" xr:uid="{00000000-0006-0000-0300-000004000000}">
      <text>
        <r>
          <rPr>
            <i/>
            <sz val="12"/>
            <color indexed="81"/>
            <rFont val="Times New Roman"/>
            <family val="1"/>
          </rPr>
          <t>dragon spirit cincture +1d6</t>
        </r>
      </text>
    </comment>
    <comment ref="D16" authorId="0" shapeId="0" xr:uid="{00000000-0006-0000-03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<sst xmlns="http://schemas.openxmlformats.org/spreadsheetml/2006/main" count="385" uniqueCount="214">
  <si>
    <t>Level</t>
  </si>
  <si>
    <t>Melee Weapon</t>
  </si>
  <si>
    <t>Dmg</t>
  </si>
  <si>
    <t>Qty.</t>
  </si>
  <si>
    <t>Ranged Weapon</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</si>
  <si>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</si>
  <si>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</si>
  <si>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</si>
  <si>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</si>
  <si>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</si>
  <si>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</si>
  <si>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</si>
  <si>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</si>
  <si>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</si>
  <si>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</si>
  <si>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</si>
  <si>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</si>
  <si>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</si>
  <si>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</si>
  <si>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</si>
  <si>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</si>
  <si>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</si>
  <si>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</si>
  <si>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</si>
  <si>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</si>
  <si>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</si>
  <si>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</si>
  <si>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</si>
  <si>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</si>
  <si>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</si>
  <si>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</si>
  <si>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</si>
  <si>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</si>
  <si>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</si>
  <si>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</si>
  <si>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</si>
  <si>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</si>
  <si>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</si>
  <si>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</si>
  <si>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</si>
  <si>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</si>
  <si>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</si>
  <si>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</si>
  <si>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</si>
  <si>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</si>
  <si>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</si>
  <si>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</si>
  <si>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</si>
  <si>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</si>
  <si>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</si>
  <si>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</si>
  <si>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</si>
  <si>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</si>
  <si>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</si>
  <si>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</si>
  <si>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</si>
  <si>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</si>
  <si>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</si>
  <si>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</si>
  <si>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</si>
  <si>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</si>
  <si>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</si>
  <si>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</si>
  <si>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</si>
  <si>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</si>
  <si>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</si>
  <si>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</si>
  <si>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</si>
  <si>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</si>
  <si>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</si>
  <si>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</si>
  <si>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Speak Language</t>
  </si>
  <si>
    <t>Sleight of Hand</t>
  </si>
  <si>
    <t>Survival</t>
  </si>
  <si>
    <t>Class Features</t>
  </si>
  <si>
    <t>Weapon Proficiencies</t>
  </si>
  <si>
    <t>Shields (not tower)</t>
  </si>
  <si>
    <t>Atk</t>
  </si>
  <si>
    <t>Feats</t>
  </si>
  <si>
    <t>Roll</t>
  </si>
  <si>
    <t>Skill/Save</t>
  </si>
  <si>
    <t>2</t>
  </si>
  <si>
    <t>Perform:  [type]</t>
  </si>
  <si>
    <t>Profession:  [type]</t>
  </si>
  <si>
    <t>Scrolls and Potions</t>
  </si>
  <si>
    <t>CLev</t>
  </si>
  <si>
    <t>Value</t>
  </si>
  <si>
    <t>Simple Weapons</t>
  </si>
  <si>
    <t>Total Equity:</t>
  </si>
  <si>
    <t>NPC</t>
  </si>
  <si>
    <t>Female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</si>
  <si>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</si>
  <si>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</si>
  <si>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</si>
  <si>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</si>
  <si>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</si>
  <si>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</si>
  <si>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</si>
  <si>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</si>
  <si>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</si>
  <si>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</si>
  <si>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</si>
  <si>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</si>
  <si>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</si>
  <si>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</si>
  <si>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</si>
  <si>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</si>
  <si>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</si>
  <si>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</si>
  <si>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</si>
  <si>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</si>
  <si>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</si>
  <si>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</si>
  <si>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Grapple, Unarmed Strike</t>
  </si>
  <si>
    <t>x2</t>
  </si>
  <si>
    <t>Bludgeon</t>
  </si>
  <si>
    <t>Aura:  Senses</t>
  </si>
  <si>
    <t>Senses +1</t>
  </si>
  <si>
    <t>30’</t>
  </si>
  <si>
    <t>3rd:  Weapon Focus ~ Spears</t>
  </si>
  <si>
    <t>Bolts</t>
  </si>
  <si>
    <t>Draconic Resolve</t>
  </si>
  <si>
    <t>Immunity to Paralysis and Sleep effects</t>
  </si>
  <si>
    <t>17-20, x2</t>
  </si>
  <si>
    <t>Electric Bolts</t>
  </si>
  <si>
    <t>Sonic Bolts</t>
  </si>
  <si>
    <t>Cold Bolts</t>
  </si>
  <si>
    <t>1d6 electric</t>
  </si>
  <si>
    <t>1d6 sonic</t>
  </si>
  <si>
    <t>1d6 cold</t>
  </si>
  <si>
    <t>Craft:  [type]</t>
  </si>
  <si>
    <t>Aura:  Presence</t>
  </si>
  <si>
    <t>1</t>
  </si>
  <si>
    <t>1d4</t>
  </si>
  <si>
    <t>19-20, x2</t>
  </si>
  <si>
    <t>Prcg/Slsh</t>
  </si>
  <si>
    <t>Common, Draconic</t>
  </si>
  <si>
    <t>Undeadbane Bolts</t>
  </si>
  <si>
    <t>Lycanbane Bolts</t>
  </si>
  <si>
    <t>+2</t>
  </si>
  <si>
    <t>Bonus to hit and damage specific to target</t>
  </si>
  <si>
    <t>Dragon Spirit Cincture</t>
  </si>
  <si>
    <t>+1 die to breath weapon damage</t>
  </si>
  <si>
    <t>Natural Armor</t>
  </si>
  <si>
    <t>10’</t>
  </si>
  <si>
    <t>Aura:  Energy Shield</t>
  </si>
  <si>
    <t>MIC 95</t>
  </si>
  <si>
    <t>Heward’s Handy Haversack</t>
  </si>
  <si>
    <t>% of 100-lb limit</t>
  </si>
  <si>
    <t>dragon shaman 11</t>
  </si>
  <si>
    <t>Touch of Vitality:  Remove Conditions</t>
  </si>
  <si>
    <t>dragon shaman 12</t>
  </si>
  <si>
    <t>20’</t>
  </si>
  <si>
    <t>Barkskin</t>
  </si>
  <si>
    <t>two</t>
  </si>
  <si>
    <t>Ring of Protection +2</t>
  </si>
  <si>
    <t>Totem skill</t>
  </si>
  <si>
    <t>Breath Weapon (cone of cold)</t>
  </si>
  <si>
    <t>+1d6</t>
  </si>
  <si>
    <t>1d6</t>
  </si>
  <si>
    <r>
      <t xml:space="preserve">Potion of </t>
    </r>
    <r>
      <rPr>
        <i/>
        <sz val="12"/>
        <rFont val="Times New Roman"/>
        <family val="1"/>
      </rPr>
      <t>Water Breathing</t>
    </r>
  </si>
  <si>
    <r>
      <t xml:space="preserve">Potion of </t>
    </r>
    <r>
      <rPr>
        <i/>
        <sz val="12"/>
        <rFont val="Times New Roman"/>
        <family val="1"/>
      </rPr>
      <t>Bear’s Endurance</t>
    </r>
  </si>
  <si>
    <r>
      <t xml:space="preserve">Potion of </t>
    </r>
    <r>
      <rPr>
        <i/>
        <sz val="12"/>
        <rFont val="Times New Roman"/>
        <family val="1"/>
      </rPr>
      <t>Eagle’s Splendor</t>
    </r>
  </si>
  <si>
    <t>Chaotic Evil</t>
  </si>
  <si>
    <t>White</t>
  </si>
  <si>
    <r>
      <t>86</t>
    </r>
    <r>
      <rPr>
        <sz val="13"/>
        <rFont val="Times New Roman"/>
        <family val="1"/>
      </rPr>
      <t>/</t>
    </r>
    <r>
      <rPr>
        <sz val="13"/>
        <color indexed="52"/>
        <rFont val="Times New Roman"/>
        <family val="1"/>
      </rPr>
      <t>173</t>
    </r>
    <r>
      <rPr>
        <sz val="13"/>
        <rFont val="Times New Roman"/>
        <family val="1"/>
      </rPr>
      <t>/</t>
    </r>
    <r>
      <rPr>
        <sz val="13"/>
        <color indexed="10"/>
        <rFont val="Times New Roman"/>
        <family val="1"/>
      </rPr>
      <t>260</t>
    </r>
  </si>
  <si>
    <t>Icewalker</t>
  </si>
  <si>
    <t>Skill Focus +3:  Hide, Swim</t>
  </si>
  <si>
    <t>Dynasty</t>
  </si>
  <si>
    <t>Paledrake</t>
  </si>
  <si>
    <t>30’ - 10’</t>
  </si>
  <si>
    <t>Knowledge:  Nature</t>
  </si>
  <si>
    <t>Energy Immunity:  Cold</t>
  </si>
  <si>
    <t>Breath Weapon:  Cone of Cold</t>
  </si>
  <si>
    <t>Totem Dragon:  White</t>
  </si>
  <si>
    <t>White Dragon Scale Mail +1</t>
  </si>
  <si>
    <t>White Dragonhide Cloak +1</t>
  </si>
  <si>
    <t>1st:  Power Attack</t>
  </si>
  <si>
    <t>9th:  Combat Reflexes</t>
  </si>
  <si>
    <t>Returning Shortspear +2</t>
  </si>
  <si>
    <t>Returning Shortspear, 2nd attack</t>
  </si>
  <si>
    <t>Eager Dagger</t>
  </si>
  <si>
    <t>Ranged Touch Attack</t>
  </si>
  <si>
    <t>6th:  Weapon Specialization ~ Spears</t>
  </si>
  <si>
    <t>12th:  Ability Focus ~ Breath Weapon</t>
  </si>
  <si>
    <t>Light Crossbow +1</t>
  </si>
  <si>
    <t>Light Crossbow +1, 2nd attack</t>
  </si>
  <si>
    <t>Reins of Ascension</t>
  </si>
  <si>
    <t>Vanguard Treads</t>
  </si>
  <si>
    <t>Ring of Entropic Deflection</t>
  </si>
  <si>
    <t>MW Sap</t>
  </si>
  <si>
    <t>Necklace of White Dragon Scales</t>
  </si>
  <si>
    <t>?</t>
  </si>
  <si>
    <t>Race</t>
  </si>
  <si>
    <t>Sex</t>
  </si>
  <si>
    <t>Class</t>
  </si>
  <si>
    <t>Alignment</t>
  </si>
  <si>
    <t>Totem Dragon</t>
  </si>
  <si>
    <t>Attack Bonus</t>
  </si>
  <si>
    <t>Initiative</t>
  </si>
  <si>
    <t>Strength</t>
  </si>
  <si>
    <t>Lb. Capacity</t>
  </si>
  <si>
    <t>Dexterity</t>
  </si>
  <si>
    <t>Lb. Carried</t>
  </si>
  <si>
    <t>Constitution</t>
  </si>
  <si>
    <t>Hit Points</t>
  </si>
  <si>
    <t>Intelligence</t>
  </si>
  <si>
    <t>Touch AC</t>
  </si>
  <si>
    <t>Wisdom</t>
  </si>
  <si>
    <t>FF AC</t>
  </si>
  <si>
    <t>Charisma</t>
  </si>
  <si>
    <t>AC</t>
  </si>
  <si>
    <t>Returning Shortspear +5</t>
  </si>
  <si>
    <t>Draconic Aura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</si>
</sst>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
      <sz val="12"/>
      <color theme="0"/>
      <name val="Times New Roman"/>
      <family val="1"/>
    </font>
    <font>
      <sz val="12"/>
      <color rgb="FF0000FF"/>
      <name val="Times New Roman"/>
      <family val="1"/>
    </font>
    <font>
      <i/>
      <sz val="12"/>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theme="9" tint="-0.499984740745262"/>
        <bgColor indexed="64"/>
      </patternFill>
    </fill>
    <fill>
      <patternFill patternType="solid">
        <fgColor rgb="FF00FFFF"/>
        <bgColor indexed="64"/>
      </patternFill>
    </fill>
    <fill>
      <patternFill patternType="solid">
        <fgColor theme="0" tint="-0.14999847407452621"/>
        <bgColor indexed="64"/>
      </patternFill>
    </fill>
    <fill>
      <patternFill patternType="solid">
        <fgColor rgb="FFFFFF00"/>
        <bgColor indexed="64"/>
      </patternFill>
    </fill>
  </fills>
  <borders count="12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35">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71" xfId="0" applyNumberFormat="1" applyFont="1" applyFill="1" applyBorder="1" applyAlignment="1">
      <alignment horizontal="center"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4" xfId="0" applyFont="1" applyFill="1" applyBorder="1" applyAlignment="1">
      <alignment horizontal="centerContinuous" vertical="center" shrinkToFit="1"/>
    </xf>
    <xf numFmtId="0" fontId="21" fillId="0" borderId="105" xfId="0" applyFont="1" applyFill="1" applyBorder="1" applyAlignment="1">
      <alignment horizontal="centerContinuous" vertical="center"/>
    </xf>
    <xf numFmtId="0" fontId="1" fillId="0" borderId="106" xfId="0" applyFont="1" applyFill="1" applyBorder="1" applyAlignment="1">
      <alignment horizontal="center" vertical="center"/>
    </xf>
    <xf numFmtId="49" fontId="1" fillId="0" borderId="107" xfId="0" applyNumberFormat="1" applyFont="1" applyFill="1" applyBorder="1" applyAlignment="1">
      <alignment horizontal="centerContinuous" vertical="center"/>
    </xf>
    <xf numFmtId="0" fontId="1" fillId="0" borderId="108"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1"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2" xfId="0" applyFont="1" applyFill="1" applyBorder="1" applyAlignment="1">
      <alignment horizontal="centerContinuous" vertical="center"/>
    </xf>
    <xf numFmtId="0" fontId="1" fillId="0" borderId="113" xfId="0" applyFont="1" applyFill="1" applyBorder="1" applyAlignment="1">
      <alignment horizontal="centerContinuous" vertical="center"/>
    </xf>
    <xf numFmtId="0" fontId="4" fillId="0" borderId="114"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3"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3" xfId="0" applyNumberFormat="1" applyFont="1" applyFill="1" applyBorder="1" applyAlignment="1">
      <alignment horizontal="centerContinuous" vertical="center"/>
    </xf>
    <xf numFmtId="0" fontId="4" fillId="0" borderId="115"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0" xfId="0" applyFont="1" applyFill="1" applyBorder="1" applyAlignment="1">
      <alignment horizontal="center" vertical="center"/>
    </xf>
    <xf numFmtId="0" fontId="1" fillId="0" borderId="11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98"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0" fontId="1" fillId="0" borderId="109"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0" fontId="6" fillId="0" borderId="23" xfId="0" quotePrefix="1" applyFont="1" applyFill="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49" fontId="16" fillId="0" borderId="33" xfId="0" applyNumberFormat="1" applyFont="1" applyFill="1" applyBorder="1" applyAlignment="1">
      <alignment horizontal="center" shrinkToFit="1"/>
    </xf>
    <xf numFmtId="164" fontId="1" fillId="9" borderId="102" xfId="0" applyNumberFormat="1" applyFont="1" applyFill="1" applyBorder="1" applyAlignment="1">
      <alignment horizontal="center" vertical="center"/>
    </xf>
    <xf numFmtId="0" fontId="1" fillId="0" borderId="116" xfId="0" applyFont="1" applyBorder="1" applyAlignment="1">
      <alignment horizontal="center" vertical="center" shrinkToFit="1"/>
    </xf>
    <xf numFmtId="9" fontId="1" fillId="0" borderId="106" xfId="0" applyNumberFormat="1" applyFont="1" applyFill="1" applyBorder="1" applyAlignment="1">
      <alignment horizontal="center" vertical="center"/>
    </xf>
    <xf numFmtId="164" fontId="1" fillId="0" borderId="106" xfId="0" applyNumberFormat="1" applyFont="1" applyFill="1" applyBorder="1" applyAlignment="1">
      <alignment horizontal="center" vertical="center"/>
    </xf>
    <xf numFmtId="164" fontId="1" fillId="0" borderId="107" xfId="0" applyNumberFormat="1" applyFont="1" applyFill="1" applyBorder="1" applyAlignment="1">
      <alignment horizontal="centerContinuous" vertical="center"/>
    </xf>
    <xf numFmtId="164" fontId="1" fillId="0" borderId="105" xfId="0" applyNumberFormat="1" applyFont="1" applyFill="1" applyBorder="1" applyAlignment="1">
      <alignment horizontal="centerContinuous" vertical="center"/>
    </xf>
    <xf numFmtId="0" fontId="4" fillId="0" borderId="108" xfId="0" quotePrefix="1" applyFont="1" applyBorder="1" applyAlignment="1">
      <alignment horizontal="centerContinuous" vertical="center"/>
    </xf>
    <xf numFmtId="0" fontId="54" fillId="15" borderId="70" xfId="0" applyFont="1" applyFill="1" applyBorder="1" applyAlignment="1">
      <alignment horizontal="center" vertical="center"/>
    </xf>
    <xf numFmtId="0" fontId="54" fillId="15" borderId="71" xfId="0" applyFont="1" applyFill="1" applyBorder="1" applyAlignment="1">
      <alignment horizontal="center" vertical="center"/>
    </xf>
    <xf numFmtId="0" fontId="54" fillId="15" borderId="71" xfId="0" quotePrefix="1" applyFont="1" applyFill="1" applyBorder="1" applyAlignment="1">
      <alignment horizontal="center" vertical="center"/>
    </xf>
    <xf numFmtId="164" fontId="54" fillId="15" borderId="71" xfId="0" quotePrefix="1" applyNumberFormat="1" applyFont="1" applyFill="1" applyBorder="1" applyAlignment="1">
      <alignment horizontal="center" vertical="center"/>
    </xf>
    <xf numFmtId="164" fontId="54" fillId="15" borderId="72" xfId="0" applyNumberFormat="1" applyFont="1" applyFill="1" applyBorder="1" applyAlignment="1">
      <alignment horizontal="centerContinuous" vertical="center"/>
    </xf>
    <xf numFmtId="164" fontId="54" fillId="15" borderId="73" xfId="0" applyNumberFormat="1" applyFont="1" applyFill="1" applyBorder="1" applyAlignment="1">
      <alignment horizontal="centerContinuous" vertical="center"/>
    </xf>
    <xf numFmtId="0" fontId="54" fillId="15" borderId="74" xfId="0" applyFont="1" applyFill="1" applyBorder="1" applyAlignment="1">
      <alignment horizontal="centerContinuous" vertical="center"/>
    </xf>
    <xf numFmtId="0" fontId="55" fillId="16" borderId="94" xfId="0" applyFont="1" applyFill="1" applyBorder="1" applyAlignment="1">
      <alignment horizontal="center" vertical="center"/>
    </xf>
    <xf numFmtId="0" fontId="55" fillId="16" borderId="94" xfId="0" quotePrefix="1" applyFont="1" applyFill="1" applyBorder="1" applyAlignment="1">
      <alignment horizontal="center" vertical="center"/>
    </xf>
    <xf numFmtId="1" fontId="6" fillId="0" borderId="0" xfId="0" applyNumberFormat="1" applyFont="1" applyBorder="1" applyAlignment="1">
      <alignment horizontal="left" vertical="center"/>
    </xf>
    <xf numFmtId="1" fontId="6" fillId="0" borderId="12" xfId="0" applyNumberFormat="1" applyFont="1" applyFill="1" applyBorder="1" applyAlignment="1">
      <alignment horizontal="center" vertical="center"/>
    </xf>
    <xf numFmtId="1" fontId="6" fillId="17" borderId="27"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0" fontId="50" fillId="0" borderId="35" xfId="0" applyFont="1" applyFill="1" applyBorder="1" applyAlignment="1">
      <alignment horizontal="center" vertical="center" shrinkToFit="1"/>
    </xf>
    <xf numFmtId="0" fontId="50" fillId="0" borderId="48" xfId="0" applyFont="1" applyFill="1" applyBorder="1" applyAlignment="1">
      <alignment horizontal="centerContinuous" vertical="center"/>
    </xf>
    <xf numFmtId="0" fontId="1" fillId="0" borderId="117" xfId="0" applyFont="1" applyBorder="1" applyAlignment="1">
      <alignment horizontal="center" vertical="center"/>
    </xf>
    <xf numFmtId="0" fontId="1" fillId="0" borderId="118" xfId="0" applyFont="1" applyFill="1" applyBorder="1" applyAlignment="1">
      <alignment horizontal="center" vertical="center"/>
    </xf>
    <xf numFmtId="0" fontId="1" fillId="0" borderId="118" xfId="0" quotePrefix="1" applyNumberFormat="1" applyFont="1" applyFill="1" applyBorder="1" applyAlignment="1">
      <alignment horizontal="center" vertical="center"/>
    </xf>
    <xf numFmtId="0" fontId="1" fillId="0" borderId="118" xfId="0" applyNumberFormat="1" applyFont="1" applyBorder="1" applyAlignment="1">
      <alignment horizontal="center" vertical="center"/>
    </xf>
    <xf numFmtId="0" fontId="1" fillId="0" borderId="118" xfId="0" applyFont="1" applyBorder="1" applyAlignment="1">
      <alignment horizontal="center" vertical="center"/>
    </xf>
    <xf numFmtId="49" fontId="1" fillId="0" borderId="118" xfId="0" applyNumberFormat="1" applyFont="1" applyBorder="1" applyAlignment="1">
      <alignment horizontal="center" vertical="center"/>
    </xf>
    <xf numFmtId="164" fontId="1" fillId="0" borderId="118" xfId="0" applyNumberFormat="1" applyFont="1" applyFill="1" applyBorder="1" applyAlignment="1">
      <alignment horizontal="center" vertical="center"/>
    </xf>
    <xf numFmtId="164" fontId="1" fillId="0" borderId="119" xfId="0" applyNumberFormat="1" applyFont="1" applyBorder="1" applyAlignment="1">
      <alignment horizontal="center" vertical="center"/>
    </xf>
    <xf numFmtId="1" fontId="45" fillId="11" borderId="119"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0" fontId="1" fillId="0" borderId="120" xfId="0" quotePrefix="1" applyFont="1" applyBorder="1" applyAlignment="1">
      <alignment horizontal="center" vertical="center"/>
    </xf>
    <xf numFmtId="49" fontId="1" fillId="0" borderId="102" xfId="0" applyNumberFormat="1" applyFont="1" applyBorder="1" applyAlignment="1">
      <alignment horizontal="center" vertical="center"/>
    </xf>
    <xf numFmtId="49" fontId="1" fillId="0" borderId="118" xfId="2" applyNumberFormat="1" applyFont="1" applyBorder="1" applyAlignment="1">
      <alignment horizontal="center" vertical="center"/>
    </xf>
    <xf numFmtId="0" fontId="1" fillId="0" borderId="118" xfId="0" applyFont="1" applyBorder="1" applyAlignment="1">
      <alignment horizontal="center" vertical="center" shrinkToFit="1"/>
    </xf>
    <xf numFmtId="164" fontId="1" fillId="0" borderId="118" xfId="0" applyNumberFormat="1" applyFont="1" applyBorder="1" applyAlignment="1">
      <alignment horizontal="center" vertical="center"/>
    </xf>
    <xf numFmtId="0" fontId="55" fillId="16" borderId="66" xfId="0" applyFont="1" applyFill="1" applyBorder="1" applyAlignment="1">
      <alignment horizontal="center" vertical="center"/>
    </xf>
    <xf numFmtId="0" fontId="55" fillId="16" borderId="102" xfId="0" applyNumberFormat="1" applyFont="1" applyFill="1" applyBorder="1" applyAlignment="1">
      <alignment horizontal="center" vertical="center"/>
    </xf>
    <xf numFmtId="49" fontId="55" fillId="16" borderId="94" xfId="0" applyNumberFormat="1" applyFont="1" applyFill="1" applyBorder="1" applyAlignment="1">
      <alignment horizontal="center" vertical="center"/>
    </xf>
    <xf numFmtId="164" fontId="55" fillId="16" borderId="94" xfId="0" applyNumberFormat="1" applyFont="1" applyFill="1" applyBorder="1" applyAlignment="1">
      <alignment horizontal="center" vertical="center"/>
    </xf>
    <xf numFmtId="1" fontId="55" fillId="16" borderId="67" xfId="0" applyNumberFormat="1" applyFont="1" applyFill="1" applyBorder="1" applyAlignment="1">
      <alignment horizontal="center" vertical="center"/>
    </xf>
    <xf numFmtId="0" fontId="55" fillId="16" borderId="98" xfId="0" applyFont="1" applyFill="1" applyBorder="1" applyAlignment="1">
      <alignment horizontal="center" vertical="center"/>
    </xf>
    <xf numFmtId="1" fontId="1" fillId="0" borderId="35" xfId="0" applyNumberFormat="1" applyFont="1" applyBorder="1" applyAlignment="1">
      <alignment horizontal="center" vertical="center"/>
    </xf>
    <xf numFmtId="0" fontId="6" fillId="18" borderId="3" xfId="0" quotePrefix="1" applyFont="1" applyFill="1" applyBorder="1" applyAlignment="1">
      <alignment horizontal="center" vertical="center"/>
    </xf>
    <xf numFmtId="0" fontId="1" fillId="8" borderId="118" xfId="0" applyNumberFormat="1" applyFont="1" applyFill="1" applyBorder="1" applyAlignment="1">
      <alignment horizontal="center" vertical="center"/>
    </xf>
    <xf numFmtId="0" fontId="1" fillId="8" borderId="102" xfId="0" applyNumberFormat="1" applyFont="1" applyFill="1" applyBorder="1" applyAlignment="1">
      <alignment horizontal="center" vertical="center"/>
    </xf>
    <xf numFmtId="0" fontId="1" fillId="8" borderId="94" xfId="0" applyNumberFormat="1" applyFont="1" applyFill="1" applyBorder="1" applyAlignment="1">
      <alignment horizontal="center" vertical="center"/>
    </xf>
    <xf numFmtId="0" fontId="1" fillId="8" borderId="45" xfId="0" applyNumberFormat="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21">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FFFF"/>
      <color rgb="FF009900"/>
      <color rgb="FFFF66FF"/>
      <color rgb="FFFF33CC"/>
      <color rgb="FFCCCC00"/>
      <color rgb="FF99FF99"/>
      <color rgb="FFCC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Auras and Effects:</a:t>
          </a:r>
        </a:p>
        <a:p>
          <a:pPr algn="just" rtl="0">
            <a:defRPr sz="1000"/>
          </a:pPr>
          <a:endParaRPr lang="en-US" sz="1200" b="1"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Resistance to Cold (15) [active aura]</a:t>
          </a:r>
          <a:endParaRPr lang="en-US" sz="1200" b="0" i="1" u="none" strike="noStrike" baseline="0">
            <a:solidFill>
              <a:srgbClr val="99FF99"/>
            </a:solidFill>
            <a:latin typeface="Times New Roman"/>
            <a:cs typeface="Times New Roman"/>
          </a:endParaRPr>
        </a:p>
      </xdr:txBody>
    </xdr:sp>
    <xdr:clientData/>
  </xdr:twoCellAnchor>
  <xdr:twoCellAnchor editAs="oneCell">
    <xdr:from>
      <xdr:col>5</xdr:col>
      <xdr:colOff>38101</xdr:colOff>
      <xdr:row>1</xdr:row>
      <xdr:rowOff>67073</xdr:rowOff>
    </xdr:from>
    <xdr:to>
      <xdr:col>6</xdr:col>
      <xdr:colOff>1052039</xdr:colOff>
      <xdr:row>12</xdr:row>
      <xdr:rowOff>243840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32961" y="440453"/>
          <a:ext cx="2103598" cy="2569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twoCellAnchor>
    <xdr:from>
      <xdr:col>13</xdr:col>
      <xdr:colOff>114300</xdr:colOff>
      <xdr:row>2</xdr:row>
      <xdr:rowOff>45720</xdr:rowOff>
    </xdr:from>
    <xdr:to>
      <xdr:col>13</xdr:col>
      <xdr:colOff>883920</xdr:colOff>
      <xdr:row>6</xdr:row>
      <xdr:rowOff>182880</xdr:rowOff>
    </xdr:to>
    <xdr:sp macro="" textlink="">
      <xdr:nvSpPr>
        <xdr:cNvPr id="2" name="Rectangle: Rounded Corners 1">
          <a:extLst>
            <a:ext uri="{FF2B5EF4-FFF2-40B4-BE49-F238E27FC236}">
              <a16:creationId xmlns:a16="http://schemas.microsoft.com/office/drawing/2014/main" id="{192C9B9F-4ADF-41EB-9DA6-BA1715310C63}"/>
            </a:ext>
          </a:extLst>
        </xdr:cNvPr>
        <xdr:cNvSpPr/>
      </xdr:nvSpPr>
      <xdr:spPr bwMode="auto">
        <a:xfrm>
          <a:off x="9387840" y="556260"/>
          <a:ext cx="769620" cy="929640"/>
        </a:xfrm>
        <a:prstGeom prst="roundRect">
          <a:avLst/>
        </a:prstGeom>
        <a:solidFill>
          <a:srgbClr xmlns:mc="http://schemas.openxmlformats.org/markup-compatibility/2006" xmlns:a14="http://schemas.microsoft.com/office/drawing/2010/main" val="FFFFFF" mc:Ignorable="a14" a14:legacySpreadsheetColorIndex="9">
            <a:alpha val="29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US" sz="1100" b="1"/>
            <a:t>Aura of Power on as a</a:t>
          </a:r>
          <a:r>
            <a:rPr lang="en-US" sz="1100" b="1" baseline="0"/>
            <a:t> default during melee.</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zoomScaleNormal="100" workbookViewId="0"/>
  </sheetViews>
  <sheetFormatPr defaultColWidth="13" defaultRowHeight="15.6" x14ac:dyDescent="0.3"/>
  <cols>
    <col min="1" max="1" width="16.19921875" style="65" customWidth="1"/>
    <col min="2" max="2" width="11" style="66" customWidth="1"/>
    <col min="3" max="3" width="6" style="66" customWidth="1"/>
    <col min="4" max="4" width="13.69921875" style="65" bestFit="1" customWidth="1"/>
    <col min="5" max="5" width="13.3984375" style="66" bestFit="1" customWidth="1"/>
    <col min="6" max="6" width="14.296875" style="65" customWidth="1"/>
    <col min="7" max="7" width="14.296875" style="66" customWidth="1"/>
    <col min="8" max="16384" width="13" style="19"/>
  </cols>
  <sheetData>
    <row r="1" spans="1:7" ht="29.4" thickTop="1" thickBot="1" x14ac:dyDescent="0.35">
      <c r="A1" s="284" t="s">
        <v>168</v>
      </c>
      <c r="B1" s="285" t="s">
        <v>169</v>
      </c>
      <c r="C1" s="15"/>
      <c r="D1" s="16"/>
      <c r="E1" s="17"/>
      <c r="F1" s="16"/>
      <c r="G1" s="18" t="s">
        <v>89</v>
      </c>
    </row>
    <row r="2" spans="1:7" ht="17.399999999999999" thickTop="1" x14ac:dyDescent="0.3">
      <c r="A2" s="20" t="s">
        <v>193</v>
      </c>
      <c r="B2" s="21" t="s">
        <v>92</v>
      </c>
      <c r="C2" s="21"/>
      <c r="D2" s="22" t="s">
        <v>194</v>
      </c>
      <c r="E2" s="23" t="s">
        <v>90</v>
      </c>
      <c r="F2" s="24"/>
      <c r="G2" s="25"/>
    </row>
    <row r="3" spans="1:7" ht="16.8" x14ac:dyDescent="0.3">
      <c r="A3" s="20" t="s">
        <v>195</v>
      </c>
      <c r="B3" s="21" t="s">
        <v>100</v>
      </c>
      <c r="C3" s="21"/>
      <c r="D3" s="22" t="s">
        <v>0</v>
      </c>
      <c r="E3" s="23">
        <v>20</v>
      </c>
      <c r="F3" s="22"/>
      <c r="G3" s="25"/>
    </row>
    <row r="4" spans="1:7" ht="17.399999999999999" thickBot="1" x14ac:dyDescent="0.35">
      <c r="A4" s="20" t="s">
        <v>196</v>
      </c>
      <c r="B4" s="321" t="s">
        <v>163</v>
      </c>
      <c r="C4" s="321"/>
      <c r="D4" s="22" t="s">
        <v>197</v>
      </c>
      <c r="E4" s="23" t="s">
        <v>164</v>
      </c>
      <c r="F4" s="22"/>
      <c r="G4" s="25"/>
    </row>
    <row r="5" spans="1:7" ht="17.399999999999999" thickTop="1" x14ac:dyDescent="0.3">
      <c r="A5" s="26" t="s">
        <v>198</v>
      </c>
      <c r="B5" s="378">
        <f>9</f>
        <v>9</v>
      </c>
      <c r="C5" s="379"/>
      <c r="D5" s="27" t="s">
        <v>70</v>
      </c>
      <c r="E5" s="28" t="s">
        <v>170</v>
      </c>
      <c r="F5" s="29"/>
      <c r="G5" s="25"/>
    </row>
    <row r="6" spans="1:7" ht="17.399999999999999" thickBot="1" x14ac:dyDescent="0.35">
      <c r="A6" s="30" t="s">
        <v>199</v>
      </c>
      <c r="B6" s="31" t="str">
        <f>C8</f>
        <v>+3</v>
      </c>
      <c r="C6" s="32"/>
      <c r="D6" s="33"/>
      <c r="E6" s="34"/>
      <c r="F6" s="29"/>
      <c r="G6" s="25"/>
    </row>
    <row r="7" spans="1:7" ht="17.399999999999999" thickTop="1" x14ac:dyDescent="0.3">
      <c r="A7" s="35" t="s">
        <v>200</v>
      </c>
      <c r="B7" s="430">
        <f>17+4</f>
        <v>21</v>
      </c>
      <c r="C7" s="36" t="str">
        <f t="shared" ref="C7:C12" si="0">IF(B7&gt;9.9,CONCATENATE("+",ROUNDDOWN((B7-10)/2,0)),ROUNDUP((B7-10)/2,0))</f>
        <v>+5</v>
      </c>
      <c r="D7" s="37" t="s">
        <v>201</v>
      </c>
      <c r="E7" s="380" t="s">
        <v>165</v>
      </c>
      <c r="F7" s="29"/>
      <c r="G7" s="25"/>
    </row>
    <row r="8" spans="1:7" ht="16.8" x14ac:dyDescent="0.3">
      <c r="A8" s="38" t="s">
        <v>202</v>
      </c>
      <c r="B8" s="43">
        <f>16</f>
        <v>16</v>
      </c>
      <c r="C8" s="39" t="str">
        <f t="shared" si="0"/>
        <v>+3</v>
      </c>
      <c r="D8" s="40" t="s">
        <v>203</v>
      </c>
      <c r="E8" s="41">
        <f>SUM(Martial!G7:G24)+SUM(Equipment!C3:C10)</f>
        <v>31</v>
      </c>
      <c r="F8" s="29"/>
      <c r="G8" s="25"/>
    </row>
    <row r="9" spans="1:7" ht="16.8" x14ac:dyDescent="0.3">
      <c r="A9" s="42" t="s">
        <v>204</v>
      </c>
      <c r="B9" s="43">
        <f>14</f>
        <v>14</v>
      </c>
      <c r="C9" s="44" t="str">
        <f t="shared" si="0"/>
        <v>+2</v>
      </c>
      <c r="D9" s="40" t="s">
        <v>205</v>
      </c>
      <c r="E9" s="45">
        <f>ROUNDUP(((E3*10)*0.75)+(E3*C9),0)</f>
        <v>190</v>
      </c>
      <c r="F9" s="29"/>
      <c r="G9" s="25"/>
    </row>
    <row r="10" spans="1:7" ht="16.8" x14ac:dyDescent="0.3">
      <c r="A10" s="46" t="s">
        <v>206</v>
      </c>
      <c r="B10" s="43">
        <v>12</v>
      </c>
      <c r="C10" s="39" t="str">
        <f t="shared" si="0"/>
        <v>+1</v>
      </c>
      <c r="D10" s="47" t="s">
        <v>207</v>
      </c>
      <c r="E10" s="312">
        <f>10+C8+3</f>
        <v>16</v>
      </c>
      <c r="F10" s="20"/>
      <c r="G10" s="25"/>
    </row>
    <row r="11" spans="1:7" ht="16.8" x14ac:dyDescent="0.3">
      <c r="A11" s="48" t="s">
        <v>208</v>
      </c>
      <c r="B11" s="43">
        <v>12</v>
      </c>
      <c r="C11" s="39" t="str">
        <f t="shared" si="0"/>
        <v>+1</v>
      </c>
      <c r="D11" s="47" t="s">
        <v>209</v>
      </c>
      <c r="E11" s="399">
        <f>E12-C8</f>
        <v>24</v>
      </c>
      <c r="F11" s="397"/>
      <c r="G11" s="25"/>
    </row>
    <row r="12" spans="1:7" ht="17.399999999999999" thickBot="1" x14ac:dyDescent="0.35">
      <c r="A12" s="49" t="s">
        <v>210</v>
      </c>
      <c r="B12" s="377">
        <f>19</f>
        <v>19</v>
      </c>
      <c r="C12" s="50" t="str">
        <f t="shared" si="0"/>
        <v>+4</v>
      </c>
      <c r="D12" s="51" t="s">
        <v>211</v>
      </c>
      <c r="E12" s="398">
        <f>E10+SUM(Martial!B17:B21)</f>
        <v>27</v>
      </c>
      <c r="F12" s="29"/>
      <c r="G12" s="25"/>
    </row>
    <row r="13" spans="1:7" ht="24" thickTop="1" thickBot="1" x14ac:dyDescent="0.35">
      <c r="A13" s="52" t="s">
        <v>16</v>
      </c>
      <c r="B13" s="53"/>
      <c r="C13" s="53"/>
      <c r="D13" s="54"/>
      <c r="E13" s="54"/>
      <c r="F13" s="54"/>
      <c r="G13" s="55"/>
    </row>
    <row r="14" spans="1:7" s="7" customFormat="1" ht="17.399999999999999" thickTop="1" x14ac:dyDescent="0.3">
      <c r="A14" s="56"/>
      <c r="B14" s="57"/>
      <c r="C14" s="57"/>
      <c r="D14" s="57"/>
      <c r="E14" s="57"/>
      <c r="F14" s="57"/>
      <c r="G14" s="58"/>
    </row>
    <row r="15" spans="1:7" s="7" customFormat="1" ht="16.8" x14ac:dyDescent="0.3">
      <c r="A15" s="59"/>
      <c r="B15" s="60"/>
      <c r="C15" s="60"/>
      <c r="D15" s="60"/>
      <c r="E15" s="60"/>
      <c r="F15" s="60"/>
      <c r="G15" s="61"/>
    </row>
    <row r="16" spans="1:7" s="7" customFormat="1" ht="16.8" x14ac:dyDescent="0.3">
      <c r="A16" s="59"/>
      <c r="B16" s="60"/>
      <c r="C16" s="60"/>
      <c r="D16" s="60"/>
      <c r="E16" s="60"/>
      <c r="F16" s="60"/>
      <c r="G16" s="61"/>
    </row>
    <row r="17" spans="1:7" s="7" customFormat="1" ht="16.8" x14ac:dyDescent="0.3">
      <c r="A17" s="59"/>
      <c r="B17" s="60"/>
      <c r="C17" s="60"/>
      <c r="D17" s="60"/>
      <c r="E17" s="60"/>
      <c r="F17" s="60"/>
      <c r="G17" s="61"/>
    </row>
    <row r="18" spans="1:7" s="7" customFormat="1" ht="16.8" x14ac:dyDescent="0.3">
      <c r="A18" s="59"/>
      <c r="B18" s="60"/>
      <c r="C18" s="60"/>
      <c r="D18" s="60"/>
      <c r="E18" s="60"/>
      <c r="F18" s="60"/>
      <c r="G18" s="61"/>
    </row>
    <row r="19" spans="1:7" s="7" customFormat="1" ht="16.8" x14ac:dyDescent="0.3">
      <c r="A19" s="59"/>
      <c r="B19" s="60"/>
      <c r="C19" s="60"/>
      <c r="D19" s="60"/>
      <c r="E19" s="60"/>
      <c r="F19" s="60"/>
      <c r="G19" s="61"/>
    </row>
    <row r="20" spans="1:7" s="7" customFormat="1" ht="16.8" x14ac:dyDescent="0.3">
      <c r="A20" s="59"/>
      <c r="B20" s="60"/>
      <c r="C20" s="60"/>
      <c r="D20" s="60"/>
      <c r="E20" s="60"/>
      <c r="F20" s="60"/>
      <c r="G20" s="61"/>
    </row>
    <row r="21" spans="1:7" ht="17.399999999999999" thickBot="1" x14ac:dyDescent="0.35">
      <c r="A21" s="62"/>
      <c r="B21" s="63"/>
      <c r="C21" s="63"/>
      <c r="D21" s="63"/>
      <c r="E21" s="63"/>
      <c r="F21" s="63"/>
      <c r="G21" s="64"/>
    </row>
    <row r="22" spans="1:7" ht="16.2" thickTop="1" x14ac:dyDescent="0.3"/>
  </sheetData>
  <phoneticPr fontId="0" type="noConversion"/>
  <conditionalFormatting sqref="E8">
    <cfRule type="cellIs" dxfId="20" priority="4" stopIfTrue="1" operator="greaterThan">
      <formula>116</formula>
    </cfRule>
    <cfRule type="cellIs" dxfId="19"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65" bestFit="1" customWidth="1"/>
    <col min="2" max="2" width="5.8984375" style="65" bestFit="1" customWidth="1"/>
    <col min="3" max="3" width="7.59765625" style="66" hidden="1" customWidth="1"/>
    <col min="4" max="4" width="5.8984375" style="66" hidden="1" customWidth="1"/>
    <col min="5" max="5" width="9.19921875" style="66" bestFit="1" customWidth="1"/>
    <col min="6" max="6" width="6.69921875" style="66" bestFit="1" customWidth="1"/>
    <col min="7" max="7" width="6" style="171" bestFit="1" customWidth="1"/>
    <col min="8" max="8" width="5.19921875" style="171" bestFit="1" customWidth="1"/>
    <col min="9" max="9" width="6.8984375" style="171" bestFit="1" customWidth="1"/>
    <col min="10" max="10" width="41.5" style="65" customWidth="1"/>
    <col min="11" max="16384" width="13" style="19"/>
  </cols>
  <sheetData>
    <row r="1" spans="1:11" ht="25.8" thickBot="1" x14ac:dyDescent="0.35">
      <c r="A1" s="67" t="s">
        <v>6</v>
      </c>
      <c r="B1" s="68"/>
      <c r="C1" s="68"/>
      <c r="D1" s="68"/>
      <c r="E1" s="68"/>
      <c r="F1" s="68"/>
      <c r="G1" s="69"/>
      <c r="H1" s="69"/>
      <c r="I1" s="69"/>
      <c r="J1" s="68"/>
    </row>
    <row r="2" spans="1:11" s="7" customFormat="1" ht="34.200000000000003" thickBot="1" x14ac:dyDescent="0.35">
      <c r="A2" s="1" t="s">
        <v>80</v>
      </c>
      <c r="B2" s="2" t="s">
        <v>21</v>
      </c>
      <c r="C2" s="2" t="s">
        <v>28</v>
      </c>
      <c r="D2" s="2" t="s">
        <v>20</v>
      </c>
      <c r="E2" s="3" t="s">
        <v>53</v>
      </c>
      <c r="F2" s="3" t="s">
        <v>29</v>
      </c>
      <c r="G2" s="4" t="s">
        <v>55</v>
      </c>
      <c r="H2" s="308" t="s">
        <v>79</v>
      </c>
      <c r="I2" s="5" t="s">
        <v>68</v>
      </c>
      <c r="J2" s="6" t="s">
        <v>66</v>
      </c>
    </row>
    <row r="3" spans="1:11" s="7" customFormat="1" ht="16.8" x14ac:dyDescent="0.3">
      <c r="A3" s="70" t="s">
        <v>57</v>
      </c>
      <c r="B3" s="71">
        <v>8</v>
      </c>
      <c r="C3" s="72" t="s">
        <v>23</v>
      </c>
      <c r="D3" s="72" t="str">
        <f>IF(C3="Str",'Personal File'!$C$7,IF(C3="Dex",'Personal File'!$C$8,IF(C3="Con",'Personal File'!$C$9,IF(C3="Int",'Personal File'!$C$10,IF(C3="Wis",'Personal File'!$C$11,IF(C3="Cha",'Personal File'!$C$12))))))</f>
        <v>+2</v>
      </c>
      <c r="E3" s="73" t="str">
        <f t="shared" ref="E3:E5" si="0">CONCATENATE(C3," (",D3,")")</f>
        <v>Con (+2)</v>
      </c>
      <c r="F3" s="74">
        <v>0</v>
      </c>
      <c r="G3" s="75">
        <f t="shared" ref="G3:G41" si="1">B3+D3+F3</f>
        <v>10</v>
      </c>
      <c r="H3" s="76">
        <f t="shared" ref="H3:H5" ca="1" si="2">RANDBETWEEN(1,20)</f>
        <v>15</v>
      </c>
      <c r="I3" s="75">
        <f t="shared" ref="I3:I41" ca="1" si="3">SUM(G3:H3)</f>
        <v>25</v>
      </c>
      <c r="J3" s="77" t="s">
        <v>122</v>
      </c>
    </row>
    <row r="4" spans="1:11" s="7" customFormat="1" ht="16.8" x14ac:dyDescent="0.3">
      <c r="A4" s="78" t="s">
        <v>58</v>
      </c>
      <c r="B4" s="71">
        <v>4</v>
      </c>
      <c r="C4" s="72" t="s">
        <v>26</v>
      </c>
      <c r="D4" s="72" t="str">
        <f>IF(C4="Str",'Personal File'!$C$7,IF(C4="Dex",'Personal File'!$C$8,IF(C4="Con",'Personal File'!$C$9,IF(C4="Int",'Personal File'!$C$10,IF(C4="Wis",'Personal File'!$C$11,IF(C4="Cha",'Personal File'!$C$12))))))</f>
        <v>+3</v>
      </c>
      <c r="E4" s="79" t="str">
        <f t="shared" si="0"/>
        <v>Dex (+3)</v>
      </c>
      <c r="F4" s="94" t="s">
        <v>54</v>
      </c>
      <c r="G4" s="75">
        <f t="shared" si="1"/>
        <v>7</v>
      </c>
      <c r="H4" s="76">
        <f t="shared" ca="1" si="2"/>
        <v>14</v>
      </c>
      <c r="I4" s="75">
        <f t="shared" ca="1" si="3"/>
        <v>21</v>
      </c>
      <c r="J4" s="77" t="s">
        <v>122</v>
      </c>
      <c r="K4" s="322"/>
    </row>
    <row r="5" spans="1:11" s="7" customFormat="1" ht="16.8" x14ac:dyDescent="0.3">
      <c r="A5" s="80" t="s">
        <v>59</v>
      </c>
      <c r="B5" s="81">
        <v>8</v>
      </c>
      <c r="C5" s="82" t="s">
        <v>25</v>
      </c>
      <c r="D5" s="82" t="str">
        <f>IF(C5="Str",'Personal File'!$C$7,IF(C5="Dex",'Personal File'!$C$8,IF(C5="Con",'Personal File'!$C$9,IF(C5="Int",'Personal File'!$C$10,IF(C5="Wis",'Personal File'!$C$11,IF(C5="Cha",'Personal File'!$C$12))))))</f>
        <v>+1</v>
      </c>
      <c r="E5" s="83" t="str">
        <f t="shared" si="0"/>
        <v>Wis (+1)</v>
      </c>
      <c r="F5" s="84">
        <v>0</v>
      </c>
      <c r="G5" s="85">
        <f t="shared" si="1"/>
        <v>9</v>
      </c>
      <c r="H5" s="86">
        <f t="shared" ca="1" si="2"/>
        <v>20</v>
      </c>
      <c r="I5" s="85">
        <f t="shared" ca="1" si="3"/>
        <v>29</v>
      </c>
      <c r="J5" s="87" t="s">
        <v>122</v>
      </c>
    </row>
    <row r="6" spans="1:11" s="96" customFormat="1" ht="16.8" x14ac:dyDescent="0.3">
      <c r="A6" s="88" t="s">
        <v>30</v>
      </c>
      <c r="B6" s="89">
        <v>0</v>
      </c>
      <c r="C6" s="90" t="s">
        <v>24</v>
      </c>
      <c r="D6" s="91" t="str">
        <f>IF(C6="Str",'Personal File'!$C$7,IF(C6="Dex",'Personal File'!$C$8,IF(C6="Con",'Personal File'!$C$9,IF(C6="Int",'Personal File'!$C$10,IF(C6="Wis",'Personal File'!$C$11,IF(C6="Cha",'Personal File'!$C$12))))))</f>
        <v>+1</v>
      </c>
      <c r="E6" s="92" t="str">
        <f t="shared" ref="E6:E41" si="4">CONCATENATE(C6," (",D6,")")</f>
        <v>Int (+1)</v>
      </c>
      <c r="F6" s="93" t="s">
        <v>54</v>
      </c>
      <c r="G6" s="94">
        <f t="shared" si="1"/>
        <v>1</v>
      </c>
      <c r="H6" s="76">
        <f ca="1">RANDBETWEEN(1,20)</f>
        <v>9</v>
      </c>
      <c r="I6" s="94">
        <f t="shared" ca="1" si="3"/>
        <v>10</v>
      </c>
      <c r="J6" s="95"/>
    </row>
    <row r="7" spans="1:11" s="100" customFormat="1" ht="16.8" x14ac:dyDescent="0.3">
      <c r="A7" s="97" t="s">
        <v>31</v>
      </c>
      <c r="B7" s="89">
        <v>0</v>
      </c>
      <c r="C7" s="98" t="s">
        <v>26</v>
      </c>
      <c r="D7" s="99" t="str">
        <f>IF(C7="Str",'Personal File'!$C$7,IF(C7="Dex",'Personal File'!$C$8,IF(C7="Con",'Personal File'!$C$9,IF(C7="Int",'Personal File'!$C$10,IF(C7="Wis",'Personal File'!$C$11,IF(C7="Cha",'Personal File'!$C$12))))))</f>
        <v>+3</v>
      </c>
      <c r="E7" s="79" t="str">
        <f t="shared" si="4"/>
        <v>Dex (+3)</v>
      </c>
      <c r="F7" s="93">
        <f>SUM(Martial!$D$17:$D$21)</f>
        <v>-2</v>
      </c>
      <c r="G7" s="94">
        <f t="shared" si="1"/>
        <v>1</v>
      </c>
      <c r="H7" s="76">
        <f t="shared" ref="H7:H41" ca="1" si="5">RANDBETWEEN(1,20)</f>
        <v>1</v>
      </c>
      <c r="I7" s="94">
        <f t="shared" ca="1" si="3"/>
        <v>2</v>
      </c>
      <c r="J7" s="95"/>
    </row>
    <row r="8" spans="1:11" s="105" customFormat="1" ht="16.8" x14ac:dyDescent="0.3">
      <c r="A8" s="101" t="s">
        <v>32</v>
      </c>
      <c r="B8" s="89">
        <v>0</v>
      </c>
      <c r="C8" s="102" t="s">
        <v>22</v>
      </c>
      <c r="D8" s="103" t="str">
        <f>IF(C8="Str",'Personal File'!$C$7,IF(C8="Dex",'Personal File'!$C$8,IF(C8="Con",'Personal File'!$C$9,IF(C8="Int",'Personal File'!$C$10,IF(C8="Wis",'Personal File'!$C$11,IF(C8="Cha",'Personal File'!$C$12))))))</f>
        <v>+4</v>
      </c>
      <c r="E8" s="104" t="str">
        <f t="shared" si="4"/>
        <v>Cha (+4)</v>
      </c>
      <c r="F8" s="94" t="s">
        <v>54</v>
      </c>
      <c r="G8" s="94">
        <f t="shared" si="1"/>
        <v>4</v>
      </c>
      <c r="H8" s="76">
        <f t="shared" ca="1" si="5"/>
        <v>2</v>
      </c>
      <c r="I8" s="94">
        <f t="shared" ca="1" si="3"/>
        <v>6</v>
      </c>
      <c r="J8" s="95"/>
    </row>
    <row r="9" spans="1:11" s="110" customFormat="1" ht="16.8" x14ac:dyDescent="0.3">
      <c r="A9" s="287" t="s">
        <v>33</v>
      </c>
      <c r="B9" s="127">
        <v>8</v>
      </c>
      <c r="C9" s="288" t="s">
        <v>27</v>
      </c>
      <c r="D9" s="289" t="str">
        <f>IF(C9="Str",'Personal File'!$C$7,IF(C9="Dex",'Personal File'!$C$8,IF(C9="Con",'Personal File'!$C$9,IF(C9="Int",'Personal File'!$C$10,IF(C9="Wis",'Personal File'!$C$11,IF(C9="Cha",'Personal File'!$C$12))))))</f>
        <v>+5</v>
      </c>
      <c r="E9" s="290" t="str">
        <f t="shared" si="4"/>
        <v>Str (+5)</v>
      </c>
      <c r="F9" s="128">
        <f>SUM(Martial!$D$17:$D$21)</f>
        <v>-2</v>
      </c>
      <c r="G9" s="128">
        <f t="shared" si="1"/>
        <v>11</v>
      </c>
      <c r="H9" s="76">
        <f t="shared" ca="1" si="5"/>
        <v>3</v>
      </c>
      <c r="I9" s="128">
        <f t="shared" ca="1" si="3"/>
        <v>14</v>
      </c>
      <c r="J9" s="129"/>
    </row>
    <row r="10" spans="1:11" s="110" customFormat="1" ht="16.8" x14ac:dyDescent="0.3">
      <c r="A10" s="291" t="s">
        <v>7</v>
      </c>
      <c r="B10" s="89">
        <v>0</v>
      </c>
      <c r="C10" s="292" t="s">
        <v>23</v>
      </c>
      <c r="D10" s="293" t="str">
        <f>IF(C10="Str",'Personal File'!$C$7,IF(C10="Dex",'Personal File'!$C$8,IF(C10="Con",'Personal File'!$C$9,IF(C10="Int",'Personal File'!$C$10,IF(C10="Wis",'Personal File'!$C$11,IF(C10="Cha",'Personal File'!$C$12))))))</f>
        <v>+2</v>
      </c>
      <c r="E10" s="294" t="str">
        <f t="shared" si="4"/>
        <v>Con (+2)</v>
      </c>
      <c r="F10" s="94" t="s">
        <v>54</v>
      </c>
      <c r="G10" s="94">
        <f t="shared" si="1"/>
        <v>2</v>
      </c>
      <c r="H10" s="76">
        <f t="shared" ca="1" si="5"/>
        <v>3</v>
      </c>
      <c r="I10" s="94">
        <f t="shared" ca="1" si="3"/>
        <v>5</v>
      </c>
      <c r="J10" s="95"/>
    </row>
    <row r="11" spans="1:11" s="96" customFormat="1" ht="16.8" x14ac:dyDescent="0.3">
      <c r="A11" s="88" t="s">
        <v>130</v>
      </c>
      <c r="B11" s="89">
        <v>0</v>
      </c>
      <c r="C11" s="90" t="s">
        <v>24</v>
      </c>
      <c r="D11" s="91" t="str">
        <f>IF(C11="Str",'Personal File'!$C$7,IF(C11="Dex",'Personal File'!$C$8,IF(C11="Con",'Personal File'!$C$9,IF(C11="Int",'Personal File'!$C$10,IF(C11="Wis",'Personal File'!$C$11,IF(C11="Cha",'Personal File'!$C$12))))))</f>
        <v>+1</v>
      </c>
      <c r="E11" s="92" t="str">
        <f t="shared" si="4"/>
        <v>Int (+1)</v>
      </c>
      <c r="F11" s="94" t="s">
        <v>54</v>
      </c>
      <c r="G11" s="94">
        <f t="shared" si="1"/>
        <v>1</v>
      </c>
      <c r="H11" s="76">
        <f t="shared" ca="1" si="5"/>
        <v>6</v>
      </c>
      <c r="I11" s="94">
        <f t="shared" ca="1" si="3"/>
        <v>7</v>
      </c>
      <c r="J11" s="95"/>
    </row>
    <row r="12" spans="1:11" s="118" customFormat="1" ht="16.8" x14ac:dyDescent="0.3">
      <c r="A12" s="111" t="s">
        <v>34</v>
      </c>
      <c r="B12" s="112">
        <v>0</v>
      </c>
      <c r="C12" s="113" t="s">
        <v>24</v>
      </c>
      <c r="D12" s="114" t="str">
        <f>IF(C12="Str",'Personal File'!$C$7,IF(C12="Dex",'Personal File'!$C$8,IF(C12="Con",'Personal File'!$C$9,IF(C12="Int",'Personal File'!$C$10,IF(C12="Wis",'Personal File'!$C$11,IF(C12="Cha",'Personal File'!$C$12))))))</f>
        <v>+1</v>
      </c>
      <c r="E12" s="115" t="str">
        <f t="shared" si="4"/>
        <v>Int (+1)</v>
      </c>
      <c r="F12" s="116" t="s">
        <v>54</v>
      </c>
      <c r="G12" s="116">
        <f t="shared" si="1"/>
        <v>1</v>
      </c>
      <c r="H12" s="76">
        <f t="shared" ca="1" si="5"/>
        <v>6</v>
      </c>
      <c r="I12" s="116">
        <f t="shared" ca="1" si="3"/>
        <v>7</v>
      </c>
      <c r="J12" s="117"/>
    </row>
    <row r="13" spans="1:11" s="100" customFormat="1" ht="16.8" x14ac:dyDescent="0.3">
      <c r="A13" s="101" t="s">
        <v>35</v>
      </c>
      <c r="B13" s="89">
        <v>0</v>
      </c>
      <c r="C13" s="102" t="s">
        <v>22</v>
      </c>
      <c r="D13" s="103" t="str">
        <f>IF(C13="Str",'Personal File'!$C$7,IF(C13="Dex",'Personal File'!$C$8,IF(C13="Con",'Personal File'!$C$9,IF(C13="Int",'Personal File'!$C$10,IF(C13="Wis",'Personal File'!$C$11,IF(C13="Cha",'Personal File'!$C$12))))))</f>
        <v>+4</v>
      </c>
      <c r="E13" s="104" t="str">
        <f t="shared" si="4"/>
        <v>Cha (+4)</v>
      </c>
      <c r="F13" s="94" t="s">
        <v>54</v>
      </c>
      <c r="G13" s="94">
        <f t="shared" si="1"/>
        <v>4</v>
      </c>
      <c r="H13" s="76">
        <f t="shared" ca="1" si="5"/>
        <v>2</v>
      </c>
      <c r="I13" s="94">
        <f t="shared" ca="1" si="3"/>
        <v>6</v>
      </c>
      <c r="J13" s="119"/>
    </row>
    <row r="14" spans="1:11" s="100" customFormat="1" ht="16.8" x14ac:dyDescent="0.3">
      <c r="A14" s="111" t="s">
        <v>36</v>
      </c>
      <c r="B14" s="112">
        <v>0</v>
      </c>
      <c r="C14" s="113" t="s">
        <v>24</v>
      </c>
      <c r="D14" s="114" t="str">
        <f>IF(C14="Str",'Personal File'!$C$7,IF(C14="Dex",'Personal File'!$C$8,IF(C14="Con",'Personal File'!$C$9,IF(C14="Int",'Personal File'!$C$10,IF(C14="Wis",'Personal File'!$C$11,IF(C14="Cha",'Personal File'!$C$12))))))</f>
        <v>+1</v>
      </c>
      <c r="E14" s="115" t="str">
        <f t="shared" si="4"/>
        <v>Int (+1)</v>
      </c>
      <c r="F14" s="116" t="s">
        <v>54</v>
      </c>
      <c r="G14" s="116">
        <f t="shared" si="1"/>
        <v>1</v>
      </c>
      <c r="H14" s="76">
        <f t="shared" ca="1" si="5"/>
        <v>13</v>
      </c>
      <c r="I14" s="116">
        <f t="shared" ca="1" si="3"/>
        <v>14</v>
      </c>
      <c r="J14" s="117"/>
    </row>
    <row r="15" spans="1:11" s="100" customFormat="1" ht="16.8" x14ac:dyDescent="0.3">
      <c r="A15" s="101" t="s">
        <v>37</v>
      </c>
      <c r="B15" s="89">
        <v>0</v>
      </c>
      <c r="C15" s="102" t="s">
        <v>22</v>
      </c>
      <c r="D15" s="103" t="str">
        <f>IF(C15="Str",'Personal File'!$C$7,IF(C15="Dex",'Personal File'!$C$8,IF(C15="Con",'Personal File'!$C$9,IF(C15="Int",'Personal File'!$C$10,IF(C15="Wis",'Personal File'!$C$11,IF(C15="Cha",'Personal File'!$C$12))))))</f>
        <v>+4</v>
      </c>
      <c r="E15" s="104" t="str">
        <f t="shared" si="4"/>
        <v>Cha (+4)</v>
      </c>
      <c r="F15" s="94" t="s">
        <v>54</v>
      </c>
      <c r="G15" s="94">
        <f t="shared" si="1"/>
        <v>4</v>
      </c>
      <c r="H15" s="76">
        <f t="shared" ca="1" si="5"/>
        <v>4</v>
      </c>
      <c r="I15" s="94">
        <f t="shared" ca="1" si="3"/>
        <v>8</v>
      </c>
      <c r="J15" s="95"/>
    </row>
    <row r="16" spans="1:11" s="100" customFormat="1" ht="16.8" x14ac:dyDescent="0.3">
      <c r="A16" s="97" t="s">
        <v>38</v>
      </c>
      <c r="B16" s="89">
        <v>0</v>
      </c>
      <c r="C16" s="98" t="s">
        <v>26</v>
      </c>
      <c r="D16" s="99" t="str">
        <f>IF(C16="Str",'Personal File'!$C$7,IF(C16="Dex",'Personal File'!$C$8,IF(C16="Con",'Personal File'!$C$9,IF(C16="Int",'Personal File'!$C$10,IF(C16="Wis",'Personal File'!$C$11,IF(C16="Cha",'Personal File'!$C$12))))))</f>
        <v>+3</v>
      </c>
      <c r="E16" s="79" t="str">
        <f t="shared" si="4"/>
        <v>Dex (+3)</v>
      </c>
      <c r="F16" s="93">
        <f>SUM(Martial!$D$17:$D$21)</f>
        <v>-2</v>
      </c>
      <c r="G16" s="94">
        <f t="shared" si="1"/>
        <v>1</v>
      </c>
      <c r="H16" s="76">
        <f t="shared" ca="1" si="5"/>
        <v>9</v>
      </c>
      <c r="I16" s="94">
        <f t="shared" ca="1" si="3"/>
        <v>10</v>
      </c>
      <c r="J16" s="95"/>
    </row>
    <row r="17" spans="1:10" s="100" customFormat="1" ht="16.8" x14ac:dyDescent="0.3">
      <c r="A17" s="120" t="s">
        <v>39</v>
      </c>
      <c r="B17" s="121">
        <v>0</v>
      </c>
      <c r="C17" s="122" t="s">
        <v>24</v>
      </c>
      <c r="D17" s="123" t="str">
        <f>IF(C17="Str",'Personal File'!$C$7,IF(C17="Dex",'Personal File'!$C$8,IF(C17="Con",'Personal File'!$C$9,IF(C17="Int",'Personal File'!$C$10,IF(C17="Wis",'Personal File'!$C$11,IF(C17="Cha",'Personal File'!$C$12))))))</f>
        <v>+1</v>
      </c>
      <c r="E17" s="124" t="str">
        <f t="shared" si="4"/>
        <v>Int (+1)</v>
      </c>
      <c r="F17" s="125" t="s">
        <v>54</v>
      </c>
      <c r="G17" s="125">
        <f t="shared" si="1"/>
        <v>1</v>
      </c>
      <c r="H17" s="76">
        <f t="shared" ca="1" si="5"/>
        <v>13</v>
      </c>
      <c r="I17" s="125">
        <f t="shared" ca="1" si="3"/>
        <v>14</v>
      </c>
      <c r="J17" s="126"/>
    </row>
    <row r="18" spans="1:10" s="100" customFormat="1" ht="16.8" x14ac:dyDescent="0.3">
      <c r="A18" s="101" t="s">
        <v>40</v>
      </c>
      <c r="B18" s="89">
        <v>0</v>
      </c>
      <c r="C18" s="102" t="s">
        <v>22</v>
      </c>
      <c r="D18" s="103" t="str">
        <f>IF(C18="Str",'Personal File'!$C$7,IF(C18="Dex",'Personal File'!$C$8,IF(C18="Con",'Personal File'!$C$9,IF(C18="Int",'Personal File'!$C$10,IF(C18="Wis",'Personal File'!$C$11,IF(C18="Cha",'Personal File'!$C$12))))))</f>
        <v>+4</v>
      </c>
      <c r="E18" s="104" t="str">
        <f t="shared" si="4"/>
        <v>Cha (+4)</v>
      </c>
      <c r="F18" s="94" t="s">
        <v>54</v>
      </c>
      <c r="G18" s="94">
        <f t="shared" si="1"/>
        <v>4</v>
      </c>
      <c r="H18" s="76">
        <f t="shared" ca="1" si="5"/>
        <v>14</v>
      </c>
      <c r="I18" s="94">
        <f t="shared" ca="1" si="3"/>
        <v>18</v>
      </c>
      <c r="J18" s="95"/>
    </row>
    <row r="19" spans="1:10" s="100" customFormat="1" ht="16.8" x14ac:dyDescent="0.3">
      <c r="A19" s="101" t="s">
        <v>9</v>
      </c>
      <c r="B19" s="89">
        <v>0</v>
      </c>
      <c r="C19" s="102" t="s">
        <v>22</v>
      </c>
      <c r="D19" s="103" t="str">
        <f>IF(C19="Str",'Personal File'!$C$7,IF(C19="Dex",'Personal File'!$C$8,IF(C19="Con",'Personal File'!$C$9,IF(C19="Int",'Personal File'!$C$10,IF(C19="Wis",'Personal File'!$C$11,IF(C19="Cha",'Personal File'!$C$12))))))</f>
        <v>+4</v>
      </c>
      <c r="E19" s="104" t="str">
        <f t="shared" si="4"/>
        <v>Cha (+4)</v>
      </c>
      <c r="F19" s="94" t="s">
        <v>54</v>
      </c>
      <c r="G19" s="94">
        <f t="shared" si="1"/>
        <v>4</v>
      </c>
      <c r="H19" s="76">
        <f t="shared" ca="1" si="5"/>
        <v>11</v>
      </c>
      <c r="I19" s="94">
        <f t="shared" ca="1" si="3"/>
        <v>15</v>
      </c>
      <c r="J19" s="95"/>
    </row>
    <row r="20" spans="1:10" s="100" customFormat="1" ht="16.8" x14ac:dyDescent="0.3">
      <c r="A20" s="130" t="s">
        <v>41</v>
      </c>
      <c r="B20" s="89">
        <v>0</v>
      </c>
      <c r="C20" s="131" t="s">
        <v>25</v>
      </c>
      <c r="D20" s="132" t="str">
        <f>IF(C20="Str",'Personal File'!$C$7,IF(C20="Dex",'Personal File'!$C$8,IF(C20="Con",'Personal File'!$C$9,IF(C20="Int",'Personal File'!$C$10,IF(C20="Wis",'Personal File'!$C$11,IF(C20="Cha",'Personal File'!$C$12))))))</f>
        <v>+1</v>
      </c>
      <c r="E20" s="133" t="str">
        <f t="shared" si="4"/>
        <v>Wis (+1)</v>
      </c>
      <c r="F20" s="94" t="s">
        <v>54</v>
      </c>
      <c r="G20" s="94">
        <f t="shared" si="1"/>
        <v>1</v>
      </c>
      <c r="H20" s="76">
        <f t="shared" ca="1" si="5"/>
        <v>2</v>
      </c>
      <c r="I20" s="94">
        <f t="shared" ca="1" si="3"/>
        <v>3</v>
      </c>
      <c r="J20" s="95"/>
    </row>
    <row r="21" spans="1:10" s="100" customFormat="1" ht="16.8" x14ac:dyDescent="0.3">
      <c r="A21" s="400" t="s">
        <v>42</v>
      </c>
      <c r="B21" s="127">
        <v>13</v>
      </c>
      <c r="C21" s="401" t="s">
        <v>26</v>
      </c>
      <c r="D21" s="402" t="str">
        <f>IF(C21="Str",'Personal File'!$C$7,IF(C21="Dex",'Personal File'!$C$8,IF(C21="Con",'Personal File'!$C$9,IF(C21="Int",'Personal File'!$C$10,IF(C21="Wis",'Personal File'!$C$11,IF(C21="Cha",'Personal File'!$C$12))))))</f>
        <v>+3</v>
      </c>
      <c r="E21" s="403" t="str">
        <f t="shared" si="4"/>
        <v>Dex (+3)</v>
      </c>
      <c r="F21" s="404">
        <f>SUM(Martial!$D$17:$D$21)+3</f>
        <v>1</v>
      </c>
      <c r="G21" s="128">
        <f t="shared" si="1"/>
        <v>17</v>
      </c>
      <c r="H21" s="76">
        <f t="shared" ca="1" si="5"/>
        <v>9</v>
      </c>
      <c r="I21" s="128">
        <f t="shared" ca="1" si="3"/>
        <v>26</v>
      </c>
      <c r="J21" s="129" t="s">
        <v>156</v>
      </c>
    </row>
    <row r="22" spans="1:10" s="100" customFormat="1" ht="16.8" x14ac:dyDescent="0.3">
      <c r="A22" s="301" t="s">
        <v>43</v>
      </c>
      <c r="B22" s="127">
        <v>13</v>
      </c>
      <c r="C22" s="323" t="s">
        <v>22</v>
      </c>
      <c r="D22" s="324" t="str">
        <f>IF(C22="Str",'Personal File'!$C$7,IF(C22="Dex",'Personal File'!$C$8,IF(C22="Con",'Personal File'!$C$9,IF(C22="Int",'Personal File'!$C$10,IF(C22="Wis",'Personal File'!$C$11,IF(C22="Cha",'Personal File'!$C$12))))))</f>
        <v>+4</v>
      </c>
      <c r="E22" s="302" t="str">
        <f t="shared" si="4"/>
        <v>Cha (+4)</v>
      </c>
      <c r="F22" s="128" t="s">
        <v>54</v>
      </c>
      <c r="G22" s="128">
        <f t="shared" si="1"/>
        <v>17</v>
      </c>
      <c r="H22" s="76">
        <f t="shared" ca="1" si="5"/>
        <v>19</v>
      </c>
      <c r="I22" s="128">
        <f t="shared" ca="1" si="3"/>
        <v>36</v>
      </c>
      <c r="J22" s="129"/>
    </row>
    <row r="23" spans="1:10" s="100" customFormat="1" ht="16.8" x14ac:dyDescent="0.3">
      <c r="A23" s="106" t="s">
        <v>44</v>
      </c>
      <c r="B23" s="89">
        <v>0</v>
      </c>
      <c r="C23" s="107" t="s">
        <v>27</v>
      </c>
      <c r="D23" s="108" t="str">
        <f>IF(C23="Str",'Personal File'!$C$7,IF(C23="Dex",'Personal File'!$C$8,IF(C23="Con",'Personal File'!$C$9,IF(C23="Int",'Personal File'!$C$10,IF(C23="Wis",'Personal File'!$C$11,IF(C23="Cha",'Personal File'!$C$12))))))</f>
        <v>+5</v>
      </c>
      <c r="E23" s="109" t="str">
        <f t="shared" si="4"/>
        <v>Str (+5)</v>
      </c>
      <c r="F23" s="94">
        <f>SUM(Martial!$D$17:$D$21)</f>
        <v>-2</v>
      </c>
      <c r="G23" s="94">
        <f t="shared" si="1"/>
        <v>3</v>
      </c>
      <c r="H23" s="76">
        <f t="shared" ca="1" si="5"/>
        <v>10</v>
      </c>
      <c r="I23" s="94">
        <f t="shared" ca="1" si="3"/>
        <v>13</v>
      </c>
      <c r="J23" s="95"/>
    </row>
    <row r="24" spans="1:10" s="100" customFormat="1" ht="16.8" x14ac:dyDescent="0.3">
      <c r="A24" s="303" t="s">
        <v>171</v>
      </c>
      <c r="B24" s="127">
        <v>2</v>
      </c>
      <c r="C24" s="304" t="s">
        <v>24</v>
      </c>
      <c r="D24" s="305" t="str">
        <f>IF(C24="Str",'Personal File'!$C$7,IF(C24="Dex",'Personal File'!$C$8,IF(C24="Con",'Personal File'!$C$9,IF(C24="Int",'Personal File'!$C$10,IF(C24="Wis",'Personal File'!$C$11,IF(C24="Cha",'Personal File'!$C$12))))))</f>
        <v>+1</v>
      </c>
      <c r="E24" s="306" t="str">
        <f>CONCATENATE(C24," (",D24,")")</f>
        <v>Int (+1)</v>
      </c>
      <c r="F24" s="128" t="s">
        <v>54</v>
      </c>
      <c r="G24" s="128">
        <f t="shared" si="1"/>
        <v>3</v>
      </c>
      <c r="H24" s="76">
        <f t="shared" ca="1" si="5"/>
        <v>16</v>
      </c>
      <c r="I24" s="128">
        <f t="shared" ca="1" si="3"/>
        <v>19</v>
      </c>
      <c r="J24" s="129"/>
    </row>
    <row r="25" spans="1:10" s="100" customFormat="1" ht="16.8" x14ac:dyDescent="0.3">
      <c r="A25" s="130" t="s">
        <v>45</v>
      </c>
      <c r="B25" s="89">
        <v>0</v>
      </c>
      <c r="C25" s="131" t="s">
        <v>25</v>
      </c>
      <c r="D25" s="132" t="str">
        <f>IF(C25="Str",'Personal File'!$C$7,IF(C25="Dex",'Personal File'!$C$8,IF(C25="Con",'Personal File'!$C$9,IF(C25="Int",'Personal File'!$C$10,IF(C25="Wis",'Personal File'!$C$11,IF(C25="Cha",'Personal File'!$C$12))))))</f>
        <v>+1</v>
      </c>
      <c r="E25" s="133" t="str">
        <f t="shared" si="4"/>
        <v>Wis (+1)</v>
      </c>
      <c r="F25" s="94" t="s">
        <v>54</v>
      </c>
      <c r="G25" s="94">
        <f t="shared" si="1"/>
        <v>1</v>
      </c>
      <c r="H25" s="76">
        <f t="shared" ca="1" si="5"/>
        <v>15</v>
      </c>
      <c r="I25" s="94">
        <f t="shared" ca="1" si="3"/>
        <v>16</v>
      </c>
      <c r="J25" s="95" t="s">
        <v>117</v>
      </c>
    </row>
    <row r="26" spans="1:10" s="100" customFormat="1" ht="16.8" x14ac:dyDescent="0.3">
      <c r="A26" s="97" t="s">
        <v>10</v>
      </c>
      <c r="B26" s="89">
        <v>0</v>
      </c>
      <c r="C26" s="98" t="s">
        <v>26</v>
      </c>
      <c r="D26" s="99" t="str">
        <f>IF(C26="Str",'Personal File'!$C$7,IF(C26="Dex",'Personal File'!$C$8,IF(C26="Con",'Personal File'!$C$9,IF(C26="Int",'Personal File'!$C$10,IF(C26="Wis",'Personal File'!$C$11,IF(C26="Cha",'Personal File'!$C$12))))))</f>
        <v>+3</v>
      </c>
      <c r="E26" s="79" t="str">
        <f t="shared" si="4"/>
        <v>Dex (+3)</v>
      </c>
      <c r="F26" s="93">
        <f>SUM(Martial!$D$17:$D$21)</f>
        <v>-2</v>
      </c>
      <c r="G26" s="94">
        <f t="shared" si="1"/>
        <v>1</v>
      </c>
      <c r="H26" s="76">
        <f t="shared" ca="1" si="5"/>
        <v>10</v>
      </c>
      <c r="I26" s="94">
        <f t="shared" ca="1" si="3"/>
        <v>11</v>
      </c>
      <c r="J26" s="95" t="s">
        <v>156</v>
      </c>
    </row>
    <row r="27" spans="1:10" s="100" customFormat="1" ht="16.8" x14ac:dyDescent="0.3">
      <c r="A27" s="134" t="s">
        <v>46</v>
      </c>
      <c r="B27" s="112">
        <v>0</v>
      </c>
      <c r="C27" s="135" t="s">
        <v>26</v>
      </c>
      <c r="D27" s="136" t="str">
        <f>IF(C27="Str",'Personal File'!$C$7,IF(C27="Dex",'Personal File'!$C$8,IF(C27="Con",'Personal File'!$C$9,IF(C27="Int",'Personal File'!$C$10,IF(C27="Wis",'Personal File'!$C$11,IF(C27="Cha",'Personal File'!$C$12))))))</f>
        <v>+3</v>
      </c>
      <c r="E27" s="137" t="str">
        <f t="shared" si="4"/>
        <v>Dex (+3)</v>
      </c>
      <c r="F27" s="116" t="s">
        <v>54</v>
      </c>
      <c r="G27" s="116">
        <f t="shared" si="1"/>
        <v>3</v>
      </c>
      <c r="H27" s="76">
        <f t="shared" ca="1" si="5"/>
        <v>3</v>
      </c>
      <c r="I27" s="116">
        <f t="shared" ca="1" si="3"/>
        <v>6</v>
      </c>
      <c r="J27" s="117"/>
    </row>
    <row r="28" spans="1:10" ht="16.8" x14ac:dyDescent="0.3">
      <c r="A28" s="101" t="s">
        <v>82</v>
      </c>
      <c r="B28" s="89">
        <v>0</v>
      </c>
      <c r="C28" s="102" t="s">
        <v>22</v>
      </c>
      <c r="D28" s="103" t="str">
        <f>IF(C28="Str",'Personal File'!$C$7,IF(C28="Dex",'Personal File'!$C$8,IF(C28="Con",'Personal File'!$C$9,IF(C28="Int",'Personal File'!$C$10,IF(C28="Wis",'Personal File'!$C$11,IF(C28="Cha",'Personal File'!$C$12))))))</f>
        <v>+4</v>
      </c>
      <c r="E28" s="104" t="str">
        <f t="shared" si="4"/>
        <v>Cha (+4)</v>
      </c>
      <c r="F28" s="94" t="s">
        <v>54</v>
      </c>
      <c r="G28" s="94">
        <f t="shared" si="1"/>
        <v>4</v>
      </c>
      <c r="H28" s="76">
        <f t="shared" ca="1" si="5"/>
        <v>6</v>
      </c>
      <c r="I28" s="94">
        <f t="shared" ca="1" si="3"/>
        <v>10</v>
      </c>
      <c r="J28" s="95"/>
    </row>
    <row r="29" spans="1:10" ht="16.8" x14ac:dyDescent="0.3">
      <c r="A29" s="138" t="s">
        <v>83</v>
      </c>
      <c r="B29" s="139">
        <v>0</v>
      </c>
      <c r="C29" s="140" t="s">
        <v>25</v>
      </c>
      <c r="D29" s="141" t="str">
        <f>IF(C29="Str",'Personal File'!$C$7,IF(C29="Dex",'Personal File'!$C$8,IF(C29="Con",'Personal File'!$C$9,IF(C29="Int",'Personal File'!$C$10,IF(C29="Wis",'Personal File'!$C$11,IF(C29="Cha",'Personal File'!$C$12))))))</f>
        <v>+1</v>
      </c>
      <c r="E29" s="142" t="str">
        <f t="shared" ref="E29" si="6">CONCATENATE(C29," (",D29,")")</f>
        <v>Wis (+1)</v>
      </c>
      <c r="F29" s="143" t="s">
        <v>54</v>
      </c>
      <c r="G29" s="144">
        <f t="shared" si="1"/>
        <v>1</v>
      </c>
      <c r="H29" s="76">
        <f t="shared" ca="1" si="5"/>
        <v>6</v>
      </c>
      <c r="I29" s="144">
        <f t="shared" ca="1" si="3"/>
        <v>7</v>
      </c>
      <c r="J29" s="145"/>
    </row>
    <row r="30" spans="1:10" ht="16.8" x14ac:dyDescent="0.3">
      <c r="A30" s="97" t="s">
        <v>11</v>
      </c>
      <c r="B30" s="89">
        <v>0</v>
      </c>
      <c r="C30" s="98" t="s">
        <v>26</v>
      </c>
      <c r="D30" s="99" t="str">
        <f>IF(C30="Str",'Personal File'!$C$7,IF(C30="Dex",'Personal File'!$C$8,IF(C30="Con",'Personal File'!$C$9,IF(C30="Int",'Personal File'!$C$10,IF(C30="Wis",'Personal File'!$C$11,IF(C30="Cha",'Personal File'!$C$12))))))</f>
        <v>+3</v>
      </c>
      <c r="E30" s="79" t="str">
        <f t="shared" si="4"/>
        <v>Dex (+3)</v>
      </c>
      <c r="F30" s="94" t="s">
        <v>54</v>
      </c>
      <c r="G30" s="94">
        <f t="shared" si="1"/>
        <v>3</v>
      </c>
      <c r="H30" s="76">
        <f t="shared" ca="1" si="5"/>
        <v>19</v>
      </c>
      <c r="I30" s="94">
        <f t="shared" ca="1" si="3"/>
        <v>22</v>
      </c>
      <c r="J30" s="95"/>
    </row>
    <row r="31" spans="1:10" ht="16.8" x14ac:dyDescent="0.3">
      <c r="A31" s="303" t="s">
        <v>12</v>
      </c>
      <c r="B31" s="127">
        <v>15</v>
      </c>
      <c r="C31" s="304" t="s">
        <v>24</v>
      </c>
      <c r="D31" s="305" t="str">
        <f>IF(C31="Str",'Personal File'!$C$7,IF(C31="Dex",'Personal File'!$C$8,IF(C31="Con",'Personal File'!$C$9,IF(C31="Int",'Personal File'!$C$10,IF(C31="Wis",'Personal File'!$C$11,IF(C31="Cha",'Personal File'!$C$12))))))</f>
        <v>+1</v>
      </c>
      <c r="E31" s="306" t="str">
        <f t="shared" si="4"/>
        <v>Int (+1)</v>
      </c>
      <c r="F31" s="128" t="s">
        <v>54</v>
      </c>
      <c r="G31" s="128">
        <f t="shared" si="1"/>
        <v>16</v>
      </c>
      <c r="H31" s="76">
        <f t="shared" ca="1" si="5"/>
        <v>5</v>
      </c>
      <c r="I31" s="128">
        <f t="shared" ca="1" si="3"/>
        <v>21</v>
      </c>
      <c r="J31" s="129"/>
    </row>
    <row r="32" spans="1:10" ht="16.8" x14ac:dyDescent="0.3">
      <c r="A32" s="130" t="s">
        <v>47</v>
      </c>
      <c r="B32" s="89">
        <v>0</v>
      </c>
      <c r="C32" s="131" t="s">
        <v>25</v>
      </c>
      <c r="D32" s="132" t="str">
        <f>IF(C32="Str",'Personal File'!$C$7,IF(C32="Dex",'Personal File'!$C$8,IF(C32="Con",'Personal File'!$C$9,IF(C32="Int",'Personal File'!$C$10,IF(C32="Wis",'Personal File'!$C$11,IF(C32="Cha",'Personal File'!$C$12))))))</f>
        <v>+1</v>
      </c>
      <c r="E32" s="133" t="str">
        <f t="shared" si="4"/>
        <v>Wis (+1)</v>
      </c>
      <c r="F32" s="94" t="s">
        <v>54</v>
      </c>
      <c r="G32" s="94">
        <f t="shared" si="1"/>
        <v>1</v>
      </c>
      <c r="H32" s="76">
        <f t="shared" ca="1" si="5"/>
        <v>4</v>
      </c>
      <c r="I32" s="94">
        <f t="shared" ca="1" si="3"/>
        <v>5</v>
      </c>
      <c r="J32" s="95"/>
    </row>
    <row r="33" spans="1:10" ht="16.8" x14ac:dyDescent="0.3">
      <c r="A33" s="134" t="s">
        <v>72</v>
      </c>
      <c r="B33" s="112">
        <v>0</v>
      </c>
      <c r="C33" s="135" t="s">
        <v>26</v>
      </c>
      <c r="D33" s="136" t="str">
        <f>IF(C33="Str",'Personal File'!$C$7,IF(C33="Dex",'Personal File'!$C$8,IF(C33="Con",'Personal File'!$C$9,IF(C33="Int",'Personal File'!$C$10,IF(C33="Wis",'Personal File'!$C$11,IF(C33="Cha",'Personal File'!$C$12))))))</f>
        <v>+3</v>
      </c>
      <c r="E33" s="137" t="str">
        <f t="shared" si="4"/>
        <v>Dex (+3)</v>
      </c>
      <c r="F33" s="143">
        <f>SUM(Martial!$D$17:$D$21)</f>
        <v>-2</v>
      </c>
      <c r="G33" s="116">
        <f t="shared" si="1"/>
        <v>1</v>
      </c>
      <c r="H33" s="76">
        <f t="shared" ca="1" si="5"/>
        <v>18</v>
      </c>
      <c r="I33" s="116">
        <f t="shared" ca="1" si="3"/>
        <v>19</v>
      </c>
      <c r="J33" s="117"/>
    </row>
    <row r="34" spans="1:10" ht="16.8" x14ac:dyDescent="0.3">
      <c r="A34" s="146" t="s">
        <v>71</v>
      </c>
      <c r="B34" s="139">
        <v>0</v>
      </c>
      <c r="C34" s="147" t="s">
        <v>24</v>
      </c>
      <c r="D34" s="148" t="str">
        <f>IF(C34="Str",'Personal File'!$C$7,IF(C34="Dex",'Personal File'!$C$8,IF(C34="Con",'Personal File'!$C$9,IF(C34="Int",'Personal File'!$C$10,IF(C34="Wis",'Personal File'!$C$11,IF(C34="Cha",'Personal File'!$C$12))))))</f>
        <v>+1</v>
      </c>
      <c r="E34" s="149" t="str">
        <f t="shared" si="4"/>
        <v>Int (+1)</v>
      </c>
      <c r="F34" s="143" t="s">
        <v>54</v>
      </c>
      <c r="G34" s="116">
        <f t="shared" si="1"/>
        <v>1</v>
      </c>
      <c r="H34" s="76">
        <f t="shared" ca="1" si="5"/>
        <v>20</v>
      </c>
      <c r="I34" s="116">
        <f t="shared" ca="1" si="3"/>
        <v>21</v>
      </c>
      <c r="J34" s="150"/>
    </row>
    <row r="35" spans="1:10" ht="16.8" x14ac:dyDescent="0.3">
      <c r="A35" s="146" t="s">
        <v>48</v>
      </c>
      <c r="B35" s="139">
        <v>0</v>
      </c>
      <c r="C35" s="147" t="s">
        <v>24</v>
      </c>
      <c r="D35" s="148" t="str">
        <f>IF(C35="Str",'Personal File'!$C$7,IF(C35="Dex",'Personal File'!$C$8,IF(C35="Con",'Personal File'!$C$9,IF(C35="Int",'Personal File'!$C$10,IF(C35="Wis",'Personal File'!$C$11,IF(C35="Cha",'Personal File'!$C$12))))))</f>
        <v>+1</v>
      </c>
      <c r="E35" s="149" t="str">
        <f t="shared" si="4"/>
        <v>Int (+1)</v>
      </c>
      <c r="F35" s="143" t="s">
        <v>54</v>
      </c>
      <c r="G35" s="143">
        <f t="shared" si="1"/>
        <v>1</v>
      </c>
      <c r="H35" s="76">
        <f t="shared" ca="1" si="5"/>
        <v>16</v>
      </c>
      <c r="I35" s="143">
        <f t="shared" ca="1" si="3"/>
        <v>17</v>
      </c>
      <c r="J35" s="150"/>
    </row>
    <row r="36" spans="1:10" ht="16.8" x14ac:dyDescent="0.3">
      <c r="A36" s="130" t="s">
        <v>49</v>
      </c>
      <c r="B36" s="89">
        <v>0</v>
      </c>
      <c r="C36" s="131" t="s">
        <v>25</v>
      </c>
      <c r="D36" s="132" t="str">
        <f>IF(C36="Str",'Personal File'!$C$7,IF(C36="Dex",'Personal File'!$C$8,IF(C36="Con",'Personal File'!$C$9,IF(C36="Int",'Personal File'!$C$10,IF(C36="Wis",'Personal File'!$C$11,IF(C36="Cha",'Personal File'!$C$12))))))</f>
        <v>+1</v>
      </c>
      <c r="E36" s="133" t="str">
        <f t="shared" si="4"/>
        <v>Wis (+1)</v>
      </c>
      <c r="F36" s="94" t="s">
        <v>54</v>
      </c>
      <c r="G36" s="94">
        <f t="shared" si="1"/>
        <v>1</v>
      </c>
      <c r="H36" s="76">
        <f t="shared" ca="1" si="5"/>
        <v>2</v>
      </c>
      <c r="I36" s="94">
        <f t="shared" ca="1" si="3"/>
        <v>3</v>
      </c>
      <c r="J36" s="95" t="s">
        <v>117</v>
      </c>
    </row>
    <row r="37" spans="1:10" ht="16.8" x14ac:dyDescent="0.3">
      <c r="A37" s="130" t="s">
        <v>73</v>
      </c>
      <c r="B37" s="89">
        <v>0</v>
      </c>
      <c r="C37" s="131" t="s">
        <v>25</v>
      </c>
      <c r="D37" s="132" t="str">
        <f>IF(C37="Str",'Personal File'!$C$7,IF(C37="Dex",'Personal File'!$C$8,IF(C37="Con",'Personal File'!$C$9,IF(C37="Int",'Personal File'!$C$10,IF(C37="Wis",'Personal File'!$C$11,IF(C37="Cha",'Personal File'!$C$12))))))</f>
        <v>+1</v>
      </c>
      <c r="E37" s="133" t="str">
        <f t="shared" si="4"/>
        <v>Wis (+1)</v>
      </c>
      <c r="F37" s="94" t="s">
        <v>54</v>
      </c>
      <c r="G37" s="94">
        <f t="shared" si="1"/>
        <v>1</v>
      </c>
      <c r="H37" s="76">
        <f t="shared" ca="1" si="5"/>
        <v>1</v>
      </c>
      <c r="I37" s="94">
        <f t="shared" ca="1" si="3"/>
        <v>2</v>
      </c>
      <c r="J37" s="95"/>
    </row>
    <row r="38" spans="1:10" ht="16.8" x14ac:dyDescent="0.3">
      <c r="A38" s="287" t="s">
        <v>13</v>
      </c>
      <c r="B38" s="127">
        <v>9</v>
      </c>
      <c r="C38" s="288" t="s">
        <v>27</v>
      </c>
      <c r="D38" s="289" t="str">
        <f>IF(C38="Str",'Personal File'!$C$7,IF(C38="Dex",'Personal File'!$C$8,IF(C38="Con",'Personal File'!$C$9,IF(C38="Int",'Personal File'!$C$10,IF(C38="Wis",'Personal File'!$C$11,IF(C38="Cha",'Personal File'!$C$12))))))</f>
        <v>+5</v>
      </c>
      <c r="E38" s="290" t="str">
        <f t="shared" si="4"/>
        <v>Str (+5)</v>
      </c>
      <c r="F38" s="128" t="s">
        <v>112</v>
      </c>
      <c r="G38" s="128">
        <f t="shared" si="1"/>
        <v>17</v>
      </c>
      <c r="H38" s="76">
        <f t="shared" ca="1" si="5"/>
        <v>16</v>
      </c>
      <c r="I38" s="128">
        <f t="shared" ca="1" si="3"/>
        <v>33</v>
      </c>
      <c r="J38" s="405" t="s">
        <v>156</v>
      </c>
    </row>
    <row r="39" spans="1:10" ht="16.8" x14ac:dyDescent="0.3">
      <c r="A39" s="151" t="s">
        <v>50</v>
      </c>
      <c r="B39" s="152">
        <v>0</v>
      </c>
      <c r="C39" s="153" t="s">
        <v>26</v>
      </c>
      <c r="D39" s="154" t="str">
        <f>IF(C39="Str",'Personal File'!$C$7,IF(C39="Dex",'Personal File'!$C$8,IF(C39="Con",'Personal File'!$C$9,IF(C39="Int",'Personal File'!$C$10,IF(C39="Wis",'Personal File'!$C$11,IF(C39="Cha",'Personal File'!$C$12))))))</f>
        <v>+3</v>
      </c>
      <c r="E39" s="155" t="str">
        <f t="shared" si="4"/>
        <v>Dex (+3)</v>
      </c>
      <c r="F39" s="143">
        <f>SUM(Martial!$D$17:$D$21)</f>
        <v>-2</v>
      </c>
      <c r="G39" s="116">
        <f t="shared" si="1"/>
        <v>1</v>
      </c>
      <c r="H39" s="76">
        <f t="shared" ca="1" si="5"/>
        <v>16</v>
      </c>
      <c r="I39" s="116">
        <f t="shared" ca="1" si="3"/>
        <v>17</v>
      </c>
      <c r="J39" s="156"/>
    </row>
    <row r="40" spans="1:10" ht="16.8" x14ac:dyDescent="0.3">
      <c r="A40" s="157" t="s">
        <v>51</v>
      </c>
      <c r="B40" s="112">
        <v>0</v>
      </c>
      <c r="C40" s="158" t="s">
        <v>22</v>
      </c>
      <c r="D40" s="159" t="str">
        <f>IF(C40="Str",'Personal File'!$C$7,IF(C40="Dex",'Personal File'!$C$8,IF(C40="Con",'Personal File'!$C$9,IF(C40="Int",'Personal File'!$C$10,IF(C40="Wis",'Personal File'!$C$11,IF(C40="Cha",'Personal File'!$C$12))))))</f>
        <v>+4</v>
      </c>
      <c r="E40" s="160" t="str">
        <f t="shared" si="4"/>
        <v>Cha (+4)</v>
      </c>
      <c r="F40" s="116" t="s">
        <v>54</v>
      </c>
      <c r="G40" s="116">
        <f t="shared" si="1"/>
        <v>4</v>
      </c>
      <c r="H40" s="76">
        <f t="shared" ca="1" si="5"/>
        <v>19</v>
      </c>
      <c r="I40" s="116">
        <f t="shared" ca="1" si="3"/>
        <v>23</v>
      </c>
      <c r="J40" s="117"/>
    </row>
    <row r="41" spans="1:10" ht="17.399999999999999" thickBot="1" x14ac:dyDescent="0.35">
      <c r="A41" s="161" t="s">
        <v>52</v>
      </c>
      <c r="B41" s="162">
        <v>0</v>
      </c>
      <c r="C41" s="163" t="s">
        <v>26</v>
      </c>
      <c r="D41" s="164" t="str">
        <f>IF(C41="Str",'Personal File'!$C$7,IF(C41="Dex",'Personal File'!$C$8,IF(C41="Con",'Personal File'!$C$9,IF(C41="Int",'Personal File'!$C$10,IF(C41="Wis",'Personal File'!$C$11,IF(C41="Cha",'Personal File'!$C$12))))))</f>
        <v>+3</v>
      </c>
      <c r="E41" s="165" t="str">
        <f t="shared" si="4"/>
        <v>Dex (+3)</v>
      </c>
      <c r="F41" s="166" t="s">
        <v>54</v>
      </c>
      <c r="G41" s="166">
        <f t="shared" si="1"/>
        <v>3</v>
      </c>
      <c r="H41" s="167">
        <f t="shared" ca="1" si="5"/>
        <v>18</v>
      </c>
      <c r="I41" s="166">
        <f t="shared" ca="1" si="3"/>
        <v>21</v>
      </c>
      <c r="J41" s="168"/>
    </row>
    <row r="42" spans="1:10" ht="16.2" thickTop="1" x14ac:dyDescent="0.3">
      <c r="B42" s="169">
        <f>SUM(B6:B41)</f>
        <v>60</v>
      </c>
      <c r="E42" s="376">
        <f>SUM(E43:E55)</f>
        <v>68</v>
      </c>
      <c r="F42" s="170" t="s">
        <v>55</v>
      </c>
    </row>
    <row r="43" spans="1:10" x14ac:dyDescent="0.3">
      <c r="B43" s="169"/>
      <c r="E43" s="376">
        <f>4*(2+'Personal File'!$C$10)</f>
        <v>12</v>
      </c>
      <c r="F43" s="172" t="s">
        <v>96</v>
      </c>
    </row>
    <row r="44" spans="1:10" x14ac:dyDescent="0.3">
      <c r="E44" s="376">
        <f>2+'Personal File'!$C$10</f>
        <v>3</v>
      </c>
      <c r="F44" s="172" t="s">
        <v>102</v>
      </c>
    </row>
    <row r="45" spans="1:10" x14ac:dyDescent="0.3">
      <c r="E45" s="376">
        <f>2+'Personal File'!$C$10</f>
        <v>3</v>
      </c>
      <c r="F45" s="172" t="s">
        <v>103</v>
      </c>
    </row>
    <row r="46" spans="1:10" x14ac:dyDescent="0.3">
      <c r="E46" s="376">
        <f>2+'Personal File'!$C$10</f>
        <v>3</v>
      </c>
      <c r="F46" s="172" t="s">
        <v>104</v>
      </c>
    </row>
    <row r="47" spans="1:10" x14ac:dyDescent="0.3">
      <c r="E47" s="376">
        <f>2+'Personal File'!$C$10</f>
        <v>3</v>
      </c>
      <c r="F47" s="172" t="s">
        <v>105</v>
      </c>
    </row>
    <row r="48" spans="1:10" x14ac:dyDescent="0.3">
      <c r="E48" s="376">
        <f>2+'Personal File'!$C$10</f>
        <v>3</v>
      </c>
      <c r="F48" s="172" t="s">
        <v>106</v>
      </c>
    </row>
    <row r="49" spans="5:6" x14ac:dyDescent="0.3">
      <c r="E49" s="376">
        <f>2+'Personal File'!$C$10</f>
        <v>3</v>
      </c>
      <c r="F49" s="172" t="s">
        <v>107</v>
      </c>
    </row>
    <row r="50" spans="5:6" x14ac:dyDescent="0.3">
      <c r="E50" s="376">
        <f>2+'Personal File'!$C$10</f>
        <v>3</v>
      </c>
      <c r="F50" s="172" t="s">
        <v>108</v>
      </c>
    </row>
    <row r="51" spans="5:6" x14ac:dyDescent="0.3">
      <c r="E51" s="376">
        <f>2+'Personal File'!$C$10</f>
        <v>3</v>
      </c>
      <c r="F51" s="172" t="s">
        <v>109</v>
      </c>
    </row>
    <row r="52" spans="5:6" x14ac:dyDescent="0.3">
      <c r="E52" s="376">
        <f>2+'Personal File'!$C$10</f>
        <v>3</v>
      </c>
      <c r="F52" s="172" t="s">
        <v>110</v>
      </c>
    </row>
    <row r="53" spans="5:6" x14ac:dyDescent="0.3">
      <c r="E53" s="376">
        <f>2+'Personal File'!$C$10</f>
        <v>3</v>
      </c>
      <c r="F53" s="172" t="s">
        <v>149</v>
      </c>
    </row>
    <row r="54" spans="5:6" x14ac:dyDescent="0.3">
      <c r="E54" s="376">
        <f>2+'Personal File'!$C$10</f>
        <v>3</v>
      </c>
      <c r="F54" s="172" t="s">
        <v>151</v>
      </c>
    </row>
    <row r="55" spans="5:6" x14ac:dyDescent="0.3">
      <c r="E55" s="169">
        <f>3+'Personal File'!E3</f>
        <v>23</v>
      </c>
      <c r="F55" s="172" t="s">
        <v>111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showGridLines="0" zoomScaleNormal="100" workbookViewId="0"/>
  </sheetViews>
  <sheetFormatPr defaultColWidth="8.59765625" defaultRowHeight="16.8" x14ac:dyDescent="0.3"/>
  <cols>
    <col min="1" max="1" width="35.5" style="174" bestFit="1" customWidth="1"/>
    <col min="2" max="2" width="1.8984375" style="175" customWidth="1"/>
    <col min="3" max="3" width="35.796875" style="173" bestFit="1" customWidth="1"/>
    <col min="4" max="4" width="8.59765625" style="177"/>
    <col min="5" max="16384" width="8.59765625" style="173"/>
  </cols>
  <sheetData>
    <row r="1" spans="1:3" ht="24" thickTop="1" thickBot="1" x14ac:dyDescent="0.35">
      <c r="A1" s="176" t="s">
        <v>78</v>
      </c>
      <c r="B1" s="173"/>
      <c r="C1" s="176" t="s">
        <v>74</v>
      </c>
    </row>
    <row r="2" spans="1:3" x14ac:dyDescent="0.3">
      <c r="A2" s="178" t="s">
        <v>97</v>
      </c>
      <c r="B2" s="173"/>
      <c r="C2" s="13" t="s">
        <v>174</v>
      </c>
    </row>
    <row r="3" spans="1:3" x14ac:dyDescent="0.3">
      <c r="A3" s="178" t="s">
        <v>177</v>
      </c>
      <c r="B3" s="173"/>
      <c r="C3" s="13" t="str">
        <f>CONCATENATE("Touch of Vitality:  Heal ",2*'Personal File'!$E$3*'Personal File'!$C$12)</f>
        <v>Touch of Vitality:  Heal 160</v>
      </c>
    </row>
    <row r="4" spans="1:3" x14ac:dyDescent="0.3">
      <c r="A4" s="178" t="s">
        <v>119</v>
      </c>
      <c r="B4" s="173"/>
      <c r="C4" s="13" t="s">
        <v>150</v>
      </c>
    </row>
    <row r="5" spans="1:3" x14ac:dyDescent="0.3">
      <c r="A5" s="406" t="s">
        <v>183</v>
      </c>
      <c r="B5" s="173"/>
      <c r="C5" s="13" t="s">
        <v>166</v>
      </c>
    </row>
    <row r="6" spans="1:3" x14ac:dyDescent="0.3">
      <c r="A6" s="178" t="s">
        <v>178</v>
      </c>
      <c r="B6" s="173"/>
      <c r="C6" s="13" t="s">
        <v>167</v>
      </c>
    </row>
    <row r="7" spans="1:3" ht="17.399999999999999" thickBot="1" x14ac:dyDescent="0.35">
      <c r="A7" s="407" t="s">
        <v>184</v>
      </c>
      <c r="B7" s="173"/>
      <c r="C7" s="13" t="s">
        <v>173</v>
      </c>
    </row>
    <row r="8" spans="1:3" ht="18" thickTop="1" thickBot="1" x14ac:dyDescent="0.35">
      <c r="B8" s="173"/>
      <c r="C8" s="13" t="s">
        <v>172</v>
      </c>
    </row>
    <row r="9" spans="1:3" ht="24" thickTop="1" thickBot="1" x14ac:dyDescent="0.35">
      <c r="A9" s="8" t="s">
        <v>75</v>
      </c>
      <c r="B9" s="173"/>
      <c r="C9" s="13" t="s">
        <v>121</v>
      </c>
    </row>
    <row r="10" spans="1:3" x14ac:dyDescent="0.3">
      <c r="A10" s="179" t="s">
        <v>76</v>
      </c>
      <c r="B10" s="173"/>
      <c r="C10" s="13" t="s">
        <v>213</v>
      </c>
    </row>
    <row r="11" spans="1:3" x14ac:dyDescent="0.3">
      <c r="A11" s="13" t="s">
        <v>87</v>
      </c>
      <c r="B11" s="173"/>
      <c r="C11" s="13" t="s">
        <v>145</v>
      </c>
    </row>
    <row r="12" spans="1:3" ht="17.399999999999999" thickBot="1" x14ac:dyDescent="0.35">
      <c r="A12" s="181" t="s">
        <v>91</v>
      </c>
      <c r="B12" s="173"/>
      <c r="C12" s="13" t="s">
        <v>93</v>
      </c>
    </row>
    <row r="13" spans="1:3" ht="17.399999999999999" thickTop="1" x14ac:dyDescent="0.3">
      <c r="A13" s="29"/>
      <c r="B13" s="173"/>
      <c r="C13" s="13" t="s">
        <v>131</v>
      </c>
    </row>
    <row r="14" spans="1:3" x14ac:dyDescent="0.3">
      <c r="B14" s="173"/>
      <c r="C14" s="13" t="str">
        <f>CONCATENATE("Aura:  Resistance, ",(RIGHT(C10,1)*5)," cold")</f>
        <v>Aura:  Resistance, 25 cold</v>
      </c>
    </row>
    <row r="15" spans="1:3" x14ac:dyDescent="0.3">
      <c r="C15" s="13" t="s">
        <v>116</v>
      </c>
    </row>
    <row r="16" spans="1:3" x14ac:dyDescent="0.3">
      <c r="C16" s="13" t="s">
        <v>95</v>
      </c>
    </row>
    <row r="17" spans="3:4" ht="17.399999999999999" thickBot="1" x14ac:dyDescent="0.35">
      <c r="C17" s="286" t="s">
        <v>94</v>
      </c>
    </row>
    <row r="18" spans="3:4" ht="18" thickTop="1" thickBot="1" x14ac:dyDescent="0.35"/>
    <row r="19" spans="3:4" ht="24" thickTop="1" thickBot="1" x14ac:dyDescent="0.35">
      <c r="C19" s="9" t="s">
        <v>62</v>
      </c>
    </row>
    <row r="20" spans="3:4" ht="17.399999999999999" thickBot="1" x14ac:dyDescent="0.35">
      <c r="C20" s="180" t="s">
        <v>136</v>
      </c>
    </row>
    <row r="21" spans="3:4" ht="17.399999999999999" thickTop="1" x14ac:dyDescent="0.3">
      <c r="D21" s="173"/>
    </row>
  </sheetData>
  <sortState xmlns:xlrd2="http://schemas.microsoft.com/office/spreadsheetml/2017/richdata2" ref="A2:A7">
    <sortCondition ref="A2:A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showGridLines="0" zoomScaleNormal="100" workbookViewId="0"/>
  </sheetViews>
  <sheetFormatPr defaultColWidth="13" defaultRowHeight="15.6" x14ac:dyDescent="0.3"/>
  <cols>
    <col min="1" max="1" width="26.8984375" style="183" bestFit="1" customWidth="1"/>
    <col min="2" max="2" width="8.59765625" style="183" customWidth="1"/>
    <col min="3" max="3" width="11.19921875" style="183" customWidth="1"/>
    <col min="4" max="4" width="6.19921875" style="183" bestFit="1" customWidth="1"/>
    <col min="5" max="5" width="8.5" style="183" bestFit="1" customWidth="1"/>
    <col min="6" max="6" width="8" style="183" bestFit="1" customWidth="1"/>
    <col min="7" max="7" width="4.5" style="183" bestFit="1" customWidth="1"/>
    <col min="8" max="8" width="5.59765625" style="183" customWidth="1"/>
    <col min="9" max="9" width="5.5" style="183" bestFit="1" customWidth="1"/>
    <col min="10" max="10" width="7.3984375" style="183" customWidth="1"/>
    <col min="11" max="11" width="21.19921875" style="183" bestFit="1" customWidth="1"/>
    <col min="12" max="12" width="2.19921875" style="183" customWidth="1"/>
    <col min="13" max="13" width="5.8984375" style="19" bestFit="1" customWidth="1"/>
    <col min="14" max="16384" width="13" style="19"/>
  </cols>
  <sheetData>
    <row r="1" spans="1:13" ht="23.4" thickBot="1" x14ac:dyDescent="0.35">
      <c r="A1" s="182" t="s">
        <v>14</v>
      </c>
      <c r="B1" s="182"/>
      <c r="C1" s="182"/>
      <c r="D1" s="182"/>
      <c r="E1" s="182"/>
      <c r="F1" s="182"/>
      <c r="G1" s="182"/>
      <c r="H1" s="182"/>
      <c r="I1" s="182"/>
      <c r="J1" s="182"/>
      <c r="K1" s="182"/>
      <c r="M1" s="182"/>
    </row>
    <row r="2" spans="1:13" ht="16.8" thickTop="1" thickBot="1" x14ac:dyDescent="0.35">
      <c r="A2" s="184" t="s">
        <v>1</v>
      </c>
      <c r="B2" s="185" t="s">
        <v>2</v>
      </c>
      <c r="C2" s="185" t="s">
        <v>17</v>
      </c>
      <c r="D2" s="185" t="s">
        <v>18</v>
      </c>
      <c r="E2" s="186" t="s">
        <v>56</v>
      </c>
      <c r="F2" s="185" t="s">
        <v>15</v>
      </c>
      <c r="G2" s="185" t="s">
        <v>19</v>
      </c>
      <c r="H2" s="187" t="s">
        <v>77</v>
      </c>
      <c r="I2" s="188" t="s">
        <v>79</v>
      </c>
      <c r="J2" s="187" t="s">
        <v>68</v>
      </c>
      <c r="K2" s="189" t="s">
        <v>66</v>
      </c>
      <c r="M2" s="190" t="s">
        <v>86</v>
      </c>
    </row>
    <row r="3" spans="1:13" x14ac:dyDescent="0.3">
      <c r="A3" s="408" t="s">
        <v>212</v>
      </c>
      <c r="B3" s="412" t="s">
        <v>159</v>
      </c>
      <c r="C3" s="431" t="str">
        <f>CONCATENATE('Personal File'!$C$7," +5 +5 +2")</f>
        <v>+5 +5 +5 +2</v>
      </c>
      <c r="D3" s="420" t="s">
        <v>81</v>
      </c>
      <c r="E3" s="420" t="s">
        <v>98</v>
      </c>
      <c r="F3" s="421" t="s">
        <v>99</v>
      </c>
      <c r="G3" s="422">
        <v>9</v>
      </c>
      <c r="H3" s="415" t="str">
        <f>CONCATENATE('Personal File'!$B$5+'Personal File'!$C$7+D3+1)</f>
        <v>17</v>
      </c>
      <c r="I3" s="416">
        <f t="shared" ref="I3:I7" ca="1" si="0">RANDBETWEEN(1,20)</f>
        <v>18</v>
      </c>
      <c r="J3" s="417">
        <f t="shared" ref="J3:J7" ca="1" si="1">I3+H3</f>
        <v>35</v>
      </c>
      <c r="K3" s="418"/>
      <c r="L3" s="271"/>
      <c r="M3" s="341">
        <v>50000</v>
      </c>
    </row>
    <row r="4" spans="1:13" x14ac:dyDescent="0.3">
      <c r="A4" s="191" t="s">
        <v>180</v>
      </c>
      <c r="B4" s="366" t="s">
        <v>159</v>
      </c>
      <c r="C4" s="432" t="str">
        <f>CONCATENATE('Personal File'!$C$7," +5 +5 +2")</f>
        <v>+5 +5 +5 +2</v>
      </c>
      <c r="D4" s="367" t="s">
        <v>81</v>
      </c>
      <c r="E4" s="367" t="s">
        <v>98</v>
      </c>
      <c r="F4" s="368" t="s">
        <v>99</v>
      </c>
      <c r="G4" s="381" t="s">
        <v>101</v>
      </c>
      <c r="H4" s="338" t="str">
        <f>CONCATENATE('Personal File'!$B$5+'Personal File'!$C$7+D4+1-5)</f>
        <v>12</v>
      </c>
      <c r="I4" s="195">
        <f t="shared" ca="1" si="0"/>
        <v>8</v>
      </c>
      <c r="J4" s="307">
        <f t="shared" ca="1" si="1"/>
        <v>20</v>
      </c>
      <c r="K4" s="339"/>
      <c r="L4" s="271"/>
      <c r="M4" s="346" t="s">
        <v>101</v>
      </c>
    </row>
    <row r="5" spans="1:13" x14ac:dyDescent="0.3">
      <c r="A5" s="196" t="s">
        <v>181</v>
      </c>
      <c r="B5" s="197" t="s">
        <v>133</v>
      </c>
      <c r="C5" s="433">
        <v>5</v>
      </c>
      <c r="D5" s="329" t="s">
        <v>132</v>
      </c>
      <c r="E5" s="329" t="s">
        <v>134</v>
      </c>
      <c r="F5" s="330" t="s">
        <v>135</v>
      </c>
      <c r="G5" s="331">
        <v>1</v>
      </c>
      <c r="H5" s="332" t="str">
        <f>CONCATENATE('Personal File'!$B$5+'Personal File'!$C$7+D5)</f>
        <v>15</v>
      </c>
      <c r="I5" s="283">
        <f t="shared" ca="1" si="0"/>
        <v>1</v>
      </c>
      <c r="J5" s="282">
        <f t="shared" ref="J5" ca="1" si="2">I5+H5</f>
        <v>16</v>
      </c>
      <c r="K5" s="365"/>
      <c r="L5" s="271"/>
      <c r="M5" s="429">
        <v>2000</v>
      </c>
    </row>
    <row r="6" spans="1:13" x14ac:dyDescent="0.3">
      <c r="A6" s="196" t="s">
        <v>190</v>
      </c>
      <c r="B6" s="197" t="s">
        <v>133</v>
      </c>
      <c r="C6" s="433">
        <v>5</v>
      </c>
      <c r="D6" s="329" t="s">
        <v>132</v>
      </c>
      <c r="E6" s="329" t="s">
        <v>114</v>
      </c>
      <c r="F6" s="330" t="s">
        <v>115</v>
      </c>
      <c r="G6" s="331">
        <v>2</v>
      </c>
      <c r="H6" s="332" t="str">
        <f>CONCATENATE('Personal File'!$B$5+'Personal File'!$C$7+D6)</f>
        <v>15</v>
      </c>
      <c r="I6" s="283">
        <f t="shared" ca="1" si="0"/>
        <v>2</v>
      </c>
      <c r="J6" s="282">
        <f t="shared" ref="J6" ca="1" si="3">I6+H6</f>
        <v>17</v>
      </c>
      <c r="K6" s="365"/>
      <c r="L6" s="271"/>
      <c r="M6" s="429">
        <v>300</v>
      </c>
    </row>
    <row r="7" spans="1:13" ht="16.2" thickBot="1" x14ac:dyDescent="0.35">
      <c r="A7" s="295" t="s">
        <v>113</v>
      </c>
      <c r="B7" s="296" t="s">
        <v>133</v>
      </c>
      <c r="C7" s="434">
        <v>5</v>
      </c>
      <c r="D7" s="297" t="s">
        <v>54</v>
      </c>
      <c r="E7" s="297" t="s">
        <v>114</v>
      </c>
      <c r="F7" s="298" t="s">
        <v>115</v>
      </c>
      <c r="G7" s="299">
        <v>0</v>
      </c>
      <c r="H7" s="325" t="str">
        <f>CONCATENATE('Personal File'!$B$5+'Personal File'!$C$7+D7)</f>
        <v>14</v>
      </c>
      <c r="I7" s="326">
        <f t="shared" ca="1" si="0"/>
        <v>10</v>
      </c>
      <c r="J7" s="327">
        <f t="shared" ca="1" si="1"/>
        <v>24</v>
      </c>
      <c r="K7" s="328"/>
      <c r="M7" s="342" t="s">
        <v>101</v>
      </c>
    </row>
    <row r="8" spans="1:13" ht="6" customHeight="1" thickTop="1" thickBot="1" x14ac:dyDescent="0.35">
      <c r="M8" s="343"/>
    </row>
    <row r="9" spans="1:13" ht="16.8" thickTop="1" thickBot="1" x14ac:dyDescent="0.35">
      <c r="A9" s="184" t="s">
        <v>4</v>
      </c>
      <c r="B9" s="185" t="s">
        <v>2</v>
      </c>
      <c r="C9" s="185" t="s">
        <v>17</v>
      </c>
      <c r="D9" s="185" t="s">
        <v>18</v>
      </c>
      <c r="E9" s="186" t="s">
        <v>56</v>
      </c>
      <c r="F9" s="185" t="s">
        <v>5</v>
      </c>
      <c r="G9" s="185" t="s">
        <v>19</v>
      </c>
      <c r="H9" s="187" t="s">
        <v>77</v>
      </c>
      <c r="I9" s="188" t="s">
        <v>79</v>
      </c>
      <c r="J9" s="187" t="s">
        <v>68</v>
      </c>
      <c r="K9" s="189" t="s">
        <v>66</v>
      </c>
      <c r="M9" s="344" t="s">
        <v>86</v>
      </c>
    </row>
    <row r="10" spans="1:13" x14ac:dyDescent="0.3">
      <c r="A10" s="408" t="s">
        <v>185</v>
      </c>
      <c r="B10" s="409" t="s">
        <v>159</v>
      </c>
      <c r="C10" s="410" t="s">
        <v>54</v>
      </c>
      <c r="D10" s="411">
        <v>1</v>
      </c>
      <c r="E10" s="412" t="s">
        <v>123</v>
      </c>
      <c r="F10" s="413" t="s">
        <v>118</v>
      </c>
      <c r="G10" s="414">
        <v>1</v>
      </c>
      <c r="H10" s="415" t="str">
        <f>CONCATENATE('Personal File'!$B$5+'Personal File'!$C$8+D10)</f>
        <v>13</v>
      </c>
      <c r="I10" s="416">
        <f t="shared" ref="I10:I14" ca="1" si="4">RANDBETWEEN(1,20)</f>
        <v>14</v>
      </c>
      <c r="J10" s="417">
        <f t="shared" ref="J10:J14" ca="1" si="5">I10+H10</f>
        <v>27</v>
      </c>
      <c r="K10" s="418"/>
      <c r="M10" s="345">
        <v>2000</v>
      </c>
    </row>
    <row r="11" spans="1:13" x14ac:dyDescent="0.3">
      <c r="A11" s="191" t="s">
        <v>186</v>
      </c>
      <c r="B11" s="192" t="s">
        <v>159</v>
      </c>
      <c r="C11" s="194" t="s">
        <v>54</v>
      </c>
      <c r="D11" s="193">
        <v>1</v>
      </c>
      <c r="E11" s="366" t="s">
        <v>123</v>
      </c>
      <c r="F11" s="419" t="s">
        <v>118</v>
      </c>
      <c r="G11" s="381" t="s">
        <v>101</v>
      </c>
      <c r="H11" s="338" t="str">
        <f>CONCATENATE('Personal File'!$B$5+'Personal File'!$C$8+D11-5)</f>
        <v>8</v>
      </c>
      <c r="I11" s="195">
        <f t="shared" ca="1" si="4"/>
        <v>7</v>
      </c>
      <c r="J11" s="307">
        <f t="shared" ca="1" si="5"/>
        <v>15</v>
      </c>
      <c r="K11" s="339"/>
      <c r="M11" s="346" t="s">
        <v>101</v>
      </c>
    </row>
    <row r="12" spans="1:13" x14ac:dyDescent="0.3">
      <c r="A12" s="191" t="s">
        <v>179</v>
      </c>
      <c r="B12" s="192" t="s">
        <v>159</v>
      </c>
      <c r="C12" s="193" t="str">
        <f>CONCATENATE('Personal File'!$C$7," +2 +2")</f>
        <v>+5 +2 +2</v>
      </c>
      <c r="D12" s="193">
        <v>2</v>
      </c>
      <c r="E12" s="197" t="s">
        <v>98</v>
      </c>
      <c r="F12" s="198" t="s">
        <v>144</v>
      </c>
      <c r="G12" s="222">
        <v>9</v>
      </c>
      <c r="H12" s="338" t="str">
        <f>CONCATENATE('Personal File'!$B$5+'Personal File'!$C$8+D12+1)</f>
        <v>15</v>
      </c>
      <c r="I12" s="195">
        <f t="shared" ca="1" si="4"/>
        <v>11</v>
      </c>
      <c r="J12" s="307">
        <f t="shared" ref="J12" ca="1" si="6">I12+H12</f>
        <v>26</v>
      </c>
      <c r="K12" s="339"/>
      <c r="M12" s="346" t="s">
        <v>101</v>
      </c>
    </row>
    <row r="13" spans="1:13" x14ac:dyDescent="0.3">
      <c r="A13" s="423" t="s">
        <v>157</v>
      </c>
      <c r="B13" s="395" t="str">
        <f>CONCATENATE(2+ROUNDUP(('Personal File'!E3-4)/2,0),"d6")</f>
        <v>10d6</v>
      </c>
      <c r="C13" s="396" t="s">
        <v>158</v>
      </c>
      <c r="D13" s="424" t="s">
        <v>101</v>
      </c>
      <c r="E13" s="395" t="s">
        <v>101</v>
      </c>
      <c r="F13" s="425" t="s">
        <v>118</v>
      </c>
      <c r="G13" s="426" t="s">
        <v>101</v>
      </c>
      <c r="H13" s="427" t="s">
        <v>101</v>
      </c>
      <c r="I13" s="195" t="s">
        <v>101</v>
      </c>
      <c r="J13" s="427" t="s">
        <v>101</v>
      </c>
      <c r="K13" s="428" t="str">
        <f>CONCATENATE("DC 10 + 2 focus + ",ROUNDDOWN('Personal File'!E3/2,0))</f>
        <v>DC 10 + 2 focus + 10</v>
      </c>
      <c r="M13" s="346" t="s">
        <v>101</v>
      </c>
    </row>
    <row r="14" spans="1:13" ht="16.2" thickBot="1" x14ac:dyDescent="0.35">
      <c r="A14" s="300" t="s">
        <v>182</v>
      </c>
      <c r="B14" s="11" t="s">
        <v>101</v>
      </c>
      <c r="C14" s="14" t="s">
        <v>101</v>
      </c>
      <c r="D14" s="11">
        <v>0</v>
      </c>
      <c r="E14" s="11" t="s">
        <v>101</v>
      </c>
      <c r="F14" s="11" t="s">
        <v>101</v>
      </c>
      <c r="G14" s="12" t="s">
        <v>101</v>
      </c>
      <c r="H14" s="199" t="str">
        <f>CONCATENATE('Personal File'!$B$5+'Personal File'!$C$8+D14)</f>
        <v>12</v>
      </c>
      <c r="I14" s="10">
        <f t="shared" ca="1" si="4"/>
        <v>13</v>
      </c>
      <c r="J14" s="199">
        <f t="shared" ca="1" si="5"/>
        <v>25</v>
      </c>
      <c r="K14" s="200"/>
      <c r="M14" s="342" t="s">
        <v>101</v>
      </c>
    </row>
    <row r="15" spans="1:13" ht="6" customHeight="1" thickTop="1" thickBot="1" x14ac:dyDescent="0.35">
      <c r="D15" s="201"/>
      <c r="E15" s="201"/>
      <c r="G15" s="202"/>
      <c r="H15" s="202"/>
      <c r="I15" s="202"/>
      <c r="J15" s="202"/>
      <c r="M15" s="343"/>
    </row>
    <row r="16" spans="1:13" ht="16.8" thickTop="1" thickBot="1" x14ac:dyDescent="0.35">
      <c r="A16" s="184" t="s">
        <v>60</v>
      </c>
      <c r="B16" s="185" t="s">
        <v>8</v>
      </c>
      <c r="C16" s="185" t="s">
        <v>26</v>
      </c>
      <c r="D16" s="185" t="s">
        <v>68</v>
      </c>
      <c r="E16" s="185" t="s">
        <v>69</v>
      </c>
      <c r="F16" s="185" t="s">
        <v>70</v>
      </c>
      <c r="G16" s="185" t="s">
        <v>19</v>
      </c>
      <c r="H16" s="203" t="s">
        <v>66</v>
      </c>
      <c r="I16" s="204"/>
      <c r="J16" s="204"/>
      <c r="K16" s="205"/>
      <c r="M16" s="344" t="s">
        <v>86</v>
      </c>
    </row>
    <row r="17" spans="1:13" x14ac:dyDescent="0.3">
      <c r="A17" s="369" t="s">
        <v>175</v>
      </c>
      <c r="B17" s="370">
        <v>6</v>
      </c>
      <c r="C17" s="370">
        <v>3</v>
      </c>
      <c r="D17" s="370">
        <v>-2</v>
      </c>
      <c r="E17" s="371">
        <v>0.25</v>
      </c>
      <c r="F17" s="370" t="s">
        <v>152</v>
      </c>
      <c r="G17" s="218">
        <v>12.5</v>
      </c>
      <c r="H17" s="372"/>
      <c r="I17" s="373"/>
      <c r="J17" s="373"/>
      <c r="K17" s="374"/>
      <c r="M17" s="345">
        <v>18000</v>
      </c>
    </row>
    <row r="18" spans="1:13" x14ac:dyDescent="0.3">
      <c r="A18" s="206" t="s">
        <v>176</v>
      </c>
      <c r="B18" s="238">
        <v>1</v>
      </c>
      <c r="C18" s="238" t="s">
        <v>101</v>
      </c>
      <c r="D18" s="238" t="s">
        <v>101</v>
      </c>
      <c r="E18" s="375" t="s">
        <v>101</v>
      </c>
      <c r="F18" s="238" t="s">
        <v>101</v>
      </c>
      <c r="G18" s="222">
        <v>1</v>
      </c>
      <c r="H18" s="207"/>
      <c r="I18" s="208"/>
      <c r="J18" s="208"/>
      <c r="K18" s="209"/>
      <c r="M18" s="349">
        <v>2000</v>
      </c>
    </row>
    <row r="19" spans="1:13" x14ac:dyDescent="0.3">
      <c r="A19" s="382" t="s">
        <v>155</v>
      </c>
      <c r="B19" s="242">
        <v>2</v>
      </c>
      <c r="C19" s="242" t="s">
        <v>101</v>
      </c>
      <c r="D19" s="242" t="s">
        <v>101</v>
      </c>
      <c r="E19" s="383" t="s">
        <v>101</v>
      </c>
      <c r="F19" s="242" t="s">
        <v>101</v>
      </c>
      <c r="G19" s="384">
        <v>0</v>
      </c>
      <c r="H19" s="385"/>
      <c r="I19" s="386"/>
      <c r="J19" s="386"/>
      <c r="K19" s="387"/>
      <c r="M19" s="350">
        <v>4000</v>
      </c>
    </row>
    <row r="20" spans="1:13" x14ac:dyDescent="0.3">
      <c r="A20" s="382" t="s">
        <v>143</v>
      </c>
      <c r="B20" s="242">
        <v>2</v>
      </c>
      <c r="C20" s="242" t="s">
        <v>101</v>
      </c>
      <c r="D20" s="242" t="s">
        <v>101</v>
      </c>
      <c r="E20" s="383" t="s">
        <v>101</v>
      </c>
      <c r="F20" s="242" t="s">
        <v>101</v>
      </c>
      <c r="G20" s="384">
        <v>0</v>
      </c>
      <c r="H20" s="385"/>
      <c r="I20" s="386"/>
      <c r="J20" s="386"/>
      <c r="K20" s="387"/>
      <c r="M20" s="350" t="s">
        <v>101</v>
      </c>
    </row>
    <row r="21" spans="1:13" ht="16.2" thickBot="1" x14ac:dyDescent="0.35">
      <c r="A21" s="388" t="s">
        <v>153</v>
      </c>
      <c r="B21" s="389" t="s">
        <v>154</v>
      </c>
      <c r="C21" s="390" t="s">
        <v>101</v>
      </c>
      <c r="D21" s="390" t="s">
        <v>101</v>
      </c>
      <c r="E21" s="390" t="s">
        <v>101</v>
      </c>
      <c r="F21" s="390" t="s">
        <v>101</v>
      </c>
      <c r="G21" s="391">
        <v>0</v>
      </c>
      <c r="H21" s="392"/>
      <c r="I21" s="393"/>
      <c r="J21" s="393"/>
      <c r="K21" s="394"/>
      <c r="M21" s="342"/>
    </row>
    <row r="22" spans="1:13" ht="6.75" customHeight="1" thickTop="1" thickBot="1" x14ac:dyDescent="0.35">
      <c r="M22" s="343"/>
    </row>
    <row r="23" spans="1:13" ht="16.8" thickTop="1" thickBot="1" x14ac:dyDescent="0.35">
      <c r="A23" s="212"/>
      <c r="B23" s="202"/>
      <c r="C23" s="213" t="s">
        <v>61</v>
      </c>
      <c r="D23" s="204"/>
      <c r="E23" s="214"/>
      <c r="F23" s="187" t="s">
        <v>3</v>
      </c>
      <c r="G23" s="185" t="s">
        <v>19</v>
      </c>
      <c r="H23" s="187" t="s">
        <v>77</v>
      </c>
      <c r="I23" s="203" t="s">
        <v>66</v>
      </c>
      <c r="J23" s="204"/>
      <c r="K23" s="205"/>
      <c r="M23" s="344" t="s">
        <v>86</v>
      </c>
    </row>
    <row r="24" spans="1:13" x14ac:dyDescent="0.3">
      <c r="A24" s="212"/>
      <c r="B24" s="202"/>
      <c r="C24" s="215" t="s">
        <v>120</v>
      </c>
      <c r="D24" s="216"/>
      <c r="E24" s="217"/>
      <c r="F24" s="333">
        <v>30</v>
      </c>
      <c r="G24" s="218">
        <f t="shared" ref="G24:G26" si="7">(F24*3)/20</f>
        <v>4.5</v>
      </c>
      <c r="H24" s="309" t="s">
        <v>54</v>
      </c>
      <c r="I24" s="219"/>
      <c r="J24" s="220"/>
      <c r="K24" s="221"/>
      <c r="M24" s="345">
        <v>0</v>
      </c>
    </row>
    <row r="25" spans="1:13" x14ac:dyDescent="0.3">
      <c r="A25" s="212"/>
      <c r="B25" s="202"/>
      <c r="C25" s="313" t="s">
        <v>137</v>
      </c>
      <c r="D25" s="314"/>
      <c r="E25" s="315"/>
      <c r="F25" s="334">
        <v>5</v>
      </c>
      <c r="G25" s="316">
        <f t="shared" si="7"/>
        <v>0.75</v>
      </c>
      <c r="H25" s="317" t="s">
        <v>139</v>
      </c>
      <c r="I25" s="318" t="s">
        <v>140</v>
      </c>
      <c r="J25" s="319"/>
      <c r="K25" s="320"/>
      <c r="M25" s="348">
        <f t="shared" ref="M25:M29" si="8">F25*100</f>
        <v>500</v>
      </c>
    </row>
    <row r="26" spans="1:13" x14ac:dyDescent="0.3">
      <c r="A26" s="212"/>
      <c r="B26" s="202"/>
      <c r="C26" s="313" t="s">
        <v>138</v>
      </c>
      <c r="D26" s="314"/>
      <c r="E26" s="315"/>
      <c r="F26" s="334">
        <v>1</v>
      </c>
      <c r="G26" s="316">
        <f t="shared" si="7"/>
        <v>0.15</v>
      </c>
      <c r="H26" s="317" t="s">
        <v>139</v>
      </c>
      <c r="I26" s="318" t="s">
        <v>140</v>
      </c>
      <c r="J26" s="319"/>
      <c r="K26" s="320"/>
      <c r="M26" s="348">
        <f t="shared" si="8"/>
        <v>100</v>
      </c>
    </row>
    <row r="27" spans="1:13" x14ac:dyDescent="0.3">
      <c r="A27" s="212"/>
      <c r="B27" s="202"/>
      <c r="C27" s="313" t="s">
        <v>124</v>
      </c>
      <c r="D27" s="314"/>
      <c r="E27" s="315"/>
      <c r="F27" s="334">
        <v>3</v>
      </c>
      <c r="G27" s="316">
        <f t="shared" ref="G27:G29" si="9">(F27*3)/20</f>
        <v>0.45</v>
      </c>
      <c r="H27" s="317" t="s">
        <v>54</v>
      </c>
      <c r="I27" s="318" t="s">
        <v>127</v>
      </c>
      <c r="J27" s="319"/>
      <c r="K27" s="320"/>
      <c r="M27" s="348">
        <f t="shared" si="8"/>
        <v>300</v>
      </c>
    </row>
    <row r="28" spans="1:13" x14ac:dyDescent="0.3">
      <c r="A28" s="212"/>
      <c r="B28" s="202"/>
      <c r="C28" s="223" t="s">
        <v>125</v>
      </c>
      <c r="D28" s="224"/>
      <c r="E28" s="225"/>
      <c r="F28" s="335">
        <v>4</v>
      </c>
      <c r="G28" s="222">
        <f t="shared" si="9"/>
        <v>0.6</v>
      </c>
      <c r="H28" s="310" t="s">
        <v>54</v>
      </c>
      <c r="I28" s="226" t="s">
        <v>128</v>
      </c>
      <c r="J28" s="227"/>
      <c r="K28" s="228"/>
      <c r="M28" s="349">
        <f t="shared" si="8"/>
        <v>400</v>
      </c>
    </row>
    <row r="29" spans="1:13" ht="16.2" thickBot="1" x14ac:dyDescent="0.35">
      <c r="C29" s="229" t="s">
        <v>126</v>
      </c>
      <c r="D29" s="230"/>
      <c r="E29" s="231"/>
      <c r="F29" s="336">
        <v>4</v>
      </c>
      <c r="G29" s="210">
        <f t="shared" si="9"/>
        <v>0.6</v>
      </c>
      <c r="H29" s="311" t="s">
        <v>54</v>
      </c>
      <c r="I29" s="232" t="s">
        <v>129</v>
      </c>
      <c r="J29" s="233"/>
      <c r="K29" s="234"/>
      <c r="M29" s="347">
        <f t="shared" si="8"/>
        <v>400</v>
      </c>
    </row>
    <row r="30" spans="1:13" ht="16.8" thickTop="1" thickBot="1" x14ac:dyDescent="0.35">
      <c r="M30" s="343"/>
    </row>
    <row r="31" spans="1:13" ht="16.8" thickTop="1" thickBot="1" x14ac:dyDescent="0.35">
      <c r="C31" s="213" t="s">
        <v>84</v>
      </c>
      <c r="D31" s="204"/>
      <c r="E31" s="204"/>
      <c r="F31" s="204"/>
      <c r="G31" s="235" t="s">
        <v>3</v>
      </c>
      <c r="H31" s="235" t="s">
        <v>0</v>
      </c>
      <c r="I31" s="235" t="s">
        <v>85</v>
      </c>
      <c r="J31" s="203" t="s">
        <v>66</v>
      </c>
      <c r="K31" s="205"/>
      <c r="M31" s="344" t="s">
        <v>86</v>
      </c>
    </row>
    <row r="32" spans="1:13" x14ac:dyDescent="0.3">
      <c r="C32" s="236" t="s">
        <v>160</v>
      </c>
      <c r="D32" s="237"/>
      <c r="E32" s="237"/>
      <c r="F32" s="237"/>
      <c r="G32" s="238">
        <v>1</v>
      </c>
      <c r="H32" s="238">
        <v>3</v>
      </c>
      <c r="I32" s="238">
        <v>5</v>
      </c>
      <c r="J32" s="226"/>
      <c r="K32" s="239"/>
      <c r="M32" s="349">
        <f t="shared" ref="M32:M34" si="10">25*G32*H32*I32</f>
        <v>375</v>
      </c>
    </row>
    <row r="33" spans="3:13" x14ac:dyDescent="0.3">
      <c r="C33" s="240" t="s">
        <v>161</v>
      </c>
      <c r="D33" s="241"/>
      <c r="E33" s="241"/>
      <c r="F33" s="241"/>
      <c r="G33" s="242">
        <v>1</v>
      </c>
      <c r="H33" s="242" t="s">
        <v>81</v>
      </c>
      <c r="I33" s="242">
        <v>3</v>
      </c>
      <c r="J33" s="243"/>
      <c r="K33" s="244"/>
      <c r="M33" s="350">
        <f t="shared" si="10"/>
        <v>150</v>
      </c>
    </row>
    <row r="34" spans="3:13" ht="16.2" thickBot="1" x14ac:dyDescent="0.35">
      <c r="C34" s="245" t="s">
        <v>162</v>
      </c>
      <c r="D34" s="230"/>
      <c r="E34" s="230"/>
      <c r="F34" s="230"/>
      <c r="G34" s="246">
        <v>1</v>
      </c>
      <c r="H34" s="246" t="s">
        <v>81</v>
      </c>
      <c r="I34" s="246">
        <v>3</v>
      </c>
      <c r="J34" s="232"/>
      <c r="K34" s="211"/>
      <c r="M34" s="347">
        <f t="shared" si="10"/>
        <v>150</v>
      </c>
    </row>
    <row r="35" spans="3:13" ht="16.2" thickTop="1" x14ac:dyDescent="0.3">
      <c r="M35" s="343"/>
    </row>
    <row r="36" spans="3:13" x14ac:dyDescent="0.3">
      <c r="M36" s="183"/>
    </row>
    <row r="37" spans="3:13" x14ac:dyDescent="0.3">
      <c r="M37" s="183"/>
    </row>
    <row r="38" spans="3:13" x14ac:dyDescent="0.3">
      <c r="M38" s="183"/>
    </row>
    <row r="39" spans="3:13" x14ac:dyDescent="0.3">
      <c r="M39" s="183"/>
    </row>
    <row r="40" spans="3:13" x14ac:dyDescent="0.3">
      <c r="M40" s="183"/>
    </row>
    <row r="41" spans="3:13" x14ac:dyDescent="0.3">
      <c r="M41" s="183"/>
    </row>
    <row r="42" spans="3:13" x14ac:dyDescent="0.3">
      <c r="M42" s="183"/>
    </row>
  </sheetData>
  <phoneticPr fontId="0" type="noConversion"/>
  <conditionalFormatting sqref="I7">
    <cfRule type="cellIs" dxfId="18" priority="23" operator="equal">
      <formula>20</formula>
    </cfRule>
    <cfRule type="cellIs" dxfId="17" priority="24" operator="equal">
      <formula>1</formula>
    </cfRule>
  </conditionalFormatting>
  <conditionalFormatting sqref="I14">
    <cfRule type="cellIs" dxfId="16" priority="21" operator="equal">
      <formula>20</formula>
    </cfRule>
    <cfRule type="cellIs" dxfId="15" priority="22" operator="equal">
      <formula>1</formula>
    </cfRule>
  </conditionalFormatting>
  <conditionalFormatting sqref="I10 I12">
    <cfRule type="cellIs" dxfId="14" priority="13" operator="equal">
      <formula>20</formula>
    </cfRule>
    <cfRule type="cellIs" dxfId="13" priority="14" operator="equal">
      <formula>1</formula>
    </cfRule>
  </conditionalFormatting>
  <conditionalFormatting sqref="I3 I5">
    <cfRule type="cellIs" dxfId="12" priority="11" operator="equal">
      <formula>20</formula>
    </cfRule>
    <cfRule type="cellIs" dxfId="11" priority="12" operator="equal">
      <formula>1</formula>
    </cfRule>
  </conditionalFormatting>
  <conditionalFormatting sqref="I4">
    <cfRule type="cellIs" dxfId="10" priority="9" operator="equal">
      <formula>20</formula>
    </cfRule>
    <cfRule type="cellIs" dxfId="9" priority="10" operator="equal">
      <formula>1</formula>
    </cfRule>
  </conditionalFormatting>
  <conditionalFormatting sqref="I11">
    <cfRule type="cellIs" dxfId="8" priority="7" operator="equal">
      <formula>20</formula>
    </cfRule>
    <cfRule type="cellIs" dxfId="7" priority="8" operator="equal">
      <formula>1</formula>
    </cfRule>
  </conditionalFormatting>
  <conditionalFormatting sqref="I13">
    <cfRule type="cellIs" dxfId="6" priority="5" operator="equal">
      <formula>20</formula>
    </cfRule>
    <cfRule type="cellIs" dxfId="5" priority="6" operator="equal">
      <formula>1</formula>
    </cfRule>
  </conditionalFormatting>
  <conditionalFormatting sqref="I6">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showGridLines="0" workbookViewId="0"/>
  </sheetViews>
  <sheetFormatPr defaultColWidth="13" defaultRowHeight="15.6" x14ac:dyDescent="0.3"/>
  <cols>
    <col min="1" max="1" width="29.19921875" style="183" bestFit="1" customWidth="1"/>
    <col min="2" max="2" width="4.5" style="183" bestFit="1" customWidth="1"/>
    <col min="3" max="3" width="5.59765625" style="202" bestFit="1" customWidth="1"/>
    <col min="4" max="5" width="26.59765625" style="19" customWidth="1"/>
    <col min="6" max="6" width="2.3984375" style="183" customWidth="1"/>
    <col min="7" max="7" width="5.8984375" style="19" bestFit="1" customWidth="1"/>
    <col min="8" max="16384" width="13" style="19"/>
  </cols>
  <sheetData>
    <row r="1" spans="1:7" ht="23.4" thickBot="1" x14ac:dyDescent="0.35">
      <c r="A1" s="182" t="s">
        <v>63</v>
      </c>
      <c r="B1" s="182"/>
      <c r="C1" s="248"/>
      <c r="D1" s="182"/>
      <c r="E1" s="182"/>
    </row>
    <row r="2" spans="1:7" s="183" customFormat="1" ht="16.8" thickTop="1" thickBot="1" x14ac:dyDescent="0.35">
      <c r="A2" s="249" t="s">
        <v>64</v>
      </c>
      <c r="B2" s="249" t="s">
        <v>3</v>
      </c>
      <c r="C2" s="250" t="s">
        <v>19</v>
      </c>
      <c r="D2" s="251" t="s">
        <v>65</v>
      </c>
      <c r="E2" s="252" t="s">
        <v>66</v>
      </c>
      <c r="G2" s="253" t="s">
        <v>86</v>
      </c>
    </row>
    <row r="3" spans="1:7" x14ac:dyDescent="0.3">
      <c r="A3" s="278" t="s">
        <v>141</v>
      </c>
      <c r="B3" s="279">
        <v>1</v>
      </c>
      <c r="C3" s="274">
        <v>0</v>
      </c>
      <c r="D3" s="337" t="s">
        <v>142</v>
      </c>
      <c r="E3" s="340" t="s">
        <v>146</v>
      </c>
      <c r="G3" s="352">
        <v>2000</v>
      </c>
    </row>
    <row r="4" spans="1:7" x14ac:dyDescent="0.3">
      <c r="A4" s="254" t="s">
        <v>191</v>
      </c>
      <c r="B4" s="255">
        <v>1</v>
      </c>
      <c r="C4" s="258">
        <v>0</v>
      </c>
      <c r="D4" s="281"/>
      <c r="E4" s="257"/>
      <c r="G4" s="351" t="s">
        <v>192</v>
      </c>
    </row>
    <row r="5" spans="1:7" x14ac:dyDescent="0.3">
      <c r="A5" s="254" t="s">
        <v>187</v>
      </c>
      <c r="B5" s="255">
        <v>1</v>
      </c>
      <c r="C5" s="258">
        <v>1</v>
      </c>
      <c r="D5" s="281"/>
      <c r="E5" s="257"/>
      <c r="G5" s="351">
        <v>3300</v>
      </c>
    </row>
    <row r="6" spans="1:7" x14ac:dyDescent="0.3">
      <c r="A6" s="254" t="s">
        <v>189</v>
      </c>
      <c r="B6" s="255">
        <v>1</v>
      </c>
      <c r="C6" s="258">
        <v>0</v>
      </c>
      <c r="D6" s="281"/>
      <c r="E6" s="257"/>
      <c r="G6" s="351">
        <v>8000</v>
      </c>
    </row>
    <row r="7" spans="1:7" ht="16.2" thickBot="1" x14ac:dyDescent="0.35">
      <c r="A7" s="280" t="s">
        <v>188</v>
      </c>
      <c r="B7" s="260">
        <v>1</v>
      </c>
      <c r="C7" s="261">
        <v>2</v>
      </c>
      <c r="D7" s="361"/>
      <c r="E7" s="263"/>
      <c r="G7" s="353">
        <v>3100</v>
      </c>
    </row>
    <row r="8" spans="1:7" ht="24" thickTop="1" thickBot="1" x14ac:dyDescent="0.35">
      <c r="A8" s="182" t="s">
        <v>67</v>
      </c>
      <c r="B8" s="182"/>
      <c r="C8" s="264"/>
      <c r="D8" s="182"/>
      <c r="E8" s="265"/>
      <c r="F8" s="271"/>
      <c r="G8" s="354"/>
    </row>
    <row r="9" spans="1:7" ht="16.8" thickTop="1" thickBot="1" x14ac:dyDescent="0.35">
      <c r="A9" s="249" t="s">
        <v>64</v>
      </c>
      <c r="B9" s="249" t="s">
        <v>3</v>
      </c>
      <c r="C9" s="250" t="s">
        <v>19</v>
      </c>
      <c r="D9" s="251" t="s">
        <v>65</v>
      </c>
      <c r="E9" s="252" t="s">
        <v>66</v>
      </c>
      <c r="G9" s="355" t="s">
        <v>86</v>
      </c>
    </row>
    <row r="10" spans="1:7" x14ac:dyDescent="0.3">
      <c r="A10" s="266"/>
      <c r="B10" s="267"/>
      <c r="C10" s="268"/>
      <c r="D10" s="269"/>
      <c r="E10" s="270"/>
      <c r="F10" s="271"/>
      <c r="G10" s="356"/>
    </row>
    <row r="11" spans="1:7" x14ac:dyDescent="0.3">
      <c r="A11" s="272"/>
      <c r="B11" s="273"/>
      <c r="C11" s="274"/>
      <c r="D11" s="275"/>
      <c r="E11" s="276"/>
      <c r="G11" s="357"/>
    </row>
    <row r="12" spans="1:7" x14ac:dyDescent="0.3">
      <c r="A12" s="272"/>
      <c r="B12" s="273"/>
      <c r="C12" s="274"/>
      <c r="D12" s="277"/>
      <c r="E12" s="276"/>
      <c r="G12" s="357"/>
    </row>
    <row r="13" spans="1:7" ht="16.2" thickBot="1" x14ac:dyDescent="0.35">
      <c r="A13" s="259"/>
      <c r="B13" s="260"/>
      <c r="C13" s="261"/>
      <c r="D13" s="262"/>
      <c r="E13" s="263"/>
      <c r="G13" s="353"/>
    </row>
    <row r="14" spans="1:7" ht="24" thickTop="1" thickBot="1" x14ac:dyDescent="0.35">
      <c r="A14" s="182" t="s">
        <v>147</v>
      </c>
      <c r="B14" s="182"/>
      <c r="C14" s="264"/>
      <c r="D14" s="182"/>
      <c r="E14" s="265"/>
      <c r="F14" s="358"/>
      <c r="G14" s="247"/>
    </row>
    <row r="15" spans="1:7" ht="16.8" thickTop="1" thickBot="1" x14ac:dyDescent="0.35">
      <c r="A15" s="249" t="s">
        <v>64</v>
      </c>
      <c r="B15" s="249" t="s">
        <v>3</v>
      </c>
      <c r="C15" s="250" t="s">
        <v>19</v>
      </c>
      <c r="D15" s="251" t="s">
        <v>65</v>
      </c>
      <c r="E15" s="252" t="s">
        <v>66</v>
      </c>
      <c r="F15" s="247"/>
      <c r="G15" s="253" t="s">
        <v>86</v>
      </c>
    </row>
    <row r="16" spans="1:7" x14ac:dyDescent="0.3">
      <c r="A16" s="278"/>
      <c r="B16" s="273"/>
      <c r="C16" s="274"/>
      <c r="D16" s="281"/>
      <c r="E16" s="340"/>
      <c r="F16" s="247"/>
      <c r="G16" s="351"/>
    </row>
    <row r="17" spans="1:7" x14ac:dyDescent="0.3">
      <c r="A17" s="359"/>
      <c r="B17" s="360"/>
      <c r="C17" s="256"/>
      <c r="D17" s="281"/>
      <c r="E17" s="340"/>
      <c r="F17" s="247"/>
      <c r="G17" s="351"/>
    </row>
    <row r="18" spans="1:7" x14ac:dyDescent="0.3">
      <c r="A18" s="359"/>
      <c r="B18" s="360"/>
      <c r="C18" s="256"/>
      <c r="D18" s="281"/>
      <c r="E18" s="340"/>
      <c r="F18" s="247"/>
      <c r="G18" s="351"/>
    </row>
    <row r="19" spans="1:7" ht="16.2" thickBot="1" x14ac:dyDescent="0.35">
      <c r="A19" s="259"/>
      <c r="B19" s="260"/>
      <c r="C19" s="261"/>
      <c r="D19" s="361"/>
      <c r="E19" s="362"/>
      <c r="F19" s="247"/>
      <c r="G19" s="353"/>
    </row>
    <row r="20" spans="1:7" ht="16.2" thickTop="1" x14ac:dyDescent="0.3">
      <c r="A20" s="271"/>
      <c r="B20" s="363" t="s">
        <v>148</v>
      </c>
      <c r="C20" s="364">
        <f>SUM(C16:C19)/100</f>
        <v>0</v>
      </c>
      <c r="D20" s="247"/>
      <c r="E20" s="247"/>
      <c r="F20" s="247"/>
      <c r="G20" s="247"/>
    </row>
    <row r="21" spans="1:7" x14ac:dyDescent="0.3">
      <c r="E21" s="65" t="s">
        <v>88</v>
      </c>
      <c r="G21" s="343">
        <f>SUM(Martial!M3:M34,Equipment!G3:G19)</f>
        <v>97075</v>
      </c>
    </row>
  </sheetData>
  <sortState xmlns:xlrd2="http://schemas.microsoft.com/office/spreadsheetml/2017/richdata2" ref="A8:E24">
    <sortCondition ref="A8:A24"/>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2022-01-18T12:01:00Z</dcterms:modified>
</cp:coreProperties>
</file>