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C:\A\Juegos\NLM\PCs\"/>
    </mc:Choice>
  </mc:AlternateContent>
  <xr:revisionPtr revIDLastSave="0" documentId="13_ncr:1_{D44A4FB0-776D-40ED-A4A7-241C102AA1AA}"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s" sheetId="25" r:id="rId3"/>
    <sheet name="Feats" sheetId="20" r:id="rId4"/>
    <sheet name="Martial" sheetId="6" r:id="rId5"/>
    <sheet name="Equipment" sheetId="19" r:id="rId6"/>
  </sheets>
  <definedNames>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0">'Personal File'!$A$1:$H$25</definedName>
    <definedName name="_xlnm.Print_Area" localSheetId="1">Skills!$A$1:$K$32</definedName>
    <definedName name="_xlnm.Print_Area" localSheetId="2">Spells!$A$1:$I$8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6" l="1"/>
  <c r="I6" i="6"/>
  <c r="C6" i="6"/>
  <c r="C7" i="6"/>
  <c r="C5" i="6"/>
  <c r="C4" i="6"/>
  <c r="C3" i="6"/>
  <c r="E12" i="4"/>
  <c r="F44" i="15"/>
  <c r="F38" i="15"/>
  <c r="F31" i="15"/>
  <c r="F23" i="15"/>
  <c r="F21" i="15"/>
  <c r="F16" i="15"/>
  <c r="F7" i="15"/>
  <c r="F9" i="15"/>
  <c r="B5" i="15"/>
  <c r="B4" i="15"/>
  <c r="B3" i="15"/>
  <c r="H13" i="15"/>
  <c r="D16" i="20"/>
  <c r="D18" i="20"/>
  <c r="D17" i="20"/>
  <c r="D15" i="20"/>
  <c r="J6" i="6" l="1"/>
  <c r="E17" i="20"/>
  <c r="E16" i="20"/>
  <c r="E15" i="20"/>
  <c r="H41" i="15"/>
  <c r="E47" i="15" l="1"/>
  <c r="E64" i="15"/>
  <c r="E63" i="15"/>
  <c r="E62" i="15"/>
  <c r="B8" i="4"/>
  <c r="D14" i="20"/>
  <c r="H45" i="15" l="1"/>
  <c r="J5" i="20" l="1"/>
  <c r="C28" i="19" l="1"/>
  <c r="C26" i="19"/>
  <c r="I12" i="6" l="1"/>
  <c r="B27" i="6" l="1"/>
  <c r="F3" i="15" l="1"/>
  <c r="H3" i="15"/>
  <c r="H44" i="15" l="1"/>
  <c r="H43" i="15"/>
  <c r="H42"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2" i="15"/>
  <c r="H11" i="15"/>
  <c r="H10" i="15"/>
  <c r="H9" i="15"/>
  <c r="H8" i="15"/>
  <c r="B47" i="15"/>
  <c r="B14" i="4" l="1"/>
  <c r="B13" i="4"/>
  <c r="B12" i="4"/>
  <c r="B11" i="4"/>
  <c r="B10" i="4"/>
  <c r="I3" i="6" l="1"/>
  <c r="I4" i="6"/>
  <c r="I5" i="6"/>
  <c r="I7" i="6"/>
  <c r="F4" i="15" l="1"/>
  <c r="F5" i="15"/>
  <c r="I11" i="6" l="1"/>
  <c r="I10" i="6"/>
  <c r="I9" i="6"/>
  <c r="H4" i="15" l="1"/>
  <c r="H5" i="15"/>
  <c r="G48" i="19" l="1"/>
  <c r="D23" i="6" l="1"/>
  <c r="I23" i="6"/>
  <c r="H23" i="6"/>
  <c r="J23" i="6" l="1"/>
  <c r="H10" i="20"/>
  <c r="F10" i="20"/>
  <c r="I5" i="20"/>
  <c r="H5" i="20"/>
  <c r="G5" i="20"/>
  <c r="F5" i="20"/>
  <c r="I22" i="6" l="1"/>
  <c r="H22" i="6"/>
  <c r="J22" i="6" l="1"/>
  <c r="I24" i="6" l="1"/>
  <c r="I17" i="6"/>
  <c r="I15" i="6" l="1"/>
  <c r="I16" i="6" l="1"/>
  <c r="I14" i="6" l="1"/>
  <c r="O4" i="20" l="1"/>
  <c r="O5" i="20" l="1"/>
  <c r="O6" i="20" s="1"/>
  <c r="O7" i="20" s="1"/>
  <c r="O8" i="20" s="1"/>
  <c r="O9" i="20" s="1"/>
  <c r="O10" i="20" s="1"/>
  <c r="O11" i="20" s="1"/>
  <c r="O12" i="20" s="1"/>
  <c r="O13" i="20" s="1"/>
  <c r="O14" i="20" s="1"/>
  <c r="O15" i="20" s="1"/>
  <c r="O16" i="20" s="1"/>
  <c r="O17" i="20" s="1"/>
  <c r="P8" i="20"/>
  <c r="P9" i="20" s="1"/>
  <c r="P10" i="20" s="1"/>
  <c r="P11" i="20" s="1"/>
  <c r="P12" i="20" s="1"/>
  <c r="P13" i="20" s="1"/>
  <c r="P14" i="20" s="1"/>
  <c r="P15" i="20" s="1"/>
  <c r="P16" i="20" s="1"/>
  <c r="P17" i="20" s="1"/>
  <c r="Q12" i="20"/>
  <c r="Q13" i="20" s="1"/>
  <c r="Q14" i="20" s="1"/>
  <c r="Q15" i="20" s="1"/>
  <c r="Q16" i="20" s="1"/>
  <c r="Q17" i="20" s="1"/>
  <c r="R16" i="20"/>
  <c r="R17" i="20" s="1"/>
  <c r="I21" i="6" l="1"/>
  <c r="H46" i="15" l="1"/>
  <c r="H6" i="15" l="1"/>
  <c r="H7" i="15"/>
  <c r="E11" i="4" l="1"/>
  <c r="C10" i="4" l="1"/>
  <c r="C12" i="6" l="1"/>
  <c r="H12" i="6"/>
  <c r="J12" i="6" s="1"/>
  <c r="H7" i="6"/>
  <c r="J7" i="6" s="1"/>
  <c r="H3" i="6"/>
  <c r="J3" i="6" s="1"/>
  <c r="H4" i="6"/>
  <c r="J4" i="6" s="1"/>
  <c r="H5" i="6"/>
  <c r="J5" i="6" s="1"/>
  <c r="D9" i="15"/>
  <c r="E9" i="15" s="1"/>
  <c r="D23" i="15"/>
  <c r="E23" i="15" s="1"/>
  <c r="D43" i="15"/>
  <c r="E43" i="15" s="1"/>
  <c r="C10" i="6"/>
  <c r="H11" i="6"/>
  <c r="J11" i="6" s="1"/>
  <c r="C11" i="6"/>
  <c r="H10" i="6"/>
  <c r="J10" i="6" s="1"/>
  <c r="H9" i="6"/>
  <c r="J9" i="6" s="1"/>
  <c r="C9" i="6"/>
  <c r="H17" i="6"/>
  <c r="J17" i="6" s="1"/>
  <c r="C17" i="6"/>
  <c r="H16" i="6"/>
  <c r="J16" i="6" s="1"/>
  <c r="H15" i="6"/>
  <c r="J15" i="6" s="1"/>
  <c r="C16" i="6"/>
  <c r="H14" i="6"/>
  <c r="J14" i="6" s="1"/>
  <c r="C14" i="6"/>
  <c r="H18" i="6"/>
  <c r="C18" i="6"/>
  <c r="I18" i="6"/>
  <c r="J18" i="6" l="1"/>
  <c r="G23" i="15"/>
  <c r="I23" i="15" s="1"/>
  <c r="G9" i="15"/>
  <c r="I9" i="15" s="1"/>
  <c r="C15" i="4"/>
  <c r="C14" i="4"/>
  <c r="C13" i="4"/>
  <c r="C12" i="4"/>
  <c r="D3" i="15" s="1"/>
  <c r="C11" i="4"/>
  <c r="E13" i="4" s="1"/>
  <c r="E59" i="15" l="1"/>
  <c r="E61" i="15"/>
  <c r="E60" i="15"/>
  <c r="E3" i="15"/>
  <c r="G3" i="15"/>
  <c r="I3" i="15" s="1"/>
  <c r="B9" i="4"/>
  <c r="D8" i="15"/>
  <c r="E8" i="15" s="1"/>
  <c r="D19" i="15"/>
  <c r="E19" i="15" s="1"/>
  <c r="D45" i="15"/>
  <c r="E45" i="15" s="1"/>
  <c r="D13" i="15"/>
  <c r="E13" i="15" s="1"/>
  <c r="D22" i="15"/>
  <c r="E22" i="15" s="1"/>
  <c r="D15" i="15"/>
  <c r="E15" i="15" s="1"/>
  <c r="D33" i="15"/>
  <c r="E33" i="15" s="1"/>
  <c r="D18" i="15"/>
  <c r="E18" i="15" s="1"/>
  <c r="D5" i="15"/>
  <c r="D42" i="15"/>
  <c r="E42" i="15" s="1"/>
  <c r="D30" i="15"/>
  <c r="E30" i="15" s="1"/>
  <c r="D20" i="15"/>
  <c r="E20" i="15" s="1"/>
  <c r="D34" i="15"/>
  <c r="E34" i="15" s="1"/>
  <c r="D37" i="15"/>
  <c r="E37" i="15" s="1"/>
  <c r="D41" i="15"/>
  <c r="E41" i="15" s="1"/>
  <c r="D12" i="15"/>
  <c r="E12" i="15" s="1"/>
  <c r="D17" i="15"/>
  <c r="E17" i="15" s="1"/>
  <c r="D27" i="15"/>
  <c r="E27" i="15" s="1"/>
  <c r="D39" i="15"/>
  <c r="E39" i="15" s="1"/>
  <c r="D6" i="15"/>
  <c r="E6" i="15" s="1"/>
  <c r="D24" i="15"/>
  <c r="E24" i="15" s="1"/>
  <c r="D28" i="15"/>
  <c r="E28" i="15" s="1"/>
  <c r="D40" i="15"/>
  <c r="E40" i="15" s="1"/>
  <c r="D11" i="15"/>
  <c r="E11" i="15" s="1"/>
  <c r="D26" i="15"/>
  <c r="E26" i="15" s="1"/>
  <c r="D14" i="15"/>
  <c r="E14" i="15" s="1"/>
  <c r="D25" i="15"/>
  <c r="E25" i="15" s="1"/>
  <c r="D29" i="15"/>
  <c r="E29" i="15" s="1"/>
  <c r="D36" i="15"/>
  <c r="E36" i="15" s="1"/>
  <c r="I6" i="20"/>
  <c r="F6" i="20"/>
  <c r="J6" i="20"/>
  <c r="G6" i="20"/>
  <c r="K6" i="20"/>
  <c r="H6" i="20"/>
  <c r="E58" i="15"/>
  <c r="E57" i="15"/>
  <c r="E56" i="15"/>
  <c r="N3" i="20"/>
  <c r="N4" i="20" s="1"/>
  <c r="N5" i="20" s="1"/>
  <c r="N6" i="20" s="1"/>
  <c r="N7" i="20" s="1"/>
  <c r="N8" i="20" s="1"/>
  <c r="N9" i="20" s="1"/>
  <c r="N10" i="20" s="1"/>
  <c r="N11" i="20" s="1"/>
  <c r="N12" i="20" s="1"/>
  <c r="N13" i="20" s="1"/>
  <c r="N14" i="20" s="1"/>
  <c r="N15" i="20" s="1"/>
  <c r="N16" i="20" s="1"/>
  <c r="N17" i="20" s="1"/>
  <c r="E55" i="15"/>
  <c r="E54" i="15"/>
  <c r="E53" i="15"/>
  <c r="E52" i="15"/>
  <c r="E48" i="15"/>
  <c r="E51" i="15"/>
  <c r="E50" i="15"/>
  <c r="E49" i="15"/>
  <c r="D10" i="15"/>
  <c r="E10" i="15" s="1"/>
  <c r="E15" i="4"/>
  <c r="E14" i="4" s="1"/>
  <c r="D7" i="15"/>
  <c r="E7" i="15" s="1"/>
  <c r="D16" i="15"/>
  <c r="E16" i="15" s="1"/>
  <c r="D46" i="15"/>
  <c r="E46" i="15" s="1"/>
  <c r="D32" i="15"/>
  <c r="E32" i="15" s="1"/>
  <c r="D4" i="15"/>
  <c r="D21" i="15"/>
  <c r="E21" i="15" s="1"/>
  <c r="D38" i="15"/>
  <c r="E38" i="15" s="1"/>
  <c r="D31" i="15"/>
  <c r="E31" i="15" s="1"/>
  <c r="D35" i="15"/>
  <c r="E35" i="15" s="1"/>
  <c r="D44" i="15"/>
  <c r="E44" i="15" s="1"/>
  <c r="H21" i="6"/>
  <c r="J21" i="6" s="1"/>
  <c r="H24" i="6"/>
  <c r="J24" i="6" s="1"/>
  <c r="G24" i="15" l="1"/>
  <c r="I24" i="15" s="1"/>
  <c r="E5" i="15"/>
  <c r="G5" i="15"/>
  <c r="I5" i="15" s="1"/>
  <c r="E4" i="15"/>
  <c r="G4" i="15"/>
  <c r="I4" i="15" s="1"/>
  <c r="G25" i="15"/>
  <c r="I25" i="15" s="1"/>
  <c r="G28" i="15"/>
  <c r="I28" i="15" s="1"/>
  <c r="G26" i="15"/>
  <c r="I26" i="15" s="1"/>
  <c r="G27" i="15"/>
  <c r="I27" i="15" s="1"/>
  <c r="G18" i="15"/>
  <c r="I18" i="15" s="1"/>
  <c r="G21" i="15"/>
  <c r="I21" i="15" s="1"/>
  <c r="G22" i="15"/>
  <c r="I22" i="15" s="1"/>
  <c r="G15" i="15"/>
  <c r="I15" i="15" s="1"/>
  <c r="G20" i="15"/>
  <c r="I20" i="15" s="1"/>
  <c r="G39" i="15"/>
  <c r="I39" i="15" s="1"/>
  <c r="G14" i="15"/>
  <c r="I14" i="15" s="1"/>
  <c r="G10" i="15"/>
  <c r="I10" i="15" s="1"/>
  <c r="G13" i="15"/>
  <c r="I13" i="15" s="1"/>
  <c r="G8" i="15"/>
  <c r="I8" i="15" s="1"/>
  <c r="G7" i="15"/>
  <c r="I7" i="15" s="1"/>
  <c r="G17" i="15"/>
  <c r="I17" i="15" s="1"/>
  <c r="G19" i="15"/>
  <c r="I19" i="15" s="1"/>
  <c r="G16" i="15"/>
  <c r="I16" i="15" s="1"/>
  <c r="G12" i="15"/>
  <c r="I12" i="15" s="1"/>
  <c r="G11" i="15"/>
  <c r="I11" i="15" s="1"/>
  <c r="G6" i="15"/>
  <c r="I6" i="15" s="1"/>
  <c r="G34" i="15" l="1"/>
  <c r="G40" i="15"/>
  <c r="I40" i="15" s="1"/>
  <c r="G45" i="15"/>
  <c r="I45" i="15" s="1"/>
  <c r="G29" i="15"/>
  <c r="I29" i="15" s="1"/>
  <c r="I34" i="15" l="1"/>
  <c r="G30" i="15"/>
  <c r="G33" i="15"/>
  <c r="G37" i="15"/>
  <c r="G32" i="15"/>
  <c r="G36" i="15"/>
  <c r="G41" i="15"/>
  <c r="G42" i="15"/>
  <c r="G31" i="15"/>
  <c r="G35" i="15"/>
  <c r="G46" i="15"/>
  <c r="G38" i="15"/>
  <c r="G43" i="15"/>
  <c r="G44" i="15"/>
  <c r="I44" i="15" l="1"/>
  <c r="I43" i="15"/>
  <c r="I38" i="15"/>
  <c r="I46" i="15"/>
  <c r="I35" i="15"/>
  <c r="I31" i="15"/>
  <c r="I42" i="15"/>
  <c r="I41" i="15"/>
  <c r="I36" i="15"/>
  <c r="I32" i="15"/>
  <c r="I37" i="15"/>
  <c r="I33" i="15"/>
  <c r="I30"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00000000-0006-0000-0000-000001000000}">
      <text>
        <r>
          <rPr>
            <i/>
            <sz val="12"/>
            <color indexed="81"/>
            <rFont val="Times New Roman"/>
            <family val="1"/>
          </rPr>
          <t>aid +1
bless +1     haste +1
inspire courage +2</t>
        </r>
      </text>
    </comment>
    <comment ref="C9" authorId="0" shapeId="0" xr:uid="{00000000-0006-0000-0000-000002000000}">
      <text>
        <r>
          <rPr>
            <i/>
            <sz val="12"/>
            <color indexed="81"/>
            <rFont val="Times New Roman"/>
            <family val="1"/>
          </rPr>
          <t>Improved Initiative +4</t>
        </r>
      </text>
    </comment>
    <comment ref="B10" authorId="0" shapeId="0" xr:uid="{00000000-0006-0000-0000-000003000000}">
      <text>
        <r>
          <rPr>
            <i/>
            <sz val="12"/>
            <color indexed="81"/>
            <rFont val="Times New Roman"/>
            <family val="1"/>
          </rPr>
          <t>bull’s strength +4
chasing perfection +4
bear’s heart +4
baleful bolt -3
ray of enfeeblement -5</t>
        </r>
      </text>
    </comment>
    <comment ref="E10" authorId="0" shapeId="0" xr:uid="{00000000-0006-0000-0000-000004000000}">
      <text>
        <r>
          <rPr>
            <sz val="12"/>
            <color indexed="81"/>
            <rFont val="Times New Roman"/>
            <family val="1"/>
          </rPr>
          <t>See PHB 162</t>
        </r>
      </text>
    </comment>
    <comment ref="B11" authorId="0" shapeId="0" xr:uid="{00000000-0006-0000-0000-000005000000}">
      <text>
        <r>
          <rPr>
            <i/>
            <sz val="12"/>
            <color indexed="81"/>
            <rFont val="Times New Roman"/>
            <family val="1"/>
          </rPr>
          <t>chasing perfection +4</t>
        </r>
      </text>
    </comment>
    <comment ref="B12" authorId="0" shapeId="0" xr:uid="{00000000-0006-0000-0000-000006000000}">
      <text>
        <r>
          <rPr>
            <i/>
            <sz val="12"/>
            <color indexed="81"/>
            <rFont val="Times New Roman"/>
            <family val="1"/>
          </rPr>
          <t>chasing perfection +4</t>
        </r>
      </text>
    </comment>
    <comment ref="E12" authorId="0" shapeId="0" xr:uid="{00000000-0006-0000-0000-000007000000}">
      <text>
        <r>
          <rPr>
            <sz val="12"/>
            <color indexed="81"/>
            <rFont val="Times New Roman"/>
            <family val="1"/>
          </rPr>
          <t>[(15 * 10 Duskblade) * 75%] + (15 * 2 Con)
[(2 * 10 Warblade) * 75%] + (2 * 2 Con)</t>
        </r>
      </text>
    </comment>
    <comment ref="B13" authorId="0" shapeId="0" xr:uid="{00000000-0006-0000-0000-000008000000}">
      <text>
        <r>
          <rPr>
            <i/>
            <sz val="12"/>
            <color indexed="81"/>
            <rFont val="Times New Roman"/>
            <family val="1"/>
          </rPr>
          <t>chasing perfection +4</t>
        </r>
      </text>
    </comment>
    <comment ref="E13" authorId="0" shapeId="0" xr:uid="{00000000-0006-0000-0000-000009000000}">
      <text>
        <r>
          <rPr>
            <i/>
            <sz val="12"/>
            <color indexed="81"/>
            <rFont val="Times New Roman"/>
            <family val="1"/>
          </rPr>
          <t xml:space="preserve">Shield of Faith </t>
        </r>
        <r>
          <rPr>
            <sz val="12"/>
            <color indexed="81"/>
            <rFont val="Times New Roman"/>
            <family val="1"/>
          </rPr>
          <t xml:space="preserve">[Deflection] +3
</t>
        </r>
        <r>
          <rPr>
            <i/>
            <sz val="12"/>
            <color indexed="81"/>
            <rFont val="Times New Roman"/>
            <family val="1"/>
          </rPr>
          <t>haste +1</t>
        </r>
      </text>
    </comment>
    <comment ref="B14" authorId="0" shapeId="0" xr:uid="{00000000-0006-0000-0000-00000A000000}">
      <text>
        <r>
          <rPr>
            <i/>
            <sz val="12"/>
            <color indexed="81"/>
            <rFont val="Times New Roman"/>
            <family val="1"/>
          </rPr>
          <t>chasing perfection +4</t>
        </r>
      </text>
    </comment>
    <comment ref="B15" authorId="0" shapeId="0" xr:uid="{00000000-0006-0000-0000-00000B000000}">
      <text>
        <r>
          <rPr>
            <i/>
            <sz val="12"/>
            <color indexed="81"/>
            <rFont val="Times New Roman"/>
            <family val="1"/>
          </rPr>
          <t>chasing perfection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sz val="12"/>
            <color indexed="81"/>
            <rFont val="Times New Roman"/>
            <family val="1"/>
          </rPr>
          <t>Vest of Resistance +1</t>
        </r>
      </text>
    </comment>
    <comment ref="F4" authorId="0" shapeId="0" xr:uid="{00000000-0006-0000-0100-000002000000}">
      <text>
        <r>
          <rPr>
            <sz val="12"/>
            <color indexed="81"/>
            <rFont val="Times New Roman"/>
            <family val="1"/>
          </rPr>
          <t>Vest of Resistance +1</t>
        </r>
      </text>
    </comment>
    <comment ref="F5" authorId="0" shapeId="0" xr:uid="{00000000-0006-0000-0100-000003000000}">
      <text>
        <r>
          <rPr>
            <sz val="12"/>
            <color indexed="81"/>
            <rFont val="Times New Roman"/>
            <family val="1"/>
          </rPr>
          <t>Vest of Resistance +1</t>
        </r>
      </text>
    </comment>
    <comment ref="F7" authorId="0" shapeId="0" xr:uid="{BEF5A363-B6DD-4F02-93DF-7B3F0E7D86AB}">
      <text>
        <r>
          <rPr>
            <sz val="12"/>
            <color indexed="81"/>
            <rFont val="Times New Roman"/>
            <family val="1"/>
          </rPr>
          <t>-1 Chain Shirt +1</t>
        </r>
      </text>
    </comment>
    <comment ref="F9" authorId="0" shapeId="0" xr:uid="{00000000-0006-0000-0100-000005000000}">
      <text>
        <r>
          <rPr>
            <sz val="12"/>
            <color indexed="81"/>
            <rFont val="Times New Roman"/>
            <family val="1"/>
          </rPr>
          <t>-1 Chain Shirt +1</t>
        </r>
      </text>
    </comment>
    <comment ref="F13" authorId="0" shapeId="0" xr:uid="{00000000-0006-0000-0100-000006000000}">
      <text>
        <r>
          <rPr>
            <sz val="12"/>
            <color indexed="81"/>
            <rFont val="Times New Roman"/>
            <family val="1"/>
          </rPr>
          <t>+2 ½-elf</t>
        </r>
      </text>
    </comment>
    <comment ref="F16" authorId="0" shapeId="0" xr:uid="{B2164C5F-AF25-47BF-BBDB-2EE9B0D50B70}">
      <text>
        <r>
          <rPr>
            <sz val="12"/>
            <color indexed="81"/>
            <rFont val="Times New Roman"/>
            <family val="1"/>
          </rPr>
          <t>-1 Chain Shirt +1</t>
        </r>
      </text>
    </comment>
    <comment ref="F18" authorId="0" shapeId="0" xr:uid="{00000000-0006-0000-0100-000008000000}">
      <text>
        <r>
          <rPr>
            <sz val="12"/>
            <color indexed="81"/>
            <rFont val="Times New Roman"/>
            <family val="1"/>
          </rPr>
          <t>+2 ½-drow</t>
        </r>
      </text>
    </comment>
    <comment ref="F21" authorId="0" shapeId="0" xr:uid="{377F3C60-217E-4338-837F-6715469EDD8A}">
      <text>
        <r>
          <rPr>
            <sz val="12"/>
            <color indexed="81"/>
            <rFont val="Times New Roman"/>
            <family val="1"/>
          </rPr>
          <t>-1 Chain Shirt +1</t>
        </r>
      </text>
    </comment>
    <comment ref="F23" authorId="0" shapeId="0" xr:uid="{FE828528-6B4B-4409-9240-974A34F7C973}">
      <text>
        <r>
          <rPr>
            <sz val="12"/>
            <color indexed="81"/>
            <rFont val="Times New Roman"/>
            <family val="1"/>
          </rPr>
          <t>-1 Chain Shirt +1</t>
        </r>
      </text>
    </comment>
    <comment ref="F30" authorId="0" shapeId="0" xr:uid="{00000000-0006-0000-0100-00000B000000}">
      <text>
        <r>
          <rPr>
            <sz val="12"/>
            <color indexed="81"/>
            <rFont val="Times New Roman"/>
            <family val="1"/>
          </rPr>
          <t>+1 ½-drow</t>
        </r>
      </text>
    </comment>
    <comment ref="F31" authorId="0" shapeId="0" xr:uid="{F9AF9BEB-2A62-4DBC-A09A-F3F4A3ECE2CB}">
      <text>
        <r>
          <rPr>
            <sz val="12"/>
            <color indexed="81"/>
            <rFont val="Times New Roman"/>
            <family val="1"/>
          </rPr>
          <t>-1 Chain Shirt +1</t>
        </r>
      </text>
    </comment>
    <comment ref="F36" authorId="0" shapeId="0" xr:uid="{00000000-0006-0000-0100-00000D000000}">
      <text>
        <r>
          <rPr>
            <sz val="12"/>
            <color indexed="81"/>
            <rFont val="Times New Roman"/>
            <family val="1"/>
          </rPr>
          <t>+1 ½-drow</t>
        </r>
      </text>
    </comment>
    <comment ref="F38" authorId="0" shapeId="0" xr:uid="{C4EF49CB-1CD7-46B9-8916-9FE5C620FFFF}">
      <text>
        <r>
          <rPr>
            <sz val="12"/>
            <color indexed="81"/>
            <rFont val="Times New Roman"/>
            <family val="1"/>
          </rPr>
          <t>-1 Chain Shirt +1</t>
        </r>
      </text>
    </comment>
    <comment ref="F41" authorId="0" shapeId="0" xr:uid="{00000000-0006-0000-0100-00000F000000}">
      <text>
        <r>
          <rPr>
            <sz val="12"/>
            <color indexed="81"/>
            <rFont val="Times New Roman"/>
            <family val="1"/>
          </rPr>
          <t>+1 ½-drow</t>
        </r>
      </text>
    </comment>
    <comment ref="F44" authorId="0" shapeId="0" xr:uid="{C26F7456-A1B9-4385-A78A-B9B71A463160}">
      <text>
        <r>
          <rPr>
            <sz val="12"/>
            <color indexed="81"/>
            <rFont val="Times New Roman"/>
            <family val="1"/>
          </rPr>
          <t>-1 Chain Shirt +1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4" authorId="0" shapeId="0" xr:uid="{00000000-0006-0000-0200-000001000000}">
      <text>
        <r>
          <rPr>
            <sz val="12"/>
            <color indexed="81"/>
            <rFont val="Times New Roman"/>
            <family val="1"/>
          </rPr>
          <t>Wool or fur</t>
        </r>
      </text>
    </comment>
    <comment ref="D7" authorId="0" shapeId="0" xr:uid="{B4BE99A7-B120-4A2F-96C3-B771B2989D0E}">
      <text>
        <r>
          <rPr>
            <sz val="12"/>
            <color indexed="81"/>
            <rFont val="Times New Roman"/>
            <family val="1"/>
          </rPr>
          <t>Drop of sweat</t>
        </r>
      </text>
    </comment>
    <comment ref="D16" authorId="0" shapeId="0" xr:uid="{00000000-0006-0000-0200-000003000000}">
      <text>
        <r>
          <rPr>
            <sz val="12"/>
            <color indexed="81"/>
            <rFont val="Times New Roman"/>
            <family val="1"/>
          </rPr>
          <t>Bull-shit or bull-hair</t>
        </r>
      </text>
    </comment>
    <comment ref="D22" authorId="0" shapeId="0" xr:uid="{00000000-0006-0000-0200-000004000000}">
      <text>
        <r>
          <rPr>
            <sz val="12"/>
            <color indexed="81"/>
            <rFont val="Times New Roman"/>
            <family val="1"/>
          </rPr>
          <t>Roots</t>
        </r>
      </text>
    </comment>
    <comment ref="D25" authorId="0" shapeId="0" xr:uid="{868F9319-9234-4891-882E-988165610A2D}">
      <text>
        <r>
          <rPr>
            <sz val="12"/>
            <color indexed="81"/>
            <rFont val="Times New Roman"/>
            <family val="1"/>
          </rPr>
          <t>dragon scale</t>
        </r>
      </text>
    </comment>
    <comment ref="D27" authorId="0" shapeId="0" xr:uid="{60A45880-3F83-47E8-B92B-D156D148D3F5}">
      <text>
        <r>
          <rPr>
            <sz val="12"/>
            <color indexed="81"/>
            <rFont val="Times New Roman"/>
            <family val="1"/>
          </rPr>
          <t>phosphorous (warm) or glowworm (chill)</t>
        </r>
      </text>
    </comment>
    <comment ref="D29" authorId="0" shapeId="0" xr:uid="{7532466D-CC5A-4796-B616-E05CF6550142}">
      <text>
        <r>
          <rPr>
            <sz val="12"/>
            <color indexed="81"/>
            <rFont val="Times New Roman"/>
            <family val="1"/>
          </rPr>
          <t>phosphorous (warm) or glowworm (chill)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300-000001000000}">
      <text>
        <r>
          <rPr>
            <sz val="12"/>
            <color indexed="81"/>
            <rFont val="Times New Roman"/>
            <family val="1"/>
          </rPr>
          <t xml:space="preserve">You can use your knowledge to exploit your foes’ weaknesses and overcome their strengths.
</t>
        </r>
        <r>
          <rPr>
            <b/>
            <sz val="12"/>
            <color indexed="81"/>
            <rFont val="Times New Roman"/>
            <family val="1"/>
          </rPr>
          <t xml:space="preserve">Prerequisite:  </t>
        </r>
        <r>
          <rPr>
            <sz val="12"/>
            <color indexed="81"/>
            <rFont val="Times New Roman"/>
            <family val="1"/>
          </rPr>
          <t xml:space="preserve">Knowledge (any) 5 ranks.
</t>
        </r>
        <r>
          <rPr>
            <b/>
            <sz val="12"/>
            <color indexed="81"/>
            <rFont val="Times New Roman"/>
            <family val="1"/>
          </rPr>
          <t xml:space="preserve">Benefit:  </t>
        </r>
        <r>
          <rPr>
            <sz val="12"/>
            <color indexed="81"/>
            <rFont val="Times New Roman"/>
            <family val="1"/>
          </rPr>
          <t xml:space="preserve">Upon selecting this feat, you immediately add one Knowledge skill of your choice to your list of class skills.  Thereafter, you treat that skill as a class skill, regardless of which class you are advancing in.  Whenever you fight a creature, you can make a Knowledge check based on its type, as described on page 78 of the Player’s Handbook, provided that you have at least one rank in the appropriate Knowledge skill.
You then receive an insight bonus on attack rolls and damage rolls against that creature type for the remainder of the combat.  The amount of the bonus depends on your Knowledge check result, as given on the following table.
</t>
        </r>
        <r>
          <rPr>
            <b/>
            <sz val="12"/>
            <color indexed="81"/>
            <rFont val="Times New Roman"/>
            <family val="1"/>
          </rPr>
          <t>Die Roll        Bonus</t>
        </r>
        <r>
          <rPr>
            <sz val="12"/>
            <color indexed="81"/>
            <rFont val="Times New Roman"/>
            <family val="1"/>
          </rPr>
          <t xml:space="preserve">
15 or below    +1
16-25              +2
26-30              +3
31-35              +4
36 or higher    +5
You can make only one Knowledge check per creature type per combat.  If you fight creatures of multiple types during the same combat, you can make one Knowledge check per type, thereby possibly gaining different bonuses against different opponents.
</t>
        </r>
        <r>
          <rPr>
            <b/>
            <sz val="12"/>
            <color indexed="81"/>
            <rFont val="Times New Roman"/>
            <family val="1"/>
          </rPr>
          <t xml:space="preserve">Example:  </t>
        </r>
        <r>
          <rPr>
            <sz val="12"/>
            <color indexed="81"/>
            <rFont val="Times New Roman"/>
            <family val="1"/>
          </rPr>
          <t>Alhandra faces a black dragon, a vampire, and a beholder.  She has the Knowledge Devotion feat and ranks in both Knowledge (arcana) and Knowledge (religion).  At the beginning of the battle, she makes checks to gain bonuses against the dragon and the vampire, but since she possess no ranks in Knowledge (dungeoneering), she has no chance to gain a bonus against the beholder (an aberration).
Alhandra’s Knowledge (arcana) check grants her a +3 insight bonus on attack rolls and damage rolls against the black dragon.  Later, a half-dragon enters the fray.  Alhandra cannot make another check since she has already checked for the dragon type this combat, but she can apply the +3 insight bonus to her attack rolls and damage rolls against the half-dragon as well.  This benefit is an extraordinary ability.
Complete Champion 60</t>
        </r>
      </text>
    </comment>
    <comment ref="A3" authorId="0" shapeId="0" xr:uid="{00000000-0006-0000-0300-000002000000}">
      <text>
        <r>
          <rPr>
            <sz val="12"/>
            <color indexed="81"/>
            <rFont val="Times New Roman"/>
            <family val="1"/>
          </rPr>
          <t xml:space="preserve">You can respond quickly and repeatedly to opponents who let their defenses down.
Benefit: When foes leave themselves open, you may make a number of additional attacks of opportunity equal to your Dexterity bonus.  For example, a fighter with a Dexterity of 15 can make a total of three attacks of opportunity in 1 round—the one attack of opportunity any character is entitled to, plus two more because of his +2 Dexterity bonus.  If four goblins move out of the character’s threatened squares, he can make one attack of opportunity each against three of the four.  You can still make only one attack of opportunity per opportunity.
With this feat, you may also make attacks of opportunity while flat-footed.
</t>
        </r>
        <r>
          <rPr>
            <b/>
            <sz val="12"/>
            <color indexed="81"/>
            <rFont val="Times New Roman"/>
            <family val="1"/>
          </rPr>
          <t xml:space="preserve">Normal:  </t>
        </r>
        <r>
          <rPr>
            <sz val="12"/>
            <color indexed="81"/>
            <rFont val="Times New Roman"/>
            <family val="1"/>
          </rPr>
          <t xml:space="preserve">A character without this feat can make only one attack of opportunity per round and can’t make attacks of opportunity while flat-footed.
</t>
        </r>
        <r>
          <rPr>
            <b/>
            <sz val="12"/>
            <color indexed="81"/>
            <rFont val="Times New Roman"/>
            <family val="1"/>
          </rPr>
          <t xml:space="preserve">Special: </t>
        </r>
        <r>
          <rPr>
            <sz val="12"/>
            <color indexed="81"/>
            <rFont val="Times New Roman"/>
            <family val="1"/>
          </rPr>
          <t xml:space="preserve"> The Combat Reflexes feat does not allow a rogue to use her opportunist ability (see page 51) more than once per round. A fighter may select Combat Reflexes as one of his fighter bonus feats (see page 38)
PHB 92</t>
        </r>
      </text>
    </comment>
    <comment ref="A4" authorId="0" shapeId="0" xr:uid="{00000000-0006-0000-0300-000003000000}">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A5" authorId="0" shapeId="0" xr:uid="{60841B16-2D82-4809-B103-0B4190D147E2}">
      <text>
        <r>
          <rPr>
            <sz val="12"/>
            <color indexed="81"/>
            <rFont val="Times New Roman"/>
            <family val="1"/>
          </rPr>
          <t xml:space="preserve">You attract a more powerful cohort than you normally would.
</t>
        </r>
        <r>
          <rPr>
            <b/>
            <sz val="12"/>
            <color indexed="81"/>
            <rFont val="Times New Roman"/>
            <family val="1"/>
          </rPr>
          <t xml:space="preserve">Prerequisites:  </t>
        </r>
        <r>
          <rPr>
            <sz val="12"/>
            <color indexed="81"/>
            <rFont val="Times New Roman"/>
            <family val="1"/>
          </rPr>
          <t xml:space="preserve">Cha 15, Leadership.
</t>
        </r>
        <r>
          <rPr>
            <b/>
            <sz val="12"/>
            <color indexed="81"/>
            <rFont val="Times New Roman"/>
            <family val="1"/>
          </rPr>
          <t xml:space="preserve">Benefit:  </t>
        </r>
        <r>
          <rPr>
            <sz val="12"/>
            <color indexed="81"/>
            <rFont val="Times New Roman"/>
            <family val="1"/>
          </rPr>
          <t xml:space="preserve">The maximum level of the cohort you gain from the Leadership feat (see page 106 of the Dungeon Master’s Guide) is one lower than your character level.
</t>
        </r>
        <r>
          <rPr>
            <b/>
            <sz val="12"/>
            <color indexed="81"/>
            <rFont val="Times New Roman"/>
            <family val="1"/>
          </rPr>
          <t xml:space="preserve">Normal:  </t>
        </r>
        <r>
          <rPr>
            <sz val="12"/>
            <color indexed="81"/>
            <rFont val="Times New Roman"/>
            <family val="1"/>
          </rPr>
          <t>Without this feat, a cohort’s maximum level is two levels below the associated PC’s level.
Heroes of Battle 98</t>
        </r>
      </text>
    </comment>
    <comment ref="A6" authorId="0" shapeId="0" xr:uid="{2D57BAEA-D2B7-4C28-933A-B153FBCC0FD7}">
      <text>
        <r>
          <rPr>
            <sz val="12"/>
            <rFont val="Times New Roman"/>
            <family val="1"/>
          </rPr>
          <t xml:space="preserve">You can chennel arcane energy into your melee attacks.
</t>
        </r>
        <r>
          <rPr>
            <b/>
            <sz val="12"/>
            <color indexed="81"/>
            <rFont val="Times New Roman"/>
            <family val="1"/>
          </rPr>
          <t xml:space="preserve">Prerequisitites:  </t>
        </r>
        <r>
          <rPr>
            <sz val="12"/>
            <rFont val="Times New Roman"/>
            <family val="1"/>
          </rPr>
          <t xml:space="preserve">Ability to cast 3rd-level arcane spells, base attack bonus +4.
</t>
        </r>
        <r>
          <rPr>
            <b/>
            <sz val="12"/>
            <color indexed="81"/>
            <rFont val="Times New Roman"/>
            <family val="1"/>
          </rPr>
          <t xml:space="preserve">Benefit:  </t>
        </r>
        <r>
          <rPr>
            <sz val="12"/>
            <rFont val="Times New Roman"/>
            <family val="1"/>
          </rPr>
          <t>When you activate this feat (a free action that does not provoke an attack of opportunity), you can channel arcane energy into a melee weapon, your unarmed strike, or natural weapons.  You must sacrifice one of your spells for the day (of 1st level or higher) to do this, but you gain a bonus on all your attack rolls for 1 round equal to the level of the spell sacrificed, as well as extra damage equal to 1d4 points x the level of the spell sacrificed.  The bonus you add to your attack rolls from this feat cannot be greater than your base attack bonus.
For example, Yarren the badesinger has a BAB of +11 and the ability to cast 4th-level spells for the day, marking it off as if he had cast it.  until his next turn, yarren gaines an extra +4 bonus on his attack rolls and an extra 4d4 points of damage with a single melee weapon of his choice (his rapier).
??? 96</t>
        </r>
      </text>
    </comment>
    <comment ref="A10" authorId="0" shapeId="0" xr:uid="{00000000-0006-0000-0300-000005000000}">
      <text>
        <r>
          <rPr>
            <sz val="12"/>
            <color indexed="81"/>
            <rFont val="Times New Roman"/>
            <family val="1"/>
          </rPr>
          <t>Dancing Lights, Detect Magic, Flare, Ghost Sound, Read Magic a combined total of times per day equal to 3 + Int modifier.  These do not count against your total of spells known or spells per day.</t>
        </r>
      </text>
    </comment>
    <comment ref="A12" authorId="0" shapeId="0" xr:uid="{00000000-0006-0000-0300-000006000000}">
      <text>
        <r>
          <rPr>
            <sz val="12"/>
            <color indexed="81"/>
            <rFont val="Times New Roman"/>
            <family val="1"/>
          </rPr>
          <t>Avoid arcane spell failure so long as you stick to medium armor and light shields.</t>
        </r>
      </text>
    </comment>
    <comment ref="A13" authorId="0" shapeId="0" xr:uid="{00000000-0006-0000-0300-000007000000}">
      <text>
        <r>
          <rPr>
            <sz val="12"/>
            <color indexed="81"/>
            <rFont val="Times New Roman"/>
            <family val="1"/>
          </rPr>
          <t>Avoid arcane spell failure so long as you stick to medium armor and light shields.</t>
        </r>
      </text>
    </comment>
    <comment ref="A14" authorId="0" shapeId="0" xr:uid="{00000000-0006-0000-0300-000008000000}">
      <text>
        <r>
          <rPr>
            <sz val="12"/>
            <color indexed="81"/>
            <rFont val="Times New Roman"/>
            <family val="1"/>
          </rPr>
          <t>You can use a standard action to cast any touch spell you know and deliver the spell through your weapon with a melee attack.  Casting a spell in this manner does not provoke attacks of opportunity.  The spell must have a casting time of 1 standard action or less.  If the melee attack is successful, the attack deals damage normally; then the effect of the spell is resolved.</t>
        </r>
      </text>
    </comment>
    <comment ref="A15" authorId="0" shapeId="0" xr:uid="{00000000-0006-0000-0300-000009000000}">
      <text>
        <r>
          <rPr>
            <sz val="12"/>
            <color indexed="81"/>
            <rFont val="Times New Roman"/>
            <family val="1"/>
          </rPr>
          <t xml:space="preserve">You are adept at casting spells in combat.
</t>
        </r>
        <r>
          <rPr>
            <b/>
            <sz val="12"/>
            <color indexed="81"/>
            <rFont val="Times New Roman"/>
            <family val="1"/>
          </rPr>
          <t xml:space="preserve">Benefit:  </t>
        </r>
        <r>
          <rPr>
            <sz val="12"/>
            <color indexed="81"/>
            <rFont val="Times New Roman"/>
            <family val="1"/>
          </rPr>
          <t>You get a +4 bonus on Concentration checks made to cast a spell or use a spell-like ability while on the defensive (see Casting on the Defensive, page 140) or while you are grappling or pinned.
PHB 92</t>
        </r>
      </text>
    </comment>
    <comment ref="C15" authorId="0" shapeId="0" xr:uid="{1067AFD8-A79E-4DAA-A1B3-F20C7EC31A8A}">
      <text>
        <r>
          <rPr>
            <sz val="12"/>
            <color indexed="81"/>
            <rFont val="Times New Roman"/>
            <family val="1"/>
          </rPr>
          <t xml:space="preserve">Devoted Spirit (Strike)
</t>
        </r>
        <r>
          <rPr>
            <b/>
            <sz val="12"/>
            <color indexed="81"/>
            <rFont val="Times New Roman"/>
            <family val="1"/>
          </rPr>
          <t xml:space="preserve">Level:  </t>
        </r>
        <r>
          <rPr>
            <sz val="12"/>
            <color indexed="81"/>
            <rFont val="Times New Roman"/>
            <family val="1"/>
          </rPr>
          <t xml:space="preserve">Crusader 2
</t>
        </r>
        <r>
          <rPr>
            <b/>
            <sz val="12"/>
            <color indexed="81"/>
            <rFont val="Times New Roman"/>
            <family val="1"/>
          </rPr>
          <t xml:space="preserve">Initiation Action: </t>
        </r>
        <r>
          <rPr>
            <sz val="12"/>
            <color indexed="81"/>
            <rFont val="Times New Roman"/>
            <family val="1"/>
          </rPr>
          <t xml:space="preserve">1 standard action
</t>
        </r>
        <r>
          <rPr>
            <b/>
            <sz val="12"/>
            <color indexed="81"/>
            <rFont val="Times New Roman"/>
            <family val="1"/>
          </rPr>
          <t xml:space="preserve">Range: </t>
        </r>
        <r>
          <rPr>
            <sz val="12"/>
            <color indexed="81"/>
            <rFont val="Times New Roman"/>
            <family val="1"/>
          </rPr>
          <t xml:space="preserve">Melee attack
</t>
        </r>
        <r>
          <rPr>
            <b/>
            <sz val="12"/>
            <color indexed="81"/>
            <rFont val="Times New Roman"/>
            <family val="1"/>
          </rPr>
          <t xml:space="preserve">Target: </t>
        </r>
        <r>
          <rPr>
            <sz val="12"/>
            <color indexed="81"/>
            <rFont val="Times New Roman"/>
            <family val="1"/>
          </rPr>
          <t>One creature
Your throw yourself behind your attack, lending your blow such great weight and force that you leave injuries that even magical defenses cannot mend.  Your devotion to your cause gives you boundless energy that allows you to smash through supernatural defenses. When you land an attack, you hit with such force that damage reduction offers little resistance against you.
When you use this maneuver, you make a melee attack against a single foe.  This attack automatically overcomes the opponent’s damage reduction and deals an extra 2d6 points of damage.
Bo9S 85</t>
        </r>
      </text>
    </comment>
    <comment ref="A16" authorId="0" shapeId="0" xr:uid="{00000000-0006-0000-0300-00000A000000}">
      <text>
        <r>
          <rPr>
            <sz val="12"/>
            <color indexed="81"/>
            <rFont val="Times New Roman"/>
            <family val="1"/>
          </rPr>
          <t>Starting at 6th level, you can more easily overcome the spell resistance of any opponent you successfully injure
with a melee attack.
If you have injured an opponent with a melee attack, you gain a +2 bonus on your caster level check to overcome spell resistance for the remainder of the encounter.  This
bonus increases to +3 at 11th level, to +4 at 16th level, and to +5 at 18th level.
PHB II 20</t>
        </r>
      </text>
    </comment>
    <comment ref="A17" authorId="0" shapeId="0" xr:uid="{00000000-0006-0000-0300-00000B000000}">
      <text>
        <r>
          <rPr>
            <sz val="12"/>
            <color indexed="81"/>
            <rFont val="Times New Roman"/>
            <family val="1"/>
          </rPr>
          <t>You can cast one spell as a swift action, so long as the casting time of the spell is 1 standard action or less.</t>
        </r>
      </text>
    </comment>
    <comment ref="C17" authorId="0" shapeId="0" xr:uid="{B031E2E1-8F72-4FCD-8261-8FAB6BB05251}">
      <text>
        <r>
          <rPr>
            <sz val="12"/>
            <color indexed="81"/>
            <rFont val="Times New Roman"/>
            <family val="1"/>
          </rPr>
          <t xml:space="preserve">Devoted Spirit (Counter)
</t>
        </r>
        <r>
          <rPr>
            <b/>
            <sz val="12"/>
            <color indexed="81"/>
            <rFont val="Times New Roman"/>
            <family val="1"/>
          </rPr>
          <t xml:space="preserve">Level:  </t>
        </r>
        <r>
          <rPr>
            <sz val="12"/>
            <color indexed="81"/>
            <rFont val="Times New Roman"/>
            <family val="1"/>
          </rPr>
          <t xml:space="preserve">Crusader 2
</t>
        </r>
        <r>
          <rPr>
            <b/>
            <sz val="12"/>
            <color indexed="81"/>
            <rFont val="Times New Roman"/>
            <family val="1"/>
          </rPr>
          <t xml:space="preserve">Initiation Action:  </t>
        </r>
        <r>
          <rPr>
            <sz val="12"/>
            <color indexed="81"/>
            <rFont val="Times New Roman"/>
            <family val="1"/>
          </rPr>
          <t xml:space="preserve">1 immediate action
</t>
        </r>
        <r>
          <rPr>
            <b/>
            <sz val="12"/>
            <color indexed="81"/>
            <rFont val="Times New Roman"/>
            <family val="1"/>
          </rPr>
          <t xml:space="preserve">Range:  </t>
        </r>
        <r>
          <rPr>
            <sz val="12"/>
            <color indexed="81"/>
            <rFont val="Times New Roman"/>
            <family val="1"/>
          </rPr>
          <t xml:space="preserve">Personal
</t>
        </r>
        <r>
          <rPr>
            <b/>
            <sz val="12"/>
            <color indexed="81"/>
            <rFont val="Times New Roman"/>
            <family val="1"/>
          </rPr>
          <t xml:space="preserve">Target:  </t>
        </r>
        <r>
          <rPr>
            <sz val="12"/>
            <color indexed="81"/>
            <rFont val="Times New Roman"/>
            <family val="1"/>
          </rPr>
          <t xml:space="preserve">You
</t>
        </r>
        <r>
          <rPr>
            <b/>
            <sz val="12"/>
            <color indexed="81"/>
            <rFont val="Times New Roman"/>
            <family val="1"/>
          </rPr>
          <t xml:space="preserve">Duration:  </t>
        </r>
        <r>
          <rPr>
            <sz val="12"/>
            <color indexed="81"/>
            <rFont val="Times New Roman"/>
            <family val="1"/>
          </rPr>
          <t>Instantaneous
With a heroic burst of effort, you thrust your shield between your defenseless ally and your enemy.
As an immediate action, you can grant an AC bonus to an adjacent ally equal to your shield’s AC bonus + 4.  You apply this bonus in response to a single melee or ranged attack that targets your ally.  You can initiate this maneuver after an opponent makes his attack roll, but you must do so before you know whether the attack was a success or a failure.
Bo9S 60</t>
        </r>
      </text>
    </comment>
    <comment ref="C18" authorId="0" shapeId="0" xr:uid="{B446A2E0-425C-46A4-8E0F-55FE179ED45F}">
      <text>
        <r>
          <rPr>
            <sz val="12"/>
            <color indexed="81"/>
            <rFont val="Times New Roman"/>
            <family val="1"/>
          </rPr>
          <t xml:space="preserve">White Raven (Strike)
</t>
        </r>
        <r>
          <rPr>
            <b/>
            <sz val="12"/>
            <color indexed="81"/>
            <rFont val="Times New Roman"/>
            <family val="1"/>
          </rPr>
          <t xml:space="preserve">Level: </t>
        </r>
        <r>
          <rPr>
            <sz val="12"/>
            <color indexed="81"/>
            <rFont val="Times New Roman"/>
            <family val="1"/>
          </rPr>
          <t xml:space="preserve">Crusader 2, warblade 2
</t>
        </r>
        <r>
          <rPr>
            <b/>
            <sz val="12"/>
            <color indexed="81"/>
            <rFont val="Times New Roman"/>
            <family val="1"/>
          </rPr>
          <t xml:space="preserve">Prerequisite: </t>
        </r>
        <r>
          <rPr>
            <sz val="12"/>
            <color indexed="81"/>
            <rFont val="Times New Roman"/>
            <family val="1"/>
          </rPr>
          <t xml:space="preserve">One White Raven maneuver
</t>
        </r>
        <r>
          <rPr>
            <b/>
            <sz val="12"/>
            <color indexed="81"/>
            <rFont val="Times New Roman"/>
            <family val="1"/>
          </rPr>
          <t xml:space="preserve">Initiation Action: </t>
        </r>
        <r>
          <rPr>
            <sz val="12"/>
            <color indexed="81"/>
            <rFont val="Times New Roman"/>
            <family val="1"/>
          </rPr>
          <t xml:space="preserve">1 full-round action
</t>
        </r>
        <r>
          <rPr>
            <b/>
            <sz val="12"/>
            <color indexed="81"/>
            <rFont val="Times New Roman"/>
            <family val="1"/>
          </rPr>
          <t xml:space="preserve">Range: </t>
        </r>
        <r>
          <rPr>
            <sz val="12"/>
            <color indexed="81"/>
            <rFont val="Times New Roman"/>
            <family val="1"/>
          </rPr>
          <t xml:space="preserve">Melee attack
</t>
        </r>
        <r>
          <rPr>
            <b/>
            <sz val="12"/>
            <color indexed="81"/>
            <rFont val="Times New Roman"/>
            <family val="1"/>
          </rPr>
          <t xml:space="preserve">Target: </t>
        </r>
        <r>
          <rPr>
            <sz val="12"/>
            <color indexed="81"/>
            <rFont val="Times New Roman"/>
            <family val="1"/>
          </rPr>
          <t>One creature
You lead from the front, charging your enemies so that your allies can follow in your wake.  The White Raven discipline teaches that he who seizes the initiative also seizes victory.  You have learned to lead an attack with a mighty charge, the better to disrupt the enemy and inspire your allies in battle.
As part of this maneuver, you charge an opponent.  You do not provoke attacks of opportunity for moving as part of this charge.  If your charge attack hits, it deals an extra 10 points of damage.
Bo9S 90</t>
        </r>
      </text>
    </comment>
    <comment ref="A20" authorId="0" shapeId="0" xr:uid="{C9325DF5-BD38-41FB-B034-9853E3713CA4}">
      <text>
        <r>
          <rPr>
            <sz val="12"/>
            <color indexed="81"/>
            <rFont val="Times New Roman"/>
            <family val="1"/>
          </rPr>
          <t>You can enter a state of almost mystical awareness of the battlefield around you.  As long as you are not flat-footed, you gain an insight bonus equal to your Intelligence bonus (maximum equals your warblade level) on your Reflex saves.
Bo9S 22</t>
        </r>
      </text>
    </comment>
    <comment ref="A21" authorId="0" shapeId="0" xr:uid="{080E4297-046D-467C-844F-BF2A8F2F04B3}">
      <text>
        <r>
          <rPr>
            <sz val="12"/>
            <color indexed="81"/>
            <rFont val="Times New Roman"/>
            <family val="1"/>
          </rPr>
          <t>Your training with a wide range of weaponry and tactics gives you great skill with particular weapons.  You qualify for feats that usually require a minimum number of fi ghter levels (such as Weapon Specialization) as if you had a fighter level equal to your warblade level –2. For example, as a 6th-level warblade, you could take Weapon Specialization, since you’re treated as being a 4th-level fighter for this purpose. These effective fi ghter levels stack with any actual fighter levels you have. Thus, a fighter 2/warblade 4 would also qualify for Weapon Specialization.
You also have the flexibility to adjust your weapon training.
Each morning, you can spend 1 hour in weapon practice to change the designated weapon for any feat you have that applies only to a single weapon (such as Weapon Focus).  You must have the newly designated weapon available during your practice session to make this change.  For example, if you wish to change the designated weapon for your Weapon Focus feat from greatsword to longsword, you must have a longsword available to practice with during your practice session.
You can adjust any number of your feats in this way, and you don’t have to adjust them all in the same way. However, you can’t change the weapon choices in such a way that you no longer meet the prerequisite for some other feat you possess.  For instance,
if you have both Weapon Focus (longsword) and Weapon Specialization (longsword), you can’t change the designated weapon for Weapon Focus unless you also change the weapon for Weapon Specialization in the same way.
Bo9S 22</t>
        </r>
      </text>
    </comment>
    <comment ref="A22" authorId="0" shapeId="0" xr:uid="{AAF85328-C806-44D0-A594-D0F5C3A0EB97}">
      <text>
        <r>
          <rPr>
            <sz val="12"/>
            <color indexed="81"/>
            <rFont val="Times New Roman"/>
            <family val="1"/>
          </rPr>
          <t>At 2nd level, you gain the ability to react to danger before your senses would normally allow you to do so. You retain your Dexterity bonus to AC (if any) even if you are caught fl at-footed or struck by an invisible attacker. However, you still lose your Dexterity bonus to AC if you are immobilized.
If you already have uncanny dodge from a different class (barbarian or rogue, for example), you automatically gain improved uncanny dodge (see below) instead.
Bo9S 22</t>
        </r>
      </text>
    </comment>
    <comment ref="A23" authorId="0" shapeId="0" xr:uid="{7C45C20F-B73C-4FCA-9664-F22C40EFFCF2}">
      <text>
        <r>
          <rPr>
            <sz val="12"/>
            <color indexed="81"/>
            <rFont val="Times New Roman"/>
            <family val="1"/>
          </rPr>
          <t>Diamond Mind maneuvers allow a warrior to use her cunning, intellect, and feel for the battlefi eld against her enemies. Time seems to flow slower to a Diamond Mind initiate. The bastard sword (or katana), rapier, shortspear, and trident are this discipline’s favored weapons.  Concentration is the Diamond Mind discipline’s key skill.</t>
        </r>
      </text>
    </comment>
    <comment ref="A24" authorId="0" shapeId="0" xr:uid="{DD90305C-679C-4E29-A715-7454AF81EEA9}">
      <text>
        <r>
          <rPr>
            <sz val="12"/>
            <color indexed="81"/>
            <rFont val="Times New Roman"/>
            <family val="1"/>
          </rPr>
          <t xml:space="preserve">White Raven (Stance)
</t>
        </r>
        <r>
          <rPr>
            <b/>
            <sz val="12"/>
            <color indexed="81"/>
            <rFont val="Times New Roman"/>
            <family val="1"/>
          </rPr>
          <t xml:space="preserve">Level:  </t>
        </r>
        <r>
          <rPr>
            <sz val="12"/>
            <color indexed="81"/>
            <rFont val="Times New Roman"/>
            <family val="1"/>
          </rPr>
          <t xml:space="preserve">Crusader 1, warblade 1
</t>
        </r>
        <r>
          <rPr>
            <b/>
            <sz val="12"/>
            <color indexed="81"/>
            <rFont val="Times New Roman"/>
            <family val="1"/>
          </rPr>
          <t xml:space="preserve">Initiation Action:  </t>
        </r>
        <r>
          <rPr>
            <sz val="12"/>
            <color indexed="81"/>
            <rFont val="Times New Roman"/>
            <family val="1"/>
          </rPr>
          <t xml:space="preserve">1 swift action
</t>
        </r>
        <r>
          <rPr>
            <b/>
            <sz val="12"/>
            <color indexed="81"/>
            <rFont val="Times New Roman"/>
            <family val="1"/>
          </rPr>
          <t xml:space="preserve">Range:  </t>
        </r>
        <r>
          <rPr>
            <sz val="12"/>
            <color indexed="81"/>
            <rFont val="Times New Roman"/>
            <family val="1"/>
          </rPr>
          <t xml:space="preserve">60’
</t>
        </r>
        <r>
          <rPr>
            <b/>
            <sz val="12"/>
            <color indexed="81"/>
            <rFont val="Times New Roman"/>
            <family val="1"/>
          </rPr>
          <t xml:space="preserve">Area:  </t>
        </r>
        <r>
          <rPr>
            <sz val="12"/>
            <color indexed="81"/>
            <rFont val="Times New Roman"/>
            <family val="1"/>
          </rPr>
          <t xml:space="preserve">60’ radius emanation centered on you
</t>
        </r>
        <r>
          <rPr>
            <b/>
            <sz val="12"/>
            <color indexed="81"/>
            <rFont val="Times New Roman"/>
            <family val="1"/>
          </rPr>
          <t xml:space="preserve">Duration:  </t>
        </r>
        <r>
          <rPr>
            <sz val="12"/>
            <color indexed="81"/>
            <rFont val="Times New Roman"/>
            <family val="1"/>
          </rPr>
          <t>Stance
You fire the confidence and martial spirit of your allies, giving them the energy and bravery needed to make a devastating charge against your enemies.
The White Raven discipline teaches that tactics, leadership, and planning can overcome an opponent’s superior individual abilities. This stance embodies that teaching, allowing you to spur your allies on to greater feats of martial skill.
While you are in this stance, all allies who hear you and make a charge attack in the area gain a bonus on damage rolls equal to your initiator level.
Bo9S 92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8" authorId="0" shapeId="0" xr:uid="{00000000-0006-0000-0400-000001000000}">
      <text>
        <r>
          <rPr>
            <b/>
            <sz val="12"/>
            <color indexed="81"/>
            <rFont val="Times New Roman"/>
            <family val="1"/>
          </rPr>
          <t xml:space="preserve">Price (Item Level):  </t>
        </r>
        <r>
          <rPr>
            <sz val="12"/>
            <color indexed="81"/>
            <rFont val="Times New Roman"/>
            <family val="1"/>
          </rPr>
          <t xml:space="preserve">6,000 gp
</t>
        </r>
        <r>
          <rPr>
            <b/>
            <sz val="12"/>
            <color indexed="81"/>
            <rFont val="Times New Roman"/>
            <family val="1"/>
          </rPr>
          <t xml:space="preserve">Body Slot:  </t>
        </r>
        <r>
          <rPr>
            <sz val="12"/>
            <color indexed="81"/>
            <rFont val="Times New Roman"/>
            <family val="1"/>
          </rPr>
          <t xml:space="preserve">— (weapon)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Moderate; (DC 17 ) Transmutation
A crystal of arcane steel is designed for those who can blend magical and martial arts into a single strike.  It functions only when attached to a melee weapon.
</t>
        </r>
        <r>
          <rPr>
            <b/>
            <sz val="12"/>
            <color indexed="81"/>
            <rFont val="Times New Roman"/>
            <family val="1"/>
          </rPr>
          <t xml:space="preserve">Least:  </t>
        </r>
        <r>
          <rPr>
            <sz val="12"/>
            <color indexed="81"/>
            <rFont val="Times New Roman"/>
            <family val="1"/>
          </rPr>
          <t xml:space="preserve">This crystal grants a +1 insight bonus on your weapon damage roll when delivering a spell or spell-like ability through a melee attack with the weapon.
</t>
        </r>
        <r>
          <rPr>
            <b/>
            <sz val="12"/>
            <color indexed="81"/>
            <rFont val="Times New Roman"/>
            <family val="1"/>
          </rPr>
          <t xml:space="preserve">Lesser:  </t>
        </r>
        <r>
          <rPr>
            <sz val="12"/>
            <color indexed="81"/>
            <rFont val="Times New Roman"/>
            <family val="1"/>
          </rPr>
          <t xml:space="preserve">As the least crystal, and it also grants you a +1 insight bonus on the attack roll.
</t>
        </r>
        <r>
          <rPr>
            <b/>
            <sz val="12"/>
            <color indexed="81"/>
            <rFont val="Times New Roman"/>
            <family val="1"/>
          </rPr>
          <t xml:space="preserve">Greater:  </t>
        </r>
        <r>
          <rPr>
            <sz val="12"/>
            <color indexed="81"/>
            <rFont val="Times New Roman"/>
            <family val="1"/>
          </rPr>
          <t>As the lesser crystal, and it also increases the save DC of the spell or spell-like ability by 1.
MIC 64</t>
        </r>
      </text>
    </comment>
    <comment ref="D22" authorId="0" shapeId="0" xr:uid="{00000000-0006-0000-0400-000002000000}">
      <text>
        <r>
          <rPr>
            <sz val="12"/>
            <rFont val="Times New Roman"/>
            <family val="1"/>
          </rPr>
          <t xml:space="preserve">Your spells are especially potent, breaking through spell resistance more readily than normal.
</t>
        </r>
        <r>
          <rPr>
            <b/>
            <sz val="12"/>
            <color indexed="81"/>
            <rFont val="Times New Roman"/>
            <family val="1"/>
          </rPr>
          <t xml:space="preserve">Benefit:  </t>
        </r>
        <r>
          <rPr>
            <sz val="12"/>
            <rFont val="Times New Roman"/>
            <family val="1"/>
          </rPr>
          <t>You get a +2 bonus on caster level checks (1d20 + caster level) made to overcome a creature’s spell resistance.
PHB 97</t>
        </r>
      </text>
    </comment>
    <comment ref="D23" authorId="0" shapeId="0" xr:uid="{00000000-0006-0000-0400-000003000000}">
      <text>
        <r>
          <rPr>
            <sz val="12"/>
            <color indexed="81"/>
            <rFont val="Times New Roman"/>
            <family val="1"/>
          </rPr>
          <t>Starting at 6th level, you can more easily overcome the spell resistance of any opponent you successfully injure
with a melee attack.
If you have injured an opponent with a melee attack, you gain a +2 bonus on your caster level check to overcome spell resistance for the remainder of the encounter.  This
bonus increases to +3 at 11th level, to +4 at 16th level, and to +5 at 18th level.
PHB II 20</t>
        </r>
      </text>
    </comment>
    <comment ref="D26" authorId="0" shapeId="0" xr:uid="{00000000-0006-0000-0400-000004000000}">
      <text>
        <r>
          <rPr>
            <sz val="12"/>
            <color indexed="81"/>
            <rFont val="Times New Roman"/>
            <family val="1"/>
          </rPr>
          <t>Balance, Climb, Escape Artist, Hide, Jump, Move Silently, Sleight of Hand, Tumble.</t>
        </r>
      </text>
    </comment>
    <comment ref="K27" authorId="0" shapeId="0" xr:uid="{00000000-0006-0000-0400-00000500000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77 - 78</t>
        </r>
      </text>
    </comment>
    <comment ref="A30" authorId="0" shapeId="0" xr:uid="{00000000-0006-0000-0400-000006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silver clasp is decorated with sparkling crystals shaped like stars.
A restful crystal is a great boon to any warrior who must stay always at the ready.
Sleeping in armor that has this augment crystal attached does not make you fatigued.
MIC 26</t>
        </r>
      </text>
    </comment>
    <comment ref="A31" authorId="0" shapeId="0" xr:uid="{00000000-0006-0000-0400-000007000000}">
      <text>
        <r>
          <rPr>
            <b/>
            <sz val="12"/>
            <color indexed="81"/>
            <rFont val="Times New Roman"/>
            <family val="1"/>
          </rPr>
          <t xml:space="preserve">Price (Item Level):  </t>
        </r>
        <r>
          <rPr>
            <sz val="12"/>
            <color indexed="81"/>
            <rFont val="Times New Roman"/>
            <family val="1"/>
          </rPr>
          <t xml:space="preserve">1,400 gp (5th)
</t>
        </r>
        <r>
          <rPr>
            <b/>
            <sz val="12"/>
            <color indexed="81"/>
            <rFont val="Times New Roman"/>
            <family val="1"/>
          </rPr>
          <t xml:space="preserve">Body Slot:  </t>
        </r>
        <r>
          <rPr>
            <sz val="12"/>
            <color indexed="81"/>
            <rFont val="Times New Roman"/>
            <family val="1"/>
          </rPr>
          <t xml:space="preserve">Arms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1 lb.
Each of these mithral bracers bears an image of a needle-sharp dagger.
When you activate bracers of quick strike, you can make one extra attack with any weapon you are holding if you already made a full attack on this turn.  This attack is made at your full base attack bonus, plus any modifiers appropriate to the situation.
This effect is not cumulative with any other effect that grants you an extra attack when making a full attack, such as the Rapid Shot feat, a speed weapon, or the haste spell.
Bracers of quick strike function once per day.
MIC 81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5" authorId="0" shapeId="0" xr:uid="{00000000-0006-0000-0500-000001000000}">
      <text>
        <r>
          <rPr>
            <sz val="12"/>
            <color indexed="81"/>
            <rFont val="Times New Roman"/>
            <family val="1"/>
          </rPr>
          <t xml:space="preserve">+2 competence bonus on Heal skill checks, 3 charges touch or self
</t>
        </r>
        <r>
          <rPr>
            <b/>
            <sz val="12"/>
            <color indexed="81"/>
            <rFont val="Times New Roman"/>
            <family val="1"/>
          </rPr>
          <t xml:space="preserve">1 charge:   </t>
        </r>
        <r>
          <rPr>
            <sz val="12"/>
            <color indexed="81"/>
            <rFont val="Times New Roman"/>
            <family val="1"/>
          </rPr>
          <t xml:space="preserve">heal 2d8 (positive energy)
</t>
        </r>
        <r>
          <rPr>
            <b/>
            <sz val="12"/>
            <color indexed="81"/>
            <rFont val="Times New Roman"/>
            <family val="1"/>
          </rPr>
          <t xml:space="preserve">2 charges:  </t>
        </r>
        <r>
          <rPr>
            <sz val="12"/>
            <color indexed="81"/>
            <rFont val="Times New Roman"/>
            <family val="1"/>
          </rPr>
          <t xml:space="preserve">heal 3d8
</t>
        </r>
        <r>
          <rPr>
            <b/>
            <sz val="12"/>
            <color indexed="81"/>
            <rFont val="Times New Roman"/>
            <family val="1"/>
          </rPr>
          <t xml:space="preserve">3 charges:  </t>
        </r>
        <r>
          <rPr>
            <sz val="12"/>
            <color indexed="81"/>
            <rFont val="Times New Roman"/>
            <family val="1"/>
          </rPr>
          <t>heal 4d8
Magic Item Compendium 110</t>
        </r>
      </text>
    </comment>
    <comment ref="A6" authorId="0" shapeId="0" xr:uid="{9647C57D-8929-435E-A4A3-03D46EE78F34}">
      <text>
        <r>
          <rPr>
            <b/>
            <sz val="12"/>
            <color indexed="81"/>
            <rFont val="Times New Roman"/>
            <family val="1"/>
          </rPr>
          <t xml:space="preserve">Price (Item Level): </t>
        </r>
        <r>
          <rPr>
            <sz val="12"/>
            <color indexed="81"/>
            <rFont val="Times New Roman"/>
            <family val="1"/>
          </rPr>
          <t xml:space="preserve">2,100 gp (6th)
</t>
        </r>
        <r>
          <rPr>
            <b/>
            <sz val="12"/>
            <color indexed="81"/>
            <rFont val="Times New Roman"/>
            <family val="1"/>
          </rPr>
          <t xml:space="preserve">Body Slot: </t>
        </r>
        <r>
          <rPr>
            <sz val="12"/>
            <color indexed="81"/>
            <rFont val="Times New Roman"/>
            <family val="1"/>
          </rPr>
          <t xml:space="preserve">Face
</t>
        </r>
        <r>
          <rPr>
            <b/>
            <sz val="12"/>
            <color indexed="81"/>
            <rFont val="Times New Roman"/>
            <family val="1"/>
          </rPr>
          <t xml:space="preserve">Caster Level: </t>
        </r>
        <r>
          <rPr>
            <sz val="12"/>
            <color indexed="81"/>
            <rFont val="Times New Roman"/>
            <family val="1"/>
          </rPr>
          <t xml:space="preserve">13th
</t>
        </r>
        <r>
          <rPr>
            <b/>
            <sz val="12"/>
            <color indexed="81"/>
            <rFont val="Times New Roman"/>
            <family val="1"/>
          </rPr>
          <t xml:space="preserve">Aura: </t>
        </r>
        <r>
          <rPr>
            <sz val="12"/>
            <color indexed="81"/>
            <rFont val="Times New Roman"/>
            <family val="1"/>
          </rPr>
          <t xml:space="preserve">Strong; (DC 21)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A pulsing green glow shines from this crystal.
A third eye surge has 3 charges, which are renewed each day at dawn. Spending 1 or more charges grants you an insight bonus on Strength checks, Dexterity checks, Strength- and Dexterity-based skill checks, and weapon damage rolls for 1 round.
</t>
        </r>
        <r>
          <rPr>
            <b/>
            <sz val="12"/>
            <color indexed="81"/>
            <rFont val="Times New Roman"/>
            <family val="1"/>
          </rPr>
          <t xml:space="preserve">1 charge: </t>
        </r>
        <r>
          <rPr>
            <sz val="12"/>
            <color indexed="81"/>
            <rFont val="Times New Roman"/>
            <family val="1"/>
          </rPr>
          <t xml:space="preserve">+2 insight bonus.
</t>
        </r>
        <r>
          <rPr>
            <b/>
            <sz val="12"/>
            <color indexed="81"/>
            <rFont val="Times New Roman"/>
            <family val="1"/>
          </rPr>
          <t xml:space="preserve">2 charges: </t>
        </r>
        <r>
          <rPr>
            <sz val="12"/>
            <color indexed="81"/>
            <rFont val="Times New Roman"/>
            <family val="1"/>
          </rPr>
          <t xml:space="preserve">+3 insight bonus.
</t>
        </r>
        <r>
          <rPr>
            <b/>
            <sz val="12"/>
            <color indexed="81"/>
            <rFont val="Times New Roman"/>
            <family val="1"/>
          </rPr>
          <t xml:space="preserve">3 charges: </t>
        </r>
        <r>
          <rPr>
            <sz val="12"/>
            <color indexed="81"/>
            <rFont val="Times New Roman"/>
            <family val="1"/>
          </rPr>
          <t xml:space="preserve">+4 insight bonus.
</t>
        </r>
        <r>
          <rPr>
            <b/>
            <sz val="12"/>
            <color indexed="81"/>
            <rFont val="Times New Roman"/>
            <family val="1"/>
          </rPr>
          <t xml:space="preserve">Prerequisites: </t>
        </r>
        <r>
          <rPr>
            <sz val="12"/>
            <color indexed="81"/>
            <rFont val="Times New Roman"/>
            <family val="1"/>
          </rPr>
          <t>Craft Wondrous
MIC 143</t>
        </r>
      </text>
    </comment>
    <comment ref="A7" authorId="0" shapeId="0" xr:uid="{CA3BDC62-0956-48CF-ABFE-2D58CB93FBB6}">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divination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
This tattered strip of cloth is strangely resilient, and when you hold it, elven runes appear along its length.
A scout’s headband grants you a +2 competence bonus on Spot checks.  This is a continuous effect and requires no activation.
In addition, this circlet has 3 charges, which are renewed each day at dawn.  Spending 1 or more charges enhances your visual acuity as described below.
</t>
        </r>
        <r>
          <rPr>
            <b/>
            <sz val="12"/>
            <color indexed="81"/>
            <rFont val="Times New Roman"/>
            <family val="1"/>
          </rPr>
          <t xml:space="preserve">1 charge: </t>
        </r>
        <r>
          <rPr>
            <sz val="12"/>
            <color indexed="81"/>
            <rFont val="Times New Roman"/>
            <family val="1"/>
          </rPr>
          <t xml:space="preserve">You gain Darkvision out to 60 feet for 1 hour.
</t>
        </r>
        <r>
          <rPr>
            <b/>
            <sz val="12"/>
            <color indexed="81"/>
            <rFont val="Times New Roman"/>
            <family val="1"/>
          </rPr>
          <t xml:space="preserve">2 charges: </t>
        </r>
        <r>
          <rPr>
            <sz val="12"/>
            <color indexed="81"/>
            <rFont val="Times New Roman"/>
            <family val="1"/>
          </rPr>
          <t xml:space="preserve">You can </t>
        </r>
        <r>
          <rPr>
            <i/>
            <sz val="12"/>
            <color indexed="81"/>
            <rFont val="Times New Roman"/>
            <family val="1"/>
          </rPr>
          <t xml:space="preserve">see invisible </t>
        </r>
        <r>
          <rPr>
            <sz val="12"/>
            <color indexed="81"/>
            <rFont val="Times New Roman"/>
            <family val="1"/>
          </rPr>
          <t xml:space="preserve">creatures and objects (as see invisibility) for 10 minutes.
</t>
        </r>
        <r>
          <rPr>
            <b/>
            <sz val="12"/>
            <color indexed="81"/>
            <rFont val="Times New Roman"/>
            <family val="1"/>
          </rPr>
          <t xml:space="preserve">3 charges: </t>
        </r>
        <r>
          <rPr>
            <sz val="12"/>
            <color indexed="81"/>
            <rFont val="Times New Roman"/>
            <family val="1"/>
          </rPr>
          <t xml:space="preserve">You gain </t>
        </r>
        <r>
          <rPr>
            <i/>
            <sz val="12"/>
            <color indexed="81"/>
            <rFont val="Times New Roman"/>
            <family val="1"/>
          </rPr>
          <t xml:space="preserve">true seeing </t>
        </r>
        <r>
          <rPr>
            <sz val="12"/>
            <color indexed="81"/>
            <rFont val="Times New Roman"/>
            <family val="1"/>
          </rPr>
          <t xml:space="preserve">(as the spell) for 1 minute.
</t>
        </r>
        <r>
          <rPr>
            <b/>
            <sz val="12"/>
            <color indexed="81"/>
            <rFont val="Times New Roman"/>
            <family val="1"/>
          </rPr>
          <t xml:space="preserve">Lore: </t>
        </r>
        <r>
          <rPr>
            <sz val="12"/>
            <color indexed="81"/>
            <rFont val="Times New Roman"/>
            <family val="1"/>
          </rPr>
          <t>The runes appearing on the headband are taken from the Saga of Filix, a great elf scout from long ago (Knowledge [history] DC 10).
Filix bargained with Corellon for unparalleled powers of vision, but the gift came with a curse: The scout could see the deaths of all his friends as well (Knowledge [history] DC 15).  Driven nearly mad by the ghostly perceptions haunting him, Filix eventually fl ed society entirely, living out the rest of his long days alone in the wilderness (Knowledge [history] DC 20).
MIC 132</t>
        </r>
      </text>
    </comment>
    <comment ref="A8" authorId="0" shapeId="0" xr:uid="{00000000-0006-0000-0500-000002000000}">
      <text>
        <r>
          <rPr>
            <b/>
            <sz val="12"/>
            <color indexed="81"/>
            <rFont val="Times New Roman"/>
            <family val="1"/>
          </rPr>
          <t xml:space="preserve">Price (Item Level):  </t>
        </r>
        <r>
          <rPr>
            <sz val="12"/>
            <color indexed="81"/>
            <rFont val="Times New Roman"/>
            <family val="1"/>
          </rPr>
          <t xml:space="preserve">3,200 gp (8th)
</t>
        </r>
        <r>
          <rPr>
            <b/>
            <sz val="12"/>
            <color indexed="81"/>
            <rFont val="Times New Roman"/>
            <family val="1"/>
          </rPr>
          <t xml:space="preserve">Body Slot:  </t>
        </r>
        <r>
          <rPr>
            <sz val="12"/>
            <color indexed="81"/>
            <rFont val="Times New Roman"/>
            <family val="1"/>
          </rPr>
          <t xml:space="preserve">Hands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The fingers of these gray and scarlet gauntlets end in sharp talons, and a faint odor of brimstone rises from them.
When you activate hellcat gauntlets, the next spell you cast during your turn that targets a single creature also deals 1d6 points of slashing damage per level of the spell, unless the spell has no effect on the target (due to spell resistance or a save negating the spell, for example), in which case the extra damage is negated. This ability functions three times per day, but it can’t be activated in consecutive rounds.
MIC 111</t>
        </r>
      </text>
    </comment>
    <comment ref="A9" authorId="0" shapeId="0" xr:uid="{00000000-0006-0000-0500-000003000000}">
      <text>
        <r>
          <rPr>
            <b/>
            <sz val="12"/>
            <color indexed="81"/>
            <rFont val="Times New Roman"/>
            <family val="1"/>
          </rPr>
          <t xml:space="preserve">Price (Item Level):  </t>
        </r>
        <r>
          <rPr>
            <sz val="12"/>
            <color indexed="81"/>
            <rFont val="Times New Roman"/>
            <family val="1"/>
          </rPr>
          <t xml:space="preserve">600 gp (3rd)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evocation
</t>
        </r>
        <r>
          <rPr>
            <b/>
            <sz val="12"/>
            <color indexed="81"/>
            <rFont val="Times New Roman"/>
            <family val="1"/>
          </rPr>
          <t xml:space="preserve">Activation:  </t>
        </r>
        <r>
          <rPr>
            <sz val="12"/>
            <color indexed="81"/>
            <rFont val="Times New Roman"/>
            <family val="1"/>
          </rPr>
          <t xml:space="preserve">Standard (manipulation)
</t>
        </r>
        <r>
          <rPr>
            <b/>
            <sz val="12"/>
            <color indexed="81"/>
            <rFont val="Times New Roman"/>
            <family val="1"/>
          </rPr>
          <t xml:space="preserve">Weight:  </t>
        </r>
        <r>
          <rPr>
            <sz val="12"/>
            <color indexed="81"/>
            <rFont val="Times New Roman"/>
            <family val="1"/>
          </rPr>
          <t>1 lb.
The thick metal soles of these dirt-brown boots are slightly wider than the vamp.  Brassy metal bands run from the sides of the soles to the tops.
When you stomp your feet and activate boots of stomping, you generate a 15’ long cone-shaped burst of psychokinetic force that travels along the ground, toppling creatures and loose objects.  The shock wave affects only creatures standing on the ground within the area.  Creatures that fail a DC 13 Reflex save are thrown to the ground, prone, and take 1d4 points of nonlethal damage.
MIC 78</t>
        </r>
      </text>
    </comment>
    <comment ref="A10" authorId="0" shapeId="0" xr:uid="{C83823BE-4B71-4B90-9FC1-628D8D9BFCC5}">
      <text>
        <r>
          <rPr>
            <b/>
            <sz val="12"/>
            <color indexed="81"/>
            <rFont val="Times New Roman"/>
            <family val="1"/>
          </rPr>
          <t xml:space="preserve">Price (Item Level): </t>
        </r>
        <r>
          <rPr>
            <sz val="12"/>
            <color indexed="81"/>
            <rFont val="Times New Roman"/>
            <family val="1"/>
          </rPr>
          <t xml:space="preserve">60,000 gp (18th) (minor); 120,000 gp (21st) (major); 180,000 gp (24th) (greater)
</t>
        </r>
        <r>
          <rPr>
            <b/>
            <sz val="12"/>
            <color indexed="81"/>
            <rFont val="Times New Roman"/>
            <family val="1"/>
          </rPr>
          <t xml:space="preserve">Body Slot: </t>
        </r>
        <r>
          <rPr>
            <sz val="12"/>
            <color indexed="81"/>
            <rFont val="Times New Roman"/>
            <family val="1"/>
          </rPr>
          <t xml:space="preserve">Ring
</t>
        </r>
        <r>
          <rPr>
            <b/>
            <sz val="12"/>
            <color indexed="81"/>
            <rFont val="Times New Roman"/>
            <family val="1"/>
          </rPr>
          <t xml:space="preserve">Caster Level: </t>
        </r>
        <r>
          <rPr>
            <sz val="12"/>
            <color indexed="81"/>
            <rFont val="Times New Roman"/>
            <family val="1"/>
          </rPr>
          <t xml:space="preserve">15th
</t>
        </r>
        <r>
          <rPr>
            <b/>
            <sz val="12"/>
            <color indexed="81"/>
            <rFont val="Times New Roman"/>
            <family val="1"/>
          </rPr>
          <t xml:space="preserve">Aura: </t>
        </r>
        <r>
          <rPr>
            <sz val="12"/>
            <color indexed="81"/>
            <rFont val="Times New Roman"/>
            <family val="1"/>
          </rPr>
          <t xml:space="preserve">Strong; (DC 22) abjuration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gold ring is imprinted with symbols representing the five energy types.
A ring of universal energy resistance functions as a ring of energy resistance (DMG 232) for all types of energy: fire, cold, electricity, acid, and sonic. A minor ring provides resistance 10, a major ring resistance 20, and a greater ring resistance 30.
MIC 128</t>
        </r>
      </text>
    </comment>
    <comment ref="A13" authorId="0" shapeId="0" xr:uid="{00000000-0006-0000-0500-000004000000}">
      <text>
        <r>
          <rPr>
            <sz val="12"/>
            <color indexed="81"/>
            <rFont val="Times New Roman"/>
            <family val="1"/>
          </rPr>
          <t>This item appears to be a normal cloak, but when worn by a character its magical properties distort and warp light waves. This displacement works similar to the displacement spell except that it only grants a 20% miss chance on attacks against the wearer. It functions continually.
DMG 253</t>
        </r>
      </text>
    </comment>
    <comment ref="A22" authorId="0" shapeId="0" xr:uid="{00000000-0006-0000-0500-0000050000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<sst xmlns="http://schemas.openxmlformats.org/spreadsheetml/2006/main" count="738" uniqueCount="344">
  <si>
    <t>Properties</t>
  </si>
  <si>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</si>
  <si>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</si>
  <si>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</si>
  <si>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</si>
  <si>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</si>
  <si>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</si>
  <si>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</si>
  <si>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</si>
  <si>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</si>
  <si>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</si>
  <si>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</si>
  <si>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</si>
  <si>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</si>
  <si>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</si>
  <si>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</si>
  <si>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</si>
  <si>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</si>
  <si>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</si>
  <si>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</si>
  <si>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</si>
  <si>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</si>
  <si>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</si>
  <si>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</si>
  <si>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</si>
  <si>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</si>
  <si>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</si>
  <si>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</si>
  <si>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</si>
  <si>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</si>
  <si>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</si>
  <si>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</si>
  <si>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</si>
  <si>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</si>
  <si>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</si>
  <si>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</si>
  <si>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</si>
  <si>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</si>
  <si>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</si>
  <si>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</si>
  <si>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</si>
  <si>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</si>
  <si>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</si>
  <si>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</si>
  <si>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</si>
  <si>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</si>
  <si>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</si>
  <si>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</si>
  <si>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</si>
  <si>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</si>
  <si>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</si>
  <si>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</si>
  <si>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</si>
  <si>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</si>
  <si>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</si>
  <si>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</si>
  <si>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</si>
  <si>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</si>
  <si>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</si>
  <si>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</si>
  <si>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</si>
  <si>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</si>
  <si>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</si>
  <si>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Equipment Carried</t>
  </si>
  <si>
    <t>Check</t>
  </si>
  <si>
    <t>Arcane</t>
  </si>
  <si>
    <t>Speed</t>
  </si>
  <si>
    <t>Sleight of Hand</t>
  </si>
  <si>
    <t>Survival</t>
  </si>
  <si>
    <t>Atk</t>
  </si>
  <si>
    <t>Feats</t>
  </si>
  <si>
    <t>Simple &amp; Martial Weapons</t>
  </si>
  <si>
    <t>2</t>
  </si>
  <si>
    <t>1</t>
  </si>
  <si>
    <t>Slashing</t>
  </si>
  <si>
    <t>Backpack</t>
  </si>
  <si>
    <t>Roll</t>
  </si>
  <si>
    <t>Perform:  [type]</t>
  </si>
  <si>
    <t>Knowledge:  Arcana</t>
  </si>
  <si>
    <t>Explorer’s Outfit</t>
  </si>
  <si>
    <t>Belt Pouch</t>
  </si>
  <si>
    <t>eight</t>
  </si>
  <si>
    <t>30’</t>
  </si>
  <si>
    <t>Value</t>
  </si>
  <si>
    <t>Level</t>
  </si>
  <si>
    <t>-</t>
  </si>
  <si>
    <t>Duskblade</t>
  </si>
  <si>
    <t>Female</t>
  </si>
  <si>
    <t>Knowledge:  Dungeoneering</t>
  </si>
  <si>
    <t>Knowledge:  History</t>
  </si>
  <si>
    <t>Knowledge:  Local</t>
  </si>
  <si>
    <t>Knowledge:  Nature</t>
  </si>
  <si>
    <t>Knowledge:  The Planes</t>
  </si>
  <si>
    <t>Speak Language</t>
  </si>
  <si>
    <t>Duskblade 1</t>
  </si>
  <si>
    <t>Duskblade 2</t>
  </si>
  <si>
    <t>Duskblade 3</t>
  </si>
  <si>
    <t>Duskblade 4</t>
  </si>
  <si>
    <t>Common, Elven, Undercommon</t>
  </si>
  <si>
    <t>Racial Abilities</t>
  </si>
  <si>
    <t>Arcane Attunement, 6/day</t>
  </si>
  <si>
    <t>Proficiencies</t>
  </si>
  <si>
    <t>Shields (not tower)</t>
  </si>
  <si>
    <t>Armor (all)</t>
  </si>
  <si>
    <t>DC</t>
  </si>
  <si>
    <t>Cast?</t>
  </si>
  <si>
    <t>Instant</t>
  </si>
  <si>
    <t>1 SA</t>
  </si>
  <si>
    <t>V S</t>
  </si>
  <si>
    <t>Evocation</t>
  </si>
  <si>
    <t>1 round</t>
  </si>
  <si>
    <t>Swift</t>
  </si>
  <si>
    <t>V S M</t>
  </si>
  <si>
    <t>1 rnd/lvl</t>
  </si>
  <si>
    <t>Touch</t>
  </si>
  <si>
    <t>Shocking Grasp</t>
  </si>
  <si>
    <t>25’ + 2½’/lvl</t>
  </si>
  <si>
    <t>Disrupt Undead</t>
  </si>
  <si>
    <t>Conjuration</t>
  </si>
  <si>
    <t>Duration</t>
  </si>
  <si>
    <t>Range</t>
  </si>
  <si>
    <t>Casting</t>
  </si>
  <si>
    <t>Components</t>
  </si>
  <si>
    <t>School</t>
  </si>
  <si>
    <t>Spell</t>
  </si>
  <si>
    <t>Spells</t>
  </si>
  <si>
    <t>PHB</t>
  </si>
  <si>
    <t>PHB II</t>
  </si>
  <si>
    <t>Reference</t>
  </si>
  <si>
    <t>Page</t>
  </si>
  <si>
    <t>Daze</t>
  </si>
  <si>
    <t>Enchantment</t>
  </si>
  <si>
    <t>Transmutation</t>
  </si>
  <si>
    <t>Dimension Hop</t>
  </si>
  <si>
    <t>V</t>
  </si>
  <si>
    <t>+2 vs. Enchantments</t>
  </si>
  <si>
    <t>Ranged Touch Attack</t>
  </si>
  <si>
    <t>varies</t>
  </si>
  <si>
    <t>+2 vs. Enchantments; +2 vs. all spells</t>
  </si>
  <si>
    <t>Necromancy</t>
  </si>
  <si>
    <t>Grapple</t>
  </si>
  <si>
    <t>Duskblade 5</t>
  </si>
  <si>
    <t>Duskblade 6</t>
  </si>
  <si>
    <t>Duskblade 7</t>
  </si>
  <si>
    <t>Duskblade 8</t>
  </si>
  <si>
    <t>Total Equity:</t>
  </si>
  <si>
    <t>1st</t>
  </si>
  <si>
    <t>2nd</t>
  </si>
  <si>
    <t>3rd</t>
  </si>
  <si>
    <t>4th</t>
  </si>
  <si>
    <t>5th</t>
  </si>
  <si>
    <t>Swift Expeditious Retreat</t>
  </si>
  <si>
    <t>Acid Splash</t>
  </si>
  <si>
    <t>Touch of Fatigue</t>
  </si>
  <si>
    <t>Personal</t>
  </si>
  <si>
    <t>Complete Adventurer</t>
  </si>
  <si>
    <t>Divination</t>
  </si>
  <si>
    <t>10 min/lvl</t>
  </si>
  <si>
    <t>6th:  Improved Initiative</t>
  </si>
  <si>
    <t>Played by JR Roberts</t>
  </si>
  <si>
    <t>Heward’s Handy Haversack</t>
  </si>
  <si>
    <t>Healing Belt</t>
  </si>
  <si>
    <t>Treated as light armor</t>
  </si>
  <si>
    <t>9th:  Maximize Spell</t>
  </si>
  <si>
    <t>2nd:  Combat Casting</t>
  </si>
  <si>
    <t>1st:  Knowledge Devotion</t>
  </si>
  <si>
    <t>Duskblade 9</t>
  </si>
  <si>
    <t>Know Direction</t>
  </si>
  <si>
    <t>Chill Touch</t>
  </si>
  <si>
    <t>Feather Fall</t>
  </si>
  <si>
    <t>Free</t>
  </si>
  <si>
    <t>Barkskin</t>
  </si>
  <si>
    <t>Resist Energy</t>
  </si>
  <si>
    <t>Abjuration</t>
  </si>
  <si>
    <t>V S DF</t>
  </si>
  <si>
    <t>Duskblade 10</t>
  </si>
  <si>
    <t>Unarmed Punch/Kick</t>
  </si>
  <si>
    <t>1d4</t>
  </si>
  <si>
    <t>x2</t>
  </si>
  <si>
    <t>Bludgeon</t>
  </si>
  <si>
    <t>+5</t>
  </si>
  <si>
    <t>Unarmed, 2nd Attack</t>
  </si>
  <si>
    <t>Unarmed, 3rd Attack</t>
  </si>
  <si>
    <r>
      <t xml:space="preserve">Unarmed, </t>
    </r>
    <r>
      <rPr>
        <i/>
        <sz val="12"/>
        <rFont val="Times New Roman"/>
        <family val="1"/>
      </rPr>
      <t>haste</t>
    </r>
  </si>
  <si>
    <t>Overcome Spell Resistance</t>
  </si>
  <si>
    <t>Duskblade 11</t>
  </si>
  <si>
    <t>Stash:  Shipshape Way</t>
  </si>
  <si>
    <t>Critical Strike</t>
  </si>
  <si>
    <t>1 hour</t>
  </si>
  <si>
    <t>Dragon Magic</t>
  </si>
  <si>
    <t>Fly, Swift</t>
  </si>
  <si>
    <t>0th</t>
  </si>
  <si>
    <t>Total Daily Spells</t>
  </si>
  <si>
    <t>Caster Class</t>
  </si>
  <si>
    <t>CL</t>
  </si>
  <si>
    <t>Spell Effects</t>
  </si>
  <si>
    <t>Intelligence Bonus</t>
  </si>
  <si>
    <t>Daily Duskblade Spells</t>
  </si>
  <si>
    <t>Overcome SR (Spell Power)</t>
  </si>
  <si>
    <t>Spell Penetration</t>
  </si>
  <si>
    <t>Scrolls and Potions</t>
  </si>
  <si>
    <t>CLev</t>
  </si>
  <si>
    <t>Duskblade Spells</t>
  </si>
  <si>
    <t>Dagger</t>
  </si>
  <si>
    <t>Dagger, 2nd Attack</t>
  </si>
  <si>
    <t>Dagger, 3rd Attack</t>
  </si>
  <si>
    <t>19-20, x2</t>
  </si>
  <si>
    <t>Prcg/Slash</t>
  </si>
  <si>
    <r>
      <t xml:space="preserve">Dagger, </t>
    </r>
    <r>
      <rPr>
        <i/>
        <sz val="12"/>
        <rFont val="Times New Roman"/>
        <family val="1"/>
      </rPr>
      <t>haste</t>
    </r>
  </si>
  <si>
    <t>Skill/Save</t>
  </si>
  <si>
    <t>Detect Magic &amp; Read Magic</t>
  </si>
  <si>
    <r>
      <t xml:space="preserve">+2 vs. Enchantments; +1 </t>
    </r>
    <r>
      <rPr>
        <i/>
        <sz val="13"/>
        <rFont val="Times New Roman"/>
        <family val="1"/>
      </rPr>
      <t>haste</t>
    </r>
  </si>
  <si>
    <t>Arcane Channeling (full attack)</t>
  </si>
  <si>
    <t>Race</t>
  </si>
  <si>
    <t>Class</t>
  </si>
  <si>
    <t>Region</t>
  </si>
  <si>
    <t>Deity</t>
  </si>
  <si>
    <t>Alignment</t>
  </si>
  <si>
    <t>Attack Bonus</t>
  </si>
  <si>
    <t>Initiative</t>
  </si>
  <si>
    <t>Strength</t>
  </si>
  <si>
    <t>Dexterity</t>
  </si>
  <si>
    <t>Constitution</t>
  </si>
  <si>
    <t>Intelligence</t>
  </si>
  <si>
    <t>Wisdom</t>
  </si>
  <si>
    <t>Charisma</t>
  </si>
  <si>
    <t>Sex</t>
  </si>
  <si>
    <t>Age</t>
  </si>
  <si>
    <t>Height</t>
  </si>
  <si>
    <t>Weight</t>
  </si>
  <si>
    <t>Base Speed</t>
  </si>
  <si>
    <t>Actual Speed</t>
  </si>
  <si>
    <t>Lb. Capacity</t>
  </si>
  <si>
    <t>Lb. Carried</t>
  </si>
  <si>
    <t>Hit Points</t>
  </si>
  <si>
    <t>Touch AC</t>
  </si>
  <si>
    <t>FF AC</t>
  </si>
  <si>
    <t>AC</t>
  </si>
  <si>
    <t>Elaith</t>
  </si>
  <si>
    <t>Half-elf</t>
  </si>
  <si>
    <r>
      <t>100</t>
    </r>
    <r>
      <rPr>
        <sz val="13"/>
        <rFont val="Times New Roman"/>
        <family val="1"/>
      </rPr>
      <t>/</t>
    </r>
    <r>
      <rPr>
        <sz val="13"/>
        <color indexed="51"/>
        <rFont val="Times New Roman"/>
        <family val="1"/>
      </rPr>
      <t>200</t>
    </r>
    <r>
      <rPr>
        <sz val="13"/>
        <rFont val="Times New Roman"/>
        <family val="1"/>
      </rPr>
      <t>/</t>
    </r>
    <r>
      <rPr>
        <sz val="13"/>
        <color indexed="10"/>
        <rFont val="Times New Roman"/>
        <family val="1"/>
      </rPr>
      <t>300</t>
    </r>
  </si>
  <si>
    <t>Profession</t>
  </si>
  <si>
    <t>3rd:  Combat Reflexes</t>
  </si>
  <si>
    <t>Soul of Anarchy</t>
  </si>
  <si>
    <t>+2 versus Enchantment</t>
  </si>
  <si>
    <t>Immunity to Sleep</t>
  </si>
  <si>
    <t>Low-light Vision</t>
  </si>
  <si>
    <t>2d6</t>
  </si>
  <si>
    <t>19-20/x2</t>
  </si>
  <si>
    <t>Restful Crystal</t>
  </si>
  <si>
    <t>Bracers of Quick Strike</t>
  </si>
  <si>
    <t>Everlund</t>
  </si>
  <si>
    <t>Red Knight</t>
  </si>
  <si>
    <t>5’ 7”</t>
  </si>
  <si>
    <t>135 lbs.</t>
  </si>
  <si>
    <t>Lawful Neutral</t>
  </si>
  <si>
    <t>Haste</t>
  </si>
  <si>
    <t>Dispel Magic</t>
  </si>
  <si>
    <t>100’ + 10’/lvl</t>
  </si>
  <si>
    <t>Fire Shield</t>
  </si>
  <si>
    <t>V S M/DF</t>
  </si>
  <si>
    <t>+1 to touch spells</t>
  </si>
  <si>
    <t>Bull’s Strength</t>
  </si>
  <si>
    <t>1 min/lvl</t>
  </si>
  <si>
    <t>Wracking Touch</t>
  </si>
  <si>
    <t>Keen Edge</t>
  </si>
  <si>
    <t>Vampiric Touch</t>
  </si>
  <si>
    <t>special</t>
  </si>
  <si>
    <t>Mithral Chain Shirt +3</t>
  </si>
  <si>
    <t>Ring of Protection +2</t>
  </si>
  <si>
    <t>Hellcat Gauntlets</t>
  </si>
  <si>
    <t>Greater Crystal of Arcane Steel</t>
  </si>
  <si>
    <t>+1</t>
  </si>
  <si>
    <t>+1 to spell DC</t>
  </si>
  <si>
    <t>Bracers of Armor +5</t>
  </si>
  <si>
    <t>Ring of Feather Falling</t>
  </si>
  <si>
    <t>Boots of Stomping</t>
  </si>
  <si>
    <t>Vest of Resistance +1</t>
  </si>
  <si>
    <t>Greater Truedeath Crystal</t>
  </si>
  <si>
    <t>1d6</t>
  </si>
  <si>
    <t>vs.</t>
  </si>
  <si>
    <t>undead</t>
  </si>
  <si>
    <t>Minor Cloak of Displacement</t>
  </si>
  <si>
    <t>Duskblade 12</t>
  </si>
  <si>
    <t>Spell Power +3</t>
  </si>
  <si>
    <t>Bedroll</t>
  </si>
  <si>
    <t>Personal Grooming Kit</t>
  </si>
  <si>
    <t>Night Clothes</t>
  </si>
  <si>
    <t>2-yd Bolt of Linen Cloth (for Rags or Towels)</t>
  </si>
  <si>
    <t>Large Canteen</t>
  </si>
  <si>
    <t>1 gallon</t>
  </si>
  <si>
    <t>50’ Rope</t>
  </si>
  <si>
    <t>Traveler’s Outfit</t>
  </si>
  <si>
    <t>Craft:  Blacksmith</t>
  </si>
  <si>
    <t>Trail Rations</t>
  </si>
  <si>
    <t>Iron Pitons</t>
  </si>
  <si>
    <t>Climber’s Kit</t>
  </si>
  <si>
    <t>Duskblade 13</t>
  </si>
  <si>
    <t>Duskblade 14</t>
  </si>
  <si>
    <t>Scout’s Headband</t>
  </si>
  <si>
    <t>Third Eye Surge</t>
  </si>
  <si>
    <t>Warblade</t>
  </si>
  <si>
    <t>Duskblade Features</t>
  </si>
  <si>
    <t>Warblade Features</t>
  </si>
  <si>
    <t>Weapon Aptitude</t>
  </si>
  <si>
    <t>Uncanny Dodge</t>
  </si>
  <si>
    <t>Battle Clarity</t>
  </si>
  <si>
    <t>Maneuvers</t>
  </si>
  <si>
    <t>Current Maneuvers</t>
  </si>
  <si>
    <t>Maneuvers Known:  4</t>
  </si>
  <si>
    <t>Maneuvers Readied:  3</t>
  </si>
  <si>
    <t>Stances Known:  1</t>
  </si>
  <si>
    <t>Duskblade 15</t>
  </si>
  <si>
    <t>Warblade 1</t>
  </si>
  <si>
    <t>Warblade 2</t>
  </si>
  <si>
    <t>12th:  Arcane Strike</t>
  </si>
  <si>
    <t>Douse the Flames</t>
  </si>
  <si>
    <t>Moment of Perfect Mind</t>
  </si>
  <si>
    <t>Leading the Attack</t>
  </si>
  <si>
    <t>15th:  Close-Quarters Fighting</t>
  </si>
  <si>
    <r>
      <rPr>
        <b/>
        <i/>
        <sz val="14"/>
        <color rgb="FF9966FF"/>
        <rFont val="Times New Roman"/>
        <family val="1"/>
      </rPr>
      <t xml:space="preserve">Minimum </t>
    </r>
    <r>
      <rPr>
        <i/>
        <sz val="14"/>
        <color rgb="FF9966FF"/>
        <rFont val="Times New Roman"/>
        <family val="1"/>
      </rPr>
      <t>Known Spells</t>
    </r>
  </si>
  <si>
    <t>Stance:  White Raven</t>
  </si>
  <si>
    <t>Stance:  Diamond Mind</t>
  </si>
  <si>
    <t>Armored Mage: Heavy Shield</t>
  </si>
  <si>
    <t>Armored Mage: Medium</t>
  </si>
  <si>
    <t>Tactical Strike</t>
  </si>
  <si>
    <t>Equity Ceiling:</t>
  </si>
  <si>
    <t>5th:  Quick Cast 3/day</t>
  </si>
  <si>
    <t>Wraithstrike</t>
  </si>
  <si>
    <t>True Strike</t>
  </si>
  <si>
    <t>V F</t>
  </si>
  <si>
    <t>Dimension Door</t>
  </si>
  <si>
    <t>400’ + 40’/lvl</t>
  </si>
  <si>
    <t>Dragonskin</t>
  </si>
  <si>
    <t>S M</t>
  </si>
  <si>
    <t>Spell Compendium</t>
  </si>
  <si>
    <t>Greatsword +4</t>
  </si>
  <si>
    <t>Greatsword +4, 2nd Attack</t>
  </si>
  <si>
    <t>Greatsword +4, 3rd Attack</t>
  </si>
  <si>
    <t>Greatsword +4, haste</t>
  </si>
  <si>
    <t>4</t>
  </si>
  <si>
    <t>Ring of Universal Energy Resistance</t>
  </si>
  <si>
    <t>four</t>
  </si>
  <si>
    <t>Greatsword +4, 4th Attack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</si>
</sst>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72"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0"/>
      <name val="Arial"/>
      <family val="2"/>
    </font>
    <font>
      <sz val="12"/>
      <name val="Times New Roman"/>
      <family val="1"/>
      <charset val="1"/>
    </font>
    <font>
      <b/>
      <sz val="13"/>
      <color rgb="FF00CC00"/>
      <name val="Times New Roman"/>
      <family val="1"/>
    </font>
    <font>
      <b/>
      <sz val="12"/>
      <color indexed="81"/>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2"/>
      <color indexed="81"/>
      <name val="Times New Roman"/>
      <family val="1"/>
    </font>
    <font>
      <i/>
      <sz val="18"/>
      <color rgb="FF0000FF"/>
      <name val="Times New Roman"/>
      <family val="1"/>
    </font>
    <font>
      <b/>
      <sz val="12"/>
      <color theme="1"/>
      <name val="Times New Roman"/>
      <family val="1"/>
    </font>
    <font>
      <i/>
      <sz val="16"/>
      <color indexed="53"/>
      <name val="Times New Roman"/>
      <family val="1"/>
    </font>
    <font>
      <i/>
      <sz val="16"/>
      <color indexed="17"/>
      <name val="Times New Roman"/>
      <family val="1"/>
    </font>
    <font>
      <i/>
      <sz val="16"/>
      <color indexed="10"/>
      <name val="Times New Roman"/>
      <family val="1"/>
    </font>
    <font>
      <i/>
      <sz val="16"/>
      <color indexed="57"/>
      <name val="Times New Roman"/>
      <family val="1"/>
    </font>
    <font>
      <i/>
      <sz val="17"/>
      <name val="Times New Roman"/>
      <family val="1"/>
    </font>
    <font>
      <b/>
      <sz val="12"/>
      <color rgb="FFFF0000"/>
      <name val="Times New Roman"/>
      <family val="1"/>
    </font>
    <font>
      <i/>
      <sz val="12"/>
      <name val="Times New Roman"/>
      <family val="1"/>
    </font>
    <font>
      <b/>
      <sz val="12"/>
      <color theme="0"/>
      <name val="Times New Roman"/>
      <family val="1"/>
    </font>
    <font>
      <i/>
      <sz val="18"/>
      <color rgb="FF7030A0"/>
      <name val="Times New Roman"/>
      <family val="1"/>
    </font>
    <font>
      <sz val="13"/>
      <color rgb="FF7030A0"/>
      <name val="Times New Roman"/>
      <family val="1"/>
    </font>
    <font>
      <i/>
      <sz val="22"/>
      <color rgb="FF9966FF"/>
      <name val="Times New Roman"/>
      <family val="1"/>
    </font>
    <font>
      <i/>
      <sz val="12"/>
      <color rgb="FF00FFFF"/>
      <name val="Times New Roman"/>
      <family val="1"/>
    </font>
    <font>
      <i/>
      <sz val="13"/>
      <name val="Times New Roman"/>
      <family val="1"/>
    </font>
    <font>
      <b/>
      <sz val="12"/>
      <color rgb="FF9966FF"/>
      <name val="Times New Roman"/>
      <family val="1"/>
    </font>
    <font>
      <sz val="12"/>
      <color rgb="FF9966FF"/>
      <name val="Times New Roman"/>
      <family val="1"/>
    </font>
    <font>
      <i/>
      <sz val="16"/>
      <color rgb="FF9966FF"/>
      <name val="Times New Roman"/>
      <family val="1"/>
    </font>
    <font>
      <i/>
      <sz val="16"/>
      <color rgb="FF9900FF"/>
      <name val="Times New Roman"/>
      <family val="1"/>
    </font>
    <font>
      <b/>
      <i/>
      <sz val="16"/>
      <color theme="0"/>
      <name val="Times New Roman"/>
      <family val="1"/>
    </font>
    <font>
      <i/>
      <sz val="18"/>
      <color rgb="FFFF0000"/>
      <name val="Times New Roman"/>
      <family val="1"/>
    </font>
    <font>
      <sz val="13"/>
      <color theme="0"/>
      <name val="Times New Roman"/>
      <family val="1"/>
    </font>
    <font>
      <b/>
      <sz val="12"/>
      <color rgb="FF9900FF"/>
      <name val="Times New Roman"/>
      <family val="1"/>
    </font>
    <font>
      <i/>
      <sz val="11"/>
      <name val="Times New Roman"/>
      <family val="1"/>
    </font>
    <font>
      <i/>
      <sz val="14"/>
      <color rgb="FF9966FF"/>
      <name val="Times New Roman"/>
      <family val="1"/>
    </font>
    <font>
      <b/>
      <i/>
      <sz val="14"/>
      <color rgb="FF9966FF"/>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rgb="FF9966FF"/>
        <bgColor indexed="64"/>
      </patternFill>
    </fill>
    <fill>
      <patternFill patternType="solid">
        <fgColor theme="0"/>
        <bgColor indexed="64"/>
      </patternFill>
    </fill>
    <fill>
      <patternFill patternType="solid">
        <fgColor rgb="FFCC66FF"/>
        <bgColor indexed="64"/>
      </patternFill>
    </fill>
    <fill>
      <patternFill patternType="solid">
        <fgColor rgb="FF99FF99"/>
        <bgColor indexed="64"/>
      </patternFill>
    </fill>
    <fill>
      <patternFill patternType="solid">
        <fgColor rgb="FF92D050"/>
        <bgColor indexed="64"/>
      </patternFill>
    </fill>
  </fills>
  <borders count="14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style="medium">
        <color indexed="64"/>
      </top>
      <bottom style="hair">
        <color indexed="64"/>
      </bottom>
      <diagonal/>
    </border>
    <border>
      <left style="double">
        <color indexed="64"/>
      </left>
      <right/>
      <top style="double">
        <color indexed="64"/>
      </top>
      <bottom style="thick">
        <color rgb="FF00B0F0"/>
      </bottom>
      <diagonal/>
    </border>
    <border>
      <left/>
      <right/>
      <top style="double">
        <color indexed="64"/>
      </top>
      <bottom style="thick">
        <color rgb="FF00B0F0"/>
      </bottom>
      <diagonal/>
    </border>
    <border>
      <left/>
      <right style="double">
        <color indexed="64"/>
      </right>
      <top style="double">
        <color indexed="64"/>
      </top>
      <bottom style="thick">
        <color rgb="FF00B0F0"/>
      </bottom>
      <diagonal/>
    </border>
    <border>
      <left/>
      <right style="double">
        <color indexed="64"/>
      </right>
      <top style="thin">
        <color indexed="64"/>
      </top>
      <bottom style="double">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indexed="64"/>
      </right>
      <top style="double">
        <color auto="1"/>
      </top>
      <bottom style="thin">
        <color auto="1"/>
      </bottom>
      <diagonal/>
    </border>
    <border>
      <left/>
      <right/>
      <top style="thin">
        <color auto="1"/>
      </top>
      <bottom style="double">
        <color indexed="64"/>
      </bottom>
      <diagonal/>
    </border>
    <border>
      <left style="double">
        <color indexed="64"/>
      </left>
      <right style="double">
        <color indexed="64"/>
      </right>
      <top/>
      <bottom/>
      <diagonal/>
    </border>
    <border>
      <left/>
      <right style="double">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right style="hair">
        <color indexed="64"/>
      </right>
      <top/>
      <bottom style="hair">
        <color indexed="64"/>
      </bottom>
      <diagonal/>
    </border>
    <border>
      <left style="double">
        <color auto="1"/>
      </left>
      <right style="medium">
        <color auto="1"/>
      </right>
      <top style="hair">
        <color indexed="64"/>
      </top>
      <bottom style="hair">
        <color indexed="64"/>
      </bottom>
      <diagonal/>
    </border>
    <border>
      <left/>
      <right style="hair">
        <color indexed="64"/>
      </right>
      <top style="hair">
        <color indexed="64"/>
      </top>
      <bottom style="hair">
        <color indexed="64"/>
      </bottom>
      <diagonal/>
    </border>
    <border>
      <left style="double">
        <color auto="1"/>
      </left>
      <right style="medium">
        <color auto="1"/>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thin">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hair">
        <color indexed="64"/>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auto="1"/>
      </top>
      <bottom style="medium">
        <color indexed="64"/>
      </bottom>
      <diagonal/>
    </border>
    <border>
      <left style="thin">
        <color indexed="64"/>
      </left>
      <right/>
      <top style="thin">
        <color auto="1"/>
      </top>
      <bottom style="medium">
        <color indexed="64"/>
      </bottom>
      <diagonal/>
    </border>
    <border>
      <left/>
      <right style="medium">
        <color auto="1"/>
      </right>
      <top style="thin">
        <color auto="1"/>
      </top>
      <bottom style="medium">
        <color indexed="64"/>
      </bottom>
      <diagonal/>
    </border>
    <border>
      <left/>
      <right style="thin">
        <color auto="1"/>
      </right>
      <top style="thin">
        <color auto="1"/>
      </top>
      <bottom style="medium">
        <color indexed="64"/>
      </bottom>
      <diagonal/>
    </border>
    <border>
      <left style="thin">
        <color indexed="64"/>
      </left>
      <right style="double">
        <color indexed="64"/>
      </right>
      <top style="thin">
        <color auto="1"/>
      </top>
      <bottom style="medium">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hair">
        <color indexed="64"/>
      </right>
      <top style="hair">
        <color indexed="64"/>
      </top>
      <bottom/>
      <diagonal/>
    </border>
    <border>
      <left/>
      <right style="hair">
        <color indexed="64"/>
      </right>
      <top style="hair">
        <color indexed="64"/>
      </top>
      <bottom/>
      <diagonal/>
    </border>
    <border>
      <left style="double">
        <color indexed="64"/>
      </left>
      <right style="double">
        <color indexed="64"/>
      </right>
      <top style="medium">
        <color indexed="64"/>
      </top>
      <bottom style="thin">
        <color indexed="64"/>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4" fillId="0" borderId="0"/>
    <xf numFmtId="0" fontId="1" fillId="0" borderId="0"/>
    <xf numFmtId="0" fontId="35" fillId="0" borderId="0"/>
    <xf numFmtId="9" fontId="1" fillId="0" borderId="0" applyFont="0" applyFill="0" applyBorder="0" applyAlignment="0" applyProtection="0"/>
    <xf numFmtId="0" fontId="1" fillId="0" borderId="0"/>
  </cellStyleXfs>
  <cellXfs count="577">
    <xf numFmtId="0" fontId="0" fillId="0" borderId="0" xfId="0"/>
    <xf numFmtId="0" fontId="11" fillId="3" borderId="32" xfId="0" applyFont="1" applyFill="1" applyBorder="1" applyAlignment="1">
      <alignment horizontal="center" vertical="center" wrapText="1"/>
    </xf>
    <xf numFmtId="1" fontId="1" fillId="0" borderId="70" xfId="0" applyNumberFormat="1" applyFont="1" applyBorder="1" applyAlignment="1">
      <alignment horizontal="center" vertical="center"/>
    </xf>
    <xf numFmtId="0" fontId="1" fillId="0" borderId="70" xfId="0" applyFont="1" applyFill="1" applyBorder="1" applyAlignment="1">
      <alignment horizontal="center" vertical="center"/>
    </xf>
    <xf numFmtId="0" fontId="1" fillId="0" borderId="70" xfId="0" quotePrefix="1" applyFont="1" applyFill="1" applyBorder="1" applyAlignment="1">
      <alignment horizontal="center" vertical="center" wrapText="1"/>
    </xf>
    <xf numFmtId="49" fontId="1" fillId="0" borderId="70" xfId="2" applyNumberFormat="1" applyFont="1" applyFill="1" applyBorder="1" applyAlignment="1">
      <alignment horizontal="center" vertical="center"/>
    </xf>
    <xf numFmtId="0" fontId="1" fillId="0" borderId="70" xfId="0" applyFont="1" applyFill="1" applyBorder="1" applyAlignment="1">
      <alignment horizontal="center" vertical="center" shrinkToFit="1"/>
    </xf>
    <xf numFmtId="164" fontId="1" fillId="0" borderId="70" xfId="0" applyNumberFormat="1" applyFont="1" applyFill="1" applyBorder="1" applyAlignment="1">
      <alignment horizontal="center" vertical="center"/>
    </xf>
    <xf numFmtId="1" fontId="44" fillId="9" borderId="72" xfId="0" applyNumberFormat="1" applyFont="1" applyFill="1" applyBorder="1" applyAlignment="1">
      <alignment horizontal="center" vertical="center"/>
    </xf>
    <xf numFmtId="164" fontId="4" fillId="0" borderId="72" xfId="0" applyNumberFormat="1" applyFont="1" applyFill="1" applyBorder="1" applyAlignment="1">
      <alignment horizontal="center"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5" fillId="0" borderId="0" xfId="0" applyFont="1" applyBorder="1" applyAlignment="1">
      <alignment horizontal="right" vertical="center"/>
    </xf>
    <xf numFmtId="0" fontId="0" fillId="0" borderId="0" xfId="0" applyAlignment="1">
      <alignment vertical="center"/>
    </xf>
    <xf numFmtId="0" fontId="6" fillId="0" borderId="2" xfId="0" applyFont="1" applyBorder="1" applyAlignment="1">
      <alignment horizontal="left" vertical="center"/>
    </xf>
    <xf numFmtId="0" fontId="5" fillId="4" borderId="65" xfId="0" applyFont="1" applyFill="1" applyBorder="1" applyAlignment="1">
      <alignment horizontal="right" vertical="center"/>
    </xf>
    <xf numFmtId="0" fontId="5" fillId="4" borderId="79" xfId="0" applyFont="1" applyFill="1" applyBorder="1" applyAlignment="1">
      <alignment horizontal="right" vertical="center"/>
    </xf>
    <xf numFmtId="49" fontId="6" fillId="0" borderId="68" xfId="0" applyNumberFormat="1" applyFont="1" applyFill="1" applyBorder="1" applyAlignment="1">
      <alignment horizontal="center" vertical="center"/>
    </xf>
    <xf numFmtId="0" fontId="6" fillId="0" borderId="0" xfId="0" applyFont="1" applyBorder="1" applyAlignment="1">
      <alignment horizontal="left" vertical="center"/>
    </xf>
    <xf numFmtId="0" fontId="7" fillId="2" borderId="13" xfId="0" applyFont="1" applyFill="1" applyBorder="1" applyAlignment="1">
      <alignment horizontal="right" vertical="center"/>
    </xf>
    <xf numFmtId="0" fontId="7" fillId="4" borderId="57" xfId="0" applyFont="1" applyFill="1" applyBorder="1" applyAlignment="1">
      <alignment horizontal="right" vertical="center"/>
    </xf>
    <xf numFmtId="0" fontId="12" fillId="2" borderId="4" xfId="0" applyFont="1" applyFill="1" applyBorder="1" applyAlignment="1">
      <alignment horizontal="right" vertical="center"/>
    </xf>
    <xf numFmtId="0" fontId="7" fillId="4" borderId="55" xfId="0" applyFont="1" applyFill="1" applyBorder="1" applyAlignment="1">
      <alignment horizontal="right" vertical="center"/>
    </xf>
    <xf numFmtId="164" fontId="5" fillId="5" borderId="26"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5" fillId="0" borderId="25" xfId="0" applyFont="1" applyBorder="1" applyAlignment="1">
      <alignment horizontal="center" vertical="center"/>
    </xf>
    <xf numFmtId="0" fontId="36" fillId="2" borderId="4" xfId="0" applyFont="1" applyFill="1" applyBorder="1" applyAlignment="1">
      <alignment horizontal="right" vertical="center"/>
    </xf>
    <xf numFmtId="0" fontId="10" fillId="4" borderId="55" xfId="0" applyFont="1" applyFill="1" applyBorder="1" applyAlignment="1">
      <alignment horizontal="right" vertical="center"/>
    </xf>
    <xf numFmtId="0" fontId="21" fillId="2" borderId="4" xfId="0" applyFont="1" applyFill="1" applyBorder="1" applyAlignment="1">
      <alignment horizontal="right" vertical="center"/>
    </xf>
    <xf numFmtId="0" fontId="13" fillId="2" borderId="15" xfId="0" applyFont="1" applyFill="1" applyBorder="1" applyAlignment="1">
      <alignment horizontal="right" vertical="center"/>
    </xf>
    <xf numFmtId="0" fontId="10" fillId="4" borderId="56" xfId="0" applyFont="1" applyFill="1" applyBorder="1" applyAlignment="1">
      <alignment horizontal="righ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3" fillId="0" borderId="0"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58" xfId="0" applyFont="1" applyFill="1" applyBorder="1" applyAlignment="1">
      <alignment horizontal="centerContinuous" vertical="center"/>
    </xf>
    <xf numFmtId="0" fontId="2" fillId="0" borderId="0" xfId="0" applyFont="1" applyBorder="1" applyAlignment="1">
      <alignment horizontal="centerContinuous" vertical="center"/>
    </xf>
    <xf numFmtId="0" fontId="20" fillId="7" borderId="16" xfId="0" applyFont="1" applyFill="1" applyBorder="1" applyAlignment="1">
      <alignment horizontal="center" vertical="center"/>
    </xf>
    <xf numFmtId="0" fontId="20" fillId="7" borderId="17" xfId="0" applyFont="1" applyFill="1" applyBorder="1" applyAlignment="1">
      <alignment horizontal="center" vertical="center"/>
    </xf>
    <xf numFmtId="49" fontId="20" fillId="7" borderId="17" xfId="0" applyNumberFormat="1" applyFont="1" applyFill="1" applyBorder="1" applyAlignment="1">
      <alignment horizontal="center" vertical="center"/>
    </xf>
    <xf numFmtId="0" fontId="20" fillId="7" borderId="19" xfId="0" applyFont="1" applyFill="1" applyBorder="1" applyAlignment="1">
      <alignment horizontal="center" vertical="center"/>
    </xf>
    <xf numFmtId="0" fontId="43" fillId="9" borderId="19" xfId="0" applyFont="1" applyFill="1" applyBorder="1" applyAlignment="1">
      <alignment horizontal="center" vertical="center"/>
    </xf>
    <xf numFmtId="0" fontId="20" fillId="7" borderId="18" xfId="0" applyFont="1" applyFill="1" applyBorder="1" applyAlignment="1">
      <alignment horizontal="center" vertical="center"/>
    </xf>
    <xf numFmtId="0" fontId="20" fillId="7" borderId="27" xfId="0" applyFont="1" applyFill="1" applyBorder="1" applyAlignment="1">
      <alignment horizontal="center" vertical="center"/>
    </xf>
    <xf numFmtId="1" fontId="1" fillId="0" borderId="52" xfId="0" applyNumberFormat="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7" borderId="19" xfId="0" applyFont="1" applyFill="1" applyBorder="1" applyAlignment="1">
      <alignment horizontal="centerContinuous" vertical="center"/>
    </xf>
    <xf numFmtId="0" fontId="20" fillId="7" borderId="69" xfId="0" applyFont="1" applyFill="1" applyBorder="1" applyAlignment="1">
      <alignment horizontal="centerContinuous" vertical="center"/>
    </xf>
    <xf numFmtId="0" fontId="20" fillId="7" borderId="54" xfId="0" applyFont="1" applyFill="1" applyBorder="1" applyAlignment="1">
      <alignment horizontal="centerContinuous" vertical="center"/>
    </xf>
    <xf numFmtId="164" fontId="4" fillId="0" borderId="11" xfId="0" applyNumberFormat="1" applyFont="1" applyFill="1" applyBorder="1" applyAlignment="1">
      <alignment horizontal="center" vertical="center"/>
    </xf>
    <xf numFmtId="164" fontId="2" fillId="0" borderId="0" xfId="0" applyNumberFormat="1" applyFont="1" applyBorder="1" applyAlignment="1">
      <alignment horizontal="centerContinuous" vertical="center"/>
    </xf>
    <xf numFmtId="0" fontId="20" fillId="3" borderId="31" xfId="0" applyFont="1" applyFill="1" applyBorder="1" applyAlignment="1">
      <alignment horizontal="center" vertical="center"/>
    </xf>
    <xf numFmtId="164" fontId="20" fillId="3" borderId="32" xfId="0" applyNumberFormat="1" applyFont="1" applyFill="1" applyBorder="1" applyAlignment="1">
      <alignment horizontal="center" vertical="center"/>
    </xf>
    <xf numFmtId="0" fontId="20" fillId="3" borderId="31" xfId="0" applyFont="1" applyFill="1" applyBorder="1" applyAlignment="1">
      <alignment horizontal="right" vertical="center"/>
    </xf>
    <xf numFmtId="0" fontId="20" fillId="3" borderId="33" xfId="0" applyFont="1" applyFill="1" applyBorder="1" applyAlignment="1">
      <alignment vertical="center"/>
    </xf>
    <xf numFmtId="164" fontId="20" fillId="3" borderId="27" xfId="0" applyNumberFormat="1" applyFont="1" applyFill="1" applyBorder="1" applyAlignment="1">
      <alignment horizontal="center" vertical="center"/>
    </xf>
    <xf numFmtId="0" fontId="1" fillId="0" borderId="34" xfId="0" applyFont="1" applyBorder="1" applyAlignment="1">
      <alignment horizontal="center" vertical="center" shrinkToFit="1"/>
    </xf>
    <xf numFmtId="1" fontId="1" fillId="0" borderId="35" xfId="0" applyNumberFormat="1" applyFont="1" applyBorder="1" applyAlignment="1">
      <alignment horizontal="center" vertical="center" shrinkToFit="1"/>
    </xf>
    <xf numFmtId="164" fontId="1" fillId="0" borderId="35" xfId="0" applyNumberFormat="1" applyFont="1" applyBorder="1" applyAlignment="1">
      <alignment horizontal="center" vertical="center" shrinkToFit="1"/>
    </xf>
    <xf numFmtId="0" fontId="4" fillId="0" borderId="36" xfId="0" applyFont="1" applyBorder="1" applyAlignment="1">
      <alignment horizontal="left" vertical="center"/>
    </xf>
    <xf numFmtId="0" fontId="4" fillId="0" borderId="37" xfId="0" applyFont="1" applyBorder="1" applyAlignment="1">
      <alignment horizontal="left" vertical="center" shrinkToFit="1"/>
    </xf>
    <xf numFmtId="1" fontId="4" fillId="0" borderId="35" xfId="0" applyNumberFormat="1" applyFont="1" applyBorder="1" applyAlignment="1">
      <alignment horizontal="center" vertical="center" shrinkToFit="1"/>
    </xf>
    <xf numFmtId="164" fontId="4" fillId="0" borderId="35" xfId="0" applyNumberFormat="1" applyFont="1" applyBorder="1" applyAlignment="1">
      <alignment horizontal="center" vertical="center" shrinkToFit="1"/>
    </xf>
    <xf numFmtId="0" fontId="1" fillId="0" borderId="42" xfId="0" applyFont="1" applyBorder="1" applyAlignment="1">
      <alignment horizontal="center" vertical="center" shrinkToFit="1"/>
    </xf>
    <xf numFmtId="1" fontId="4" fillId="0" borderId="43" xfId="0" applyNumberFormat="1" applyFont="1" applyBorder="1" applyAlignment="1">
      <alignment horizontal="center" vertical="center" shrinkToFit="1"/>
    </xf>
    <xf numFmtId="164" fontId="4" fillId="0" borderId="43" xfId="0" applyNumberFormat="1" applyFont="1" applyBorder="1" applyAlignment="1">
      <alignment horizontal="center" vertical="center" shrinkToFit="1"/>
    </xf>
    <xf numFmtId="0" fontId="4" fillId="0" borderId="44" xfId="0" applyFont="1" applyBorder="1" applyAlignment="1">
      <alignment horizontal="left" vertical="center"/>
    </xf>
    <xf numFmtId="0" fontId="4" fillId="0" borderId="45"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38" xfId="0" applyFont="1" applyBorder="1" applyAlignment="1">
      <alignment horizontal="center" vertical="center" shrinkToFit="1"/>
    </xf>
    <xf numFmtId="1" fontId="1" fillId="0" borderId="39" xfId="0" applyNumberFormat="1" applyFont="1" applyBorder="1" applyAlignment="1">
      <alignment horizontal="center" vertical="center" shrinkToFit="1"/>
    </xf>
    <xf numFmtId="164" fontId="1" fillId="0" borderId="39" xfId="0" applyNumberFormat="1" applyFont="1" applyBorder="1" applyAlignment="1">
      <alignment horizontal="center" vertical="center" shrinkToFit="1"/>
    </xf>
    <xf numFmtId="0" fontId="4" fillId="0" borderId="40" xfId="0" applyFont="1" applyBorder="1" applyAlignment="1">
      <alignment horizontal="left" vertical="center"/>
    </xf>
    <xf numFmtId="0" fontId="1" fillId="0" borderId="40" xfId="0" applyFont="1" applyBorder="1" applyAlignment="1">
      <alignment horizontal="left" vertical="center"/>
    </xf>
    <xf numFmtId="0" fontId="4" fillId="0" borderId="41" xfId="0" applyFont="1" applyBorder="1" applyAlignment="1">
      <alignment horizontal="left" vertical="center" shrinkToFit="1"/>
    </xf>
    <xf numFmtId="0" fontId="1" fillId="0" borderId="44" xfId="0" applyFont="1" applyBorder="1" applyAlignment="1">
      <alignment horizontal="left" vertical="center"/>
    </xf>
    <xf numFmtId="0" fontId="2" fillId="0" borderId="0" xfId="0" applyFont="1" applyBorder="1" applyAlignment="1">
      <alignment vertical="center"/>
    </xf>
    <xf numFmtId="1" fontId="20" fillId="3" borderId="31" xfId="0" applyNumberFormat="1" applyFont="1" applyFill="1" applyBorder="1" applyAlignment="1">
      <alignment horizontal="center" vertical="center"/>
    </xf>
    <xf numFmtId="0" fontId="4" fillId="0" borderId="47" xfId="0" applyFont="1" applyBorder="1" applyAlignment="1">
      <alignment horizontal="center" vertical="center" shrinkToFit="1"/>
    </xf>
    <xf numFmtId="1" fontId="4" fillId="0" borderId="48" xfId="0" applyNumberFormat="1" applyFont="1" applyBorder="1" applyAlignment="1">
      <alignment horizontal="center" vertical="center" shrinkToFit="1"/>
    </xf>
    <xf numFmtId="164" fontId="4" fillId="0" borderId="48" xfId="0" applyNumberFormat="1" applyFont="1" applyBorder="1" applyAlignment="1">
      <alignment horizontal="center" vertical="center" shrinkToFit="1"/>
    </xf>
    <xf numFmtId="1" fontId="4" fillId="0" borderId="49" xfId="0" applyNumberFormat="1" applyFont="1" applyBorder="1" applyAlignment="1">
      <alignment horizontal="center" vertical="center" shrinkToFit="1"/>
    </xf>
    <xf numFmtId="164" fontId="4" fillId="0" borderId="49" xfId="0" applyNumberFormat="1" applyFont="1" applyBorder="1" applyAlignment="1">
      <alignment horizontal="center" vertical="center" shrinkToFit="1"/>
    </xf>
    <xf numFmtId="0" fontId="4" fillId="0" borderId="50" xfId="0" applyFont="1" applyBorder="1" applyAlignment="1">
      <alignment horizontal="left" vertical="center"/>
    </xf>
    <xf numFmtId="0" fontId="4" fillId="0" borderId="46" xfId="0" applyFont="1" applyBorder="1" applyAlignment="1">
      <alignment horizontal="left" vertical="center" shrinkToFit="1"/>
    </xf>
    <xf numFmtId="0" fontId="4" fillId="0" borderId="42" xfId="0" applyFont="1" applyBorder="1" applyAlignment="1">
      <alignment horizontal="center" vertical="center" shrinkToFit="1"/>
    </xf>
    <xf numFmtId="1" fontId="4" fillId="0" borderId="0" xfId="0" applyNumberFormat="1" applyFont="1" applyBorder="1" applyAlignment="1">
      <alignment horizontal="center" vertical="center"/>
    </xf>
    <xf numFmtId="0" fontId="4" fillId="0" borderId="34" xfId="0" applyFont="1" applyBorder="1" applyAlignment="1">
      <alignment horizontal="center" vertical="center" shrinkToFit="1"/>
    </xf>
    <xf numFmtId="1" fontId="4" fillId="0" borderId="0" xfId="0" applyNumberFormat="1" applyFont="1" applyBorder="1" applyAlignment="1">
      <alignment vertical="center"/>
    </xf>
    <xf numFmtId="0" fontId="19" fillId="2" borderId="83" xfId="0" applyFont="1" applyFill="1" applyBorder="1" applyAlignment="1">
      <alignment horizontal="left" vertical="center"/>
    </xf>
    <xf numFmtId="0" fontId="3" fillId="2" borderId="83" xfId="0" applyFont="1" applyFill="1" applyBorder="1" applyAlignment="1">
      <alignment horizontal="centerContinuous" vertical="center"/>
    </xf>
    <xf numFmtId="49" fontId="16" fillId="0" borderId="28" xfId="0" applyNumberFormat="1" applyFont="1" applyBorder="1" applyAlignment="1">
      <alignment horizontal="center" shrinkToFit="1"/>
    </xf>
    <xf numFmtId="0" fontId="4" fillId="0" borderId="85" xfId="0" applyFont="1" applyFill="1" applyBorder="1" applyAlignment="1">
      <alignment horizontal="center" vertical="center"/>
    </xf>
    <xf numFmtId="0" fontId="20" fillId="7" borderId="65" xfId="0" applyFont="1" applyFill="1" applyBorder="1" applyAlignment="1">
      <alignment horizontal="centerContinuous" vertical="center"/>
    </xf>
    <xf numFmtId="0" fontId="20" fillId="7" borderId="66" xfId="0" applyFont="1" applyFill="1" applyBorder="1" applyAlignment="1">
      <alignment horizontal="centerContinuous" vertical="center"/>
    </xf>
    <xf numFmtId="0" fontId="20" fillId="7" borderId="66" xfId="0" applyFont="1" applyFill="1" applyBorder="1" applyAlignment="1">
      <alignment horizontal="center" vertical="center"/>
    </xf>
    <xf numFmtId="0" fontId="4" fillId="0" borderId="11" xfId="0" applyFont="1" applyFill="1" applyBorder="1" applyAlignment="1">
      <alignment horizontal="centerContinuous" vertical="center"/>
    </xf>
    <xf numFmtId="49" fontId="1" fillId="0" borderId="11" xfId="0" applyNumberFormat="1" applyFont="1" applyFill="1" applyBorder="1" applyAlignment="1">
      <alignment horizontal="center" vertical="center"/>
    </xf>
    <xf numFmtId="0" fontId="20" fillId="7" borderId="86" xfId="0" applyFont="1" applyFill="1" applyBorder="1" applyAlignment="1">
      <alignment horizontal="centerContinuous" vertical="center"/>
    </xf>
    <xf numFmtId="0" fontId="20" fillId="7" borderId="87" xfId="0" applyFont="1" applyFill="1" applyBorder="1" applyAlignment="1">
      <alignment horizontal="centerContinuous" vertical="center"/>
    </xf>
    <xf numFmtId="0" fontId="20" fillId="7" borderId="88" xfId="0" applyFont="1" applyFill="1" applyBorder="1" applyAlignment="1">
      <alignment horizontal="center" vertical="center"/>
    </xf>
    <xf numFmtId="164" fontId="1" fillId="0" borderId="21" xfId="0" applyNumberFormat="1" applyFont="1" applyFill="1" applyBorder="1" applyAlignment="1">
      <alignment horizontal="centerContinuous" vertical="center"/>
    </xf>
    <xf numFmtId="164" fontId="4" fillId="0" borderId="89" xfId="0" applyNumberFormat="1" applyFont="1" applyBorder="1" applyAlignment="1">
      <alignment horizontal="centerContinuous" vertical="center"/>
    </xf>
    <xf numFmtId="0" fontId="1" fillId="0" borderId="0" xfId="5" applyFont="1" applyBorder="1" applyAlignment="1">
      <alignment wrapText="1"/>
    </xf>
    <xf numFmtId="0" fontId="3" fillId="0" borderId="0" xfId="5" applyFont="1" applyBorder="1" applyAlignment="1">
      <alignment horizontal="right" wrapText="1"/>
    </xf>
    <xf numFmtId="0" fontId="1" fillId="0" borderId="0" xfId="5" applyFont="1" applyBorder="1" applyAlignment="1">
      <alignment horizontal="left" wrapText="1"/>
    </xf>
    <xf numFmtId="0" fontId="1" fillId="0" borderId="0" xfId="5" applyNumberFormat="1" applyFont="1" applyBorder="1" applyAlignment="1">
      <alignment horizontal="left" wrapText="1"/>
    </xf>
    <xf numFmtId="0" fontId="6" fillId="0" borderId="23" xfId="2" applyNumberFormat="1" applyFont="1" applyFill="1" applyBorder="1" applyAlignment="1">
      <alignment horizontal="center" shrinkToFit="1"/>
    </xf>
    <xf numFmtId="9" fontId="6" fillId="0" borderId="23" xfId="2" applyFont="1" applyFill="1" applyBorder="1" applyAlignment="1">
      <alignment horizontal="center" vertical="center" shrinkToFit="1"/>
    </xf>
    <xf numFmtId="9" fontId="6" fillId="0" borderId="22" xfId="2" applyFont="1" applyFill="1" applyBorder="1" applyAlignment="1">
      <alignment horizontal="center" shrinkToFit="1"/>
    </xf>
    <xf numFmtId="0" fontId="6" fillId="0" borderId="22" xfId="5" applyFont="1" applyFill="1" applyBorder="1" applyAlignment="1">
      <alignment horizontal="center" wrapText="1"/>
    </xf>
    <xf numFmtId="0" fontId="6" fillId="0" borderId="23" xfId="2" applyNumberFormat="1" applyFont="1" applyBorder="1" applyAlignment="1">
      <alignment horizontal="center" shrinkToFit="1"/>
    </xf>
    <xf numFmtId="9" fontId="6" fillId="0" borderId="23" xfId="2" applyFont="1" applyBorder="1" applyAlignment="1">
      <alignment horizontal="center" shrinkToFit="1"/>
    </xf>
    <xf numFmtId="9" fontId="6" fillId="0" borderId="22" xfId="2" applyFont="1" applyBorder="1" applyAlignment="1">
      <alignment horizontal="center" shrinkToFit="1"/>
    </xf>
    <xf numFmtId="0" fontId="6" fillId="0" borderId="22" xfId="5" applyFont="1" applyBorder="1" applyAlignment="1">
      <alignment horizontal="center" wrapText="1"/>
    </xf>
    <xf numFmtId="0" fontId="3" fillId="0" borderId="0" xfId="5" applyFont="1" applyBorder="1" applyAlignment="1">
      <alignment wrapText="1"/>
    </xf>
    <xf numFmtId="0" fontId="15" fillId="0" borderId="0" xfId="5" applyFont="1" applyBorder="1" applyAlignment="1">
      <alignment horizontal="centerContinuous" wrapText="1"/>
    </xf>
    <xf numFmtId="0" fontId="15" fillId="0" borderId="0" xfId="5" applyNumberFormat="1" applyFont="1" applyBorder="1" applyAlignment="1">
      <alignment horizontal="centerContinuous" wrapText="1"/>
    </xf>
    <xf numFmtId="0" fontId="6" fillId="0" borderId="23" xfId="2" applyNumberFormat="1" applyFont="1" applyFill="1" applyBorder="1" applyAlignment="1">
      <alignment horizontal="center" vertical="center" shrinkToFit="1"/>
    </xf>
    <xf numFmtId="0" fontId="6" fillId="0" borderId="24" xfId="0" applyNumberFormat="1" applyFont="1" applyFill="1" applyBorder="1" applyAlignment="1">
      <alignment horizontal="center" vertical="center" wrapText="1"/>
    </xf>
    <xf numFmtId="0" fontId="6" fillId="0" borderId="0" xfId="0" applyFont="1" applyBorder="1" applyAlignment="1">
      <alignment horizontal="centerContinuous" vertical="center"/>
    </xf>
    <xf numFmtId="0" fontId="1" fillId="0" borderId="71" xfId="0" applyFont="1" applyFill="1" applyBorder="1" applyAlignment="1">
      <alignment horizontal="center" vertical="center"/>
    </xf>
    <xf numFmtId="0" fontId="1" fillId="0" borderId="15" xfId="0" applyFont="1" applyBorder="1" applyAlignment="1">
      <alignment horizontal="center" vertical="center"/>
    </xf>
    <xf numFmtId="0" fontId="1" fillId="0" borderId="51" xfId="0" applyFont="1" applyBorder="1" applyAlignment="1">
      <alignment horizontal="center" vertical="center"/>
    </xf>
    <xf numFmtId="164" fontId="1" fillId="0" borderId="51" xfId="0" applyNumberFormat="1" applyFont="1" applyBorder="1" applyAlignment="1">
      <alignment horizontal="center" vertical="center"/>
    </xf>
    <xf numFmtId="1" fontId="44" fillId="9" borderId="52" xfId="0" applyNumberFormat="1" applyFont="1" applyFill="1" applyBorder="1" applyAlignment="1">
      <alignment horizontal="center" vertical="center"/>
    </xf>
    <xf numFmtId="1" fontId="44" fillId="9" borderId="23" xfId="0" applyNumberFormat="1" applyFont="1" applyFill="1" applyBorder="1" applyAlignment="1">
      <alignment horizontal="center" vertical="center"/>
    </xf>
    <xf numFmtId="0" fontId="6" fillId="0" borderId="23" xfId="5" applyNumberFormat="1" applyFont="1" applyFill="1" applyBorder="1" applyAlignment="1">
      <alignment horizontal="center" wrapText="1"/>
    </xf>
    <xf numFmtId="0" fontId="1" fillId="0" borderId="95" xfId="0" applyFont="1" applyFill="1" applyBorder="1" applyAlignment="1">
      <alignment horizontal="center" vertical="center"/>
    </xf>
    <xf numFmtId="0" fontId="1" fillId="0" borderId="96" xfId="0" applyFont="1" applyFill="1" applyBorder="1" applyAlignment="1">
      <alignment horizontal="center" vertical="center"/>
    </xf>
    <xf numFmtId="0" fontId="1" fillId="0" borderId="96" xfId="0" quotePrefix="1" applyFont="1" applyFill="1" applyBorder="1" applyAlignment="1">
      <alignment horizontal="center" vertical="center" wrapText="1"/>
    </xf>
    <xf numFmtId="49" fontId="1" fillId="0" borderId="96" xfId="2" applyNumberFormat="1" applyFont="1" applyFill="1" applyBorder="1" applyAlignment="1">
      <alignment horizontal="center" vertical="center"/>
    </xf>
    <xf numFmtId="164" fontId="1" fillId="8" borderId="96" xfId="0" applyNumberFormat="1" applyFont="1" applyFill="1" applyBorder="1" applyAlignment="1">
      <alignment horizontal="center" vertical="center"/>
    </xf>
    <xf numFmtId="1" fontId="1" fillId="0" borderId="58" xfId="0" applyNumberFormat="1" applyFont="1" applyFill="1" applyBorder="1" applyAlignment="1">
      <alignment horizontal="center" vertical="center"/>
    </xf>
    <xf numFmtId="1" fontId="1" fillId="0" borderId="81" xfId="0" applyNumberFormat="1" applyFont="1" applyBorder="1" applyAlignment="1">
      <alignment horizontal="center" vertical="center"/>
    </xf>
    <xf numFmtId="1" fontId="1" fillId="0" borderId="53" xfId="0" applyNumberFormat="1" applyFont="1" applyFill="1" applyBorder="1" applyAlignment="1">
      <alignment horizontal="center" vertical="center"/>
    </xf>
    <xf numFmtId="1" fontId="1" fillId="0" borderId="30" xfId="0" applyNumberFormat="1" applyFont="1" applyFill="1" applyBorder="1" applyAlignment="1">
      <alignment horizontal="center" vertical="center"/>
    </xf>
    <xf numFmtId="165" fontId="1" fillId="0" borderId="0" xfId="0" applyNumberFormat="1" applyFont="1" applyBorder="1" applyAlignment="1">
      <alignment horizontal="center" vertical="center"/>
    </xf>
    <xf numFmtId="0" fontId="1" fillId="0" borderId="0" xfId="0" applyFont="1" applyBorder="1" applyAlignment="1">
      <alignment vertical="center"/>
    </xf>
    <xf numFmtId="0" fontId="46" fillId="0" borderId="0" xfId="0" applyFont="1" applyBorder="1" applyAlignment="1">
      <alignment horizontal="centerContinuous" vertical="center" wrapText="1"/>
    </xf>
    <xf numFmtId="0" fontId="3" fillId="0" borderId="0" xfId="5" applyFont="1" applyBorder="1" applyAlignment="1">
      <alignment vertical="center" wrapText="1"/>
    </xf>
    <xf numFmtId="0" fontId="6" fillId="0" borderId="22" xfId="0" applyFont="1" applyFill="1" applyBorder="1" applyAlignment="1">
      <alignment horizontal="center" vertical="center" shrinkToFit="1"/>
    </xf>
    <xf numFmtId="0" fontId="6" fillId="0" borderId="23" xfId="0" applyNumberFormat="1" applyFont="1" applyFill="1" applyBorder="1" applyAlignment="1">
      <alignment horizontal="center" vertical="center" shrinkToFit="1"/>
    </xf>
    <xf numFmtId="0" fontId="6" fillId="0" borderId="23" xfId="2" applyNumberFormat="1" applyFont="1" applyBorder="1" applyAlignment="1">
      <alignment horizontal="center" vertical="center" shrinkToFit="1"/>
    </xf>
    <xf numFmtId="9" fontId="6" fillId="0" borderId="22" xfId="2" applyFont="1" applyFill="1" applyBorder="1" applyAlignment="1">
      <alignment horizontal="center" vertical="center" shrinkToFit="1"/>
    </xf>
    <xf numFmtId="0" fontId="48" fillId="0" borderId="27" xfId="0" applyFont="1" applyBorder="1" applyAlignment="1">
      <alignment horizontal="centerContinuous" vertical="center"/>
    </xf>
    <xf numFmtId="0" fontId="49" fillId="0" borderId="27" xfId="0" applyFont="1" applyBorder="1" applyAlignment="1">
      <alignment horizontal="centerContinuous" vertical="center" wrapText="1"/>
    </xf>
    <xf numFmtId="0" fontId="50" fillId="0" borderId="27" xfId="0" applyFont="1" applyBorder="1" applyAlignment="1">
      <alignment horizontal="centerContinuous" vertical="center" wrapText="1"/>
    </xf>
    <xf numFmtId="0" fontId="51" fillId="0" borderId="27" xfId="0" applyFont="1" applyBorder="1" applyAlignment="1">
      <alignment horizontal="centerContinuous" vertical="center" wrapText="1"/>
    </xf>
    <xf numFmtId="1" fontId="1" fillId="0" borderId="81" xfId="0" applyNumberFormat="1" applyFont="1" applyBorder="1" applyAlignment="1">
      <alignment horizontal="center" vertical="center" shrinkToFit="1"/>
    </xf>
    <xf numFmtId="1" fontId="1" fillId="0" borderId="59" xfId="0" applyNumberFormat="1" applyFont="1" applyBorder="1" applyAlignment="1">
      <alignment horizontal="center" vertical="center" shrinkToFit="1"/>
    </xf>
    <xf numFmtId="1" fontId="1" fillId="0" borderId="30" xfId="0" applyNumberFormat="1" applyFont="1" applyBorder="1" applyAlignment="1">
      <alignment horizontal="center" vertical="center" shrinkToFit="1"/>
    </xf>
    <xf numFmtId="1" fontId="1" fillId="0" borderId="53" xfId="0" applyNumberFormat="1" applyFont="1" applyBorder="1" applyAlignment="1">
      <alignment horizontal="center" vertical="center" shrinkToFit="1"/>
    </xf>
    <xf numFmtId="0" fontId="1" fillId="0" borderId="0" xfId="0" applyFont="1" applyBorder="1" applyAlignment="1">
      <alignment horizontal="center" vertical="center" shrinkToFit="1"/>
    </xf>
    <xf numFmtId="0" fontId="52" fillId="0" borderId="0" xfId="0" applyFont="1" applyBorder="1" applyAlignment="1">
      <alignment vertical="center"/>
    </xf>
    <xf numFmtId="0" fontId="1" fillId="0" borderId="0" xfId="0" applyFont="1" applyBorder="1" applyAlignment="1">
      <alignment horizontal="left" vertical="center" shrinkToFit="1"/>
    </xf>
    <xf numFmtId="0" fontId="1" fillId="0" borderId="107"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36" xfId="0" applyFont="1" applyFill="1" applyBorder="1" applyAlignment="1">
      <alignment horizontal="left" vertical="center"/>
    </xf>
    <xf numFmtId="0" fontId="1" fillId="0" borderId="37" xfId="0" applyFont="1" applyBorder="1" applyAlignment="1">
      <alignment horizontal="left" vertical="center" shrinkToFit="1"/>
    </xf>
    <xf numFmtId="0" fontId="1" fillId="0" borderId="108" xfId="0" applyFont="1" applyBorder="1" applyAlignment="1">
      <alignment horizontal="center" vertical="center" shrinkToFit="1"/>
    </xf>
    <xf numFmtId="0" fontId="1" fillId="0" borderId="109" xfId="0" applyFont="1" applyBorder="1" applyAlignment="1">
      <alignment horizontal="center" vertical="center"/>
    </xf>
    <xf numFmtId="0" fontId="1" fillId="0" borderId="109" xfId="0" quotePrefix="1" applyFont="1" applyBorder="1" applyAlignment="1">
      <alignment horizontal="center" vertical="center"/>
    </xf>
    <xf numFmtId="49" fontId="1" fillId="0" borderId="109" xfId="0" quotePrefix="1" applyNumberFormat="1" applyFont="1" applyBorder="1" applyAlignment="1">
      <alignment horizontal="center" vertical="center"/>
    </xf>
    <xf numFmtId="164" fontId="1" fillId="0" borderId="109" xfId="0" applyNumberFormat="1" applyFont="1" applyFill="1" applyBorder="1" applyAlignment="1">
      <alignment horizontal="center" vertical="center"/>
    </xf>
    <xf numFmtId="164" fontId="1" fillId="0" borderId="110" xfId="0" applyNumberFormat="1" applyFont="1" applyFill="1" applyBorder="1" applyAlignment="1">
      <alignment horizontal="centerContinuous" vertical="center"/>
    </xf>
    <xf numFmtId="164" fontId="1" fillId="0" borderId="111" xfId="0" applyNumberFormat="1" applyFont="1" applyFill="1" applyBorder="1" applyAlignment="1">
      <alignment horizontal="centerContinuous" vertical="center"/>
    </xf>
    <xf numFmtId="0" fontId="1" fillId="0" borderId="112" xfId="0" quotePrefix="1" applyFont="1" applyBorder="1" applyAlignment="1">
      <alignment horizontal="centerContinuous" vertical="center"/>
    </xf>
    <xf numFmtId="0" fontId="1" fillId="0" borderId="71" xfId="0" applyFont="1" applyBorder="1" applyAlignment="1">
      <alignment horizontal="center" vertical="center"/>
    </xf>
    <xf numFmtId="0" fontId="1" fillId="0" borderId="70" xfId="0" quotePrefix="1" applyFont="1" applyBorder="1" applyAlignment="1">
      <alignment horizontal="center" vertical="center"/>
    </xf>
    <xf numFmtId="9" fontId="1" fillId="0" borderId="109" xfId="0" applyNumberFormat="1" applyFont="1" applyFill="1" applyBorder="1" applyAlignment="1">
      <alignment horizontal="center" vertical="center"/>
    </xf>
    <xf numFmtId="0" fontId="4" fillId="0" borderId="0" xfId="0" applyFont="1" applyFill="1" applyBorder="1" applyAlignment="1">
      <alignment vertical="center"/>
    </xf>
    <xf numFmtId="0" fontId="6" fillId="0" borderId="24" xfId="0" applyNumberFormat="1" applyFont="1" applyFill="1" applyBorder="1" applyAlignment="1">
      <alignment horizontal="center" vertical="center" shrinkToFit="1"/>
    </xf>
    <xf numFmtId="0" fontId="1" fillId="0" borderId="47" xfId="0" applyFont="1" applyBorder="1" applyAlignment="1">
      <alignment horizontal="center" vertical="center" shrinkToFit="1"/>
    </xf>
    <xf numFmtId="1" fontId="1" fillId="10" borderId="53" xfId="0" applyNumberFormat="1" applyFont="1" applyFill="1" applyBorder="1" applyAlignment="1">
      <alignment horizontal="center" vertical="center"/>
    </xf>
    <xf numFmtId="0" fontId="1" fillId="10" borderId="74" xfId="0" applyFont="1" applyFill="1" applyBorder="1" applyAlignment="1">
      <alignment horizontal="center" vertical="center" shrinkToFit="1"/>
    </xf>
    <xf numFmtId="0" fontId="1" fillId="10" borderId="75" xfId="0" applyFont="1" applyFill="1" applyBorder="1" applyAlignment="1">
      <alignment horizontal="center" vertical="center"/>
    </xf>
    <xf numFmtId="0" fontId="1" fillId="10" borderId="75" xfId="0" quotePrefix="1" applyFont="1" applyFill="1" applyBorder="1" applyAlignment="1">
      <alignment horizontal="center" vertical="center"/>
    </xf>
    <xf numFmtId="9" fontId="1" fillId="10" borderId="75" xfId="0" applyNumberFormat="1" applyFont="1" applyFill="1" applyBorder="1" applyAlignment="1">
      <alignment horizontal="center" vertical="center"/>
    </xf>
    <xf numFmtId="164" fontId="1" fillId="10" borderId="75" xfId="0" applyNumberFormat="1" applyFont="1" applyFill="1" applyBorder="1" applyAlignment="1">
      <alignment horizontal="center" vertical="center"/>
    </xf>
    <xf numFmtId="164" fontId="1" fillId="10" borderId="76" xfId="0" applyNumberFormat="1" applyFont="1" applyFill="1" applyBorder="1" applyAlignment="1">
      <alignment horizontal="centerContinuous" vertical="center"/>
    </xf>
    <xf numFmtId="164" fontId="4" fillId="10" borderId="77" xfId="0" applyNumberFormat="1" applyFont="1" applyFill="1" applyBorder="1" applyAlignment="1">
      <alignment horizontal="centerContinuous" vertical="center"/>
    </xf>
    <xf numFmtId="0" fontId="4" fillId="10" borderId="78" xfId="0" applyFont="1" applyFill="1" applyBorder="1" applyAlignment="1">
      <alignment horizontal="centerContinuous" vertical="center"/>
    </xf>
    <xf numFmtId="0" fontId="1" fillId="0" borderId="115" xfId="0" applyFont="1" applyFill="1" applyBorder="1" applyAlignment="1">
      <alignment horizontal="center" vertical="center"/>
    </xf>
    <xf numFmtId="0" fontId="1" fillId="0" borderId="116" xfId="0" applyFont="1" applyFill="1" applyBorder="1" applyAlignment="1">
      <alignment horizontal="center" vertical="center"/>
    </xf>
    <xf numFmtId="0" fontId="1" fillId="0" borderId="116" xfId="0" quotePrefix="1" applyFont="1" applyFill="1" applyBorder="1" applyAlignment="1">
      <alignment horizontal="center" vertical="center" wrapText="1"/>
    </xf>
    <xf numFmtId="49" fontId="1" fillId="0" borderId="116" xfId="2" applyNumberFormat="1" applyFont="1" applyFill="1" applyBorder="1" applyAlignment="1">
      <alignment horizontal="center" vertical="center"/>
    </xf>
    <xf numFmtId="0" fontId="1" fillId="8" borderId="116" xfId="0" applyFont="1" applyFill="1" applyBorder="1" applyAlignment="1">
      <alignment horizontal="center" vertical="center" shrinkToFit="1"/>
    </xf>
    <xf numFmtId="164" fontId="1" fillId="8" borderId="116" xfId="0" applyNumberFormat="1" applyFont="1" applyFill="1" applyBorder="1" applyAlignment="1">
      <alignment horizontal="center" vertical="center"/>
    </xf>
    <xf numFmtId="0" fontId="4" fillId="0" borderId="51" xfId="0" quotePrefix="1" applyFont="1" applyBorder="1" applyAlignment="1">
      <alignment horizontal="center" vertical="center" wrapText="1"/>
    </xf>
    <xf numFmtId="49" fontId="1" fillId="0" borderId="51" xfId="2" applyNumberFormat="1" applyFont="1" applyBorder="1" applyAlignment="1">
      <alignment horizontal="center" vertical="center"/>
    </xf>
    <xf numFmtId="0" fontId="1" fillId="0" borderId="51" xfId="0" applyFont="1" applyBorder="1" applyAlignment="1">
      <alignment horizontal="center" vertical="center" shrinkToFit="1"/>
    </xf>
    <xf numFmtId="164" fontId="4" fillId="0" borderId="52" xfId="0" applyNumberFormat="1" applyFont="1" applyFill="1" applyBorder="1" applyAlignment="1">
      <alignment horizontal="center" vertical="center"/>
    </xf>
    <xf numFmtId="0" fontId="3" fillId="0" borderId="29" xfId="0" applyFont="1" applyBorder="1" applyAlignment="1">
      <alignment horizontal="center" vertical="center"/>
    </xf>
    <xf numFmtId="0" fontId="1" fillId="0" borderId="116" xfId="0" quotePrefix="1" applyFont="1" applyBorder="1" applyAlignment="1">
      <alignment horizontal="center" vertical="center"/>
    </xf>
    <xf numFmtId="164" fontId="4" fillId="0" borderId="116" xfId="0" applyNumberFormat="1" applyFont="1" applyFill="1" applyBorder="1" applyAlignment="1">
      <alignment horizontal="center" vertical="center"/>
    </xf>
    <xf numFmtId="0" fontId="53" fillId="2" borderId="83" xfId="0" applyFont="1" applyFill="1" applyBorder="1" applyAlignment="1">
      <alignment horizontal="center" vertical="center"/>
    </xf>
    <xf numFmtId="164" fontId="1" fillId="0" borderId="109" xfId="0" applyNumberFormat="1" applyFont="1" applyBorder="1" applyAlignment="1">
      <alignment horizontal="center" vertical="center"/>
    </xf>
    <xf numFmtId="164" fontId="4" fillId="0" borderId="110" xfId="0" applyNumberFormat="1" applyFont="1" applyFill="1" applyBorder="1" applyAlignment="1">
      <alignment horizontal="center" vertical="center"/>
    </xf>
    <xf numFmtId="1" fontId="44" fillId="9" borderId="110" xfId="0" applyNumberFormat="1" applyFont="1" applyFill="1" applyBorder="1" applyAlignment="1">
      <alignment horizontal="center" vertical="center"/>
    </xf>
    <xf numFmtId="1" fontId="1" fillId="0" borderId="109" xfId="0" applyNumberFormat="1" applyFont="1" applyBorder="1" applyAlignment="1">
      <alignment horizontal="center" vertical="center"/>
    </xf>
    <xf numFmtId="0" fontId="1" fillId="0" borderId="108" xfId="0" applyFont="1" applyFill="1" applyBorder="1" applyAlignment="1">
      <alignment horizontal="center" vertical="center"/>
    </xf>
    <xf numFmtId="0" fontId="1" fillId="0" borderId="109" xfId="0" applyFont="1" applyFill="1" applyBorder="1" applyAlignment="1">
      <alignment horizontal="center" vertical="center"/>
    </xf>
    <xf numFmtId="0" fontId="1" fillId="0" borderId="109" xfId="0" quotePrefix="1" applyFont="1" applyFill="1" applyBorder="1" applyAlignment="1">
      <alignment horizontal="center" vertical="center" wrapText="1"/>
    </xf>
    <xf numFmtId="49" fontId="1" fillId="0" borderId="109" xfId="2" applyNumberFormat="1" applyFont="1" applyFill="1" applyBorder="1" applyAlignment="1">
      <alignment horizontal="center" vertical="center"/>
    </xf>
    <xf numFmtId="164" fontId="1" fillId="8" borderId="70" xfId="0" applyNumberFormat="1" applyFont="1" applyFill="1" applyBorder="1" applyAlignment="1">
      <alignment horizontal="center" vertical="center"/>
    </xf>
    <xf numFmtId="1" fontId="1" fillId="0" borderId="119" xfId="0" applyNumberFormat="1" applyFont="1" applyFill="1" applyBorder="1" applyAlignment="1">
      <alignment horizontal="center" vertical="center"/>
    </xf>
    <xf numFmtId="1" fontId="1" fillId="0" borderId="59" xfId="0" applyNumberFormat="1" applyFont="1" applyFill="1" applyBorder="1" applyAlignment="1">
      <alignment horizontal="center" vertical="center"/>
    </xf>
    <xf numFmtId="1" fontId="1" fillId="0" borderId="94" xfId="0" applyNumberFormat="1" applyFont="1" applyFill="1" applyBorder="1" applyAlignment="1">
      <alignment horizontal="center" vertical="center"/>
    </xf>
    <xf numFmtId="0" fontId="1" fillId="0" borderId="73" xfId="0" quotePrefix="1" applyFont="1" applyFill="1" applyBorder="1" applyAlignment="1">
      <alignment horizontal="center" vertical="center"/>
    </xf>
    <xf numFmtId="0" fontId="1" fillId="0" borderId="97" xfId="0" quotePrefix="1" applyFont="1" applyFill="1" applyBorder="1" applyAlignment="1">
      <alignment horizontal="center" vertical="center"/>
    </xf>
    <xf numFmtId="0" fontId="1" fillId="0" borderId="117" xfId="0" applyFont="1" applyFill="1" applyBorder="1" applyAlignment="1">
      <alignment horizontal="center" vertical="center"/>
    </xf>
    <xf numFmtId="0" fontId="1" fillId="0" borderId="118" xfId="0" applyFont="1" applyFill="1" applyBorder="1" applyAlignment="1">
      <alignment horizontal="center" vertical="center"/>
    </xf>
    <xf numFmtId="0" fontId="1" fillId="0" borderId="73" xfId="0" applyFont="1" applyFill="1" applyBorder="1" applyAlignment="1">
      <alignment horizontal="center" vertical="center"/>
    </xf>
    <xf numFmtId="0" fontId="4" fillId="0" borderId="29" xfId="0" applyFont="1" applyFill="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49" fontId="1" fillId="0" borderId="75" xfId="0" applyNumberFormat="1" applyFont="1" applyBorder="1" applyAlignment="1">
      <alignment horizontal="center" vertical="center"/>
    </xf>
    <xf numFmtId="164" fontId="1" fillId="0" borderId="76" xfId="0" applyNumberFormat="1" applyFont="1" applyFill="1" applyBorder="1" applyAlignment="1">
      <alignment horizontal="center" vertical="center"/>
    </xf>
    <xf numFmtId="1" fontId="44" fillId="9" borderId="76" xfId="0" applyNumberFormat="1" applyFont="1" applyFill="1" applyBorder="1" applyAlignment="1">
      <alignment horizontal="center" vertical="center"/>
    </xf>
    <xf numFmtId="1" fontId="1" fillId="0" borderId="75" xfId="0" applyNumberFormat="1" applyFont="1" applyFill="1" applyBorder="1" applyAlignment="1">
      <alignment horizontal="center" vertical="center"/>
    </xf>
    <xf numFmtId="0" fontId="1" fillId="0" borderId="39" xfId="0" applyFont="1" applyBorder="1" applyAlignment="1">
      <alignment horizontal="left" vertical="center"/>
    </xf>
    <xf numFmtId="0" fontId="1" fillId="0" borderId="41" xfId="0" applyFont="1" applyBorder="1" applyAlignment="1">
      <alignment horizontal="left" vertical="center" shrinkToFit="1"/>
    </xf>
    <xf numFmtId="0" fontId="1" fillId="0" borderId="0" xfId="0" applyFont="1" applyBorder="1" applyAlignment="1">
      <alignment vertical="center" wrapText="1"/>
    </xf>
    <xf numFmtId="0" fontId="3" fillId="0" borderId="121" xfId="0" applyFont="1" applyBorder="1" applyAlignment="1">
      <alignment horizontal="right" vertical="center"/>
    </xf>
    <xf numFmtId="0" fontId="1" fillId="0" borderId="122" xfId="0" applyFont="1" applyBorder="1" applyAlignment="1">
      <alignment horizontal="center" vertical="center" wrapText="1"/>
    </xf>
    <xf numFmtId="0" fontId="1" fillId="0" borderId="123" xfId="0" applyFont="1" applyBorder="1" applyAlignment="1">
      <alignment horizontal="center" vertical="center" wrapText="1"/>
    </xf>
    <xf numFmtId="0" fontId="1" fillId="11" borderId="124" xfId="0" applyFont="1" applyFill="1" applyBorder="1" applyAlignment="1">
      <alignment horizontal="center" vertical="center" wrapText="1"/>
    </xf>
    <xf numFmtId="0" fontId="3" fillId="0" borderId="30" xfId="0" applyFont="1" applyBorder="1" applyAlignment="1">
      <alignment horizontal="right" vertical="center"/>
    </xf>
    <xf numFmtId="0" fontId="1" fillId="0" borderId="104" xfId="0" applyFont="1" applyBorder="1" applyAlignment="1">
      <alignment horizontal="center" vertical="center" wrapText="1"/>
    </xf>
    <xf numFmtId="0" fontId="1" fillId="11" borderId="37" xfId="0" applyFont="1" applyFill="1" applyBorder="1" applyAlignment="1">
      <alignment horizontal="center" vertical="center" wrapText="1"/>
    </xf>
    <xf numFmtId="0" fontId="3" fillId="0" borderId="125" xfId="0" applyFont="1" applyBorder="1" applyAlignment="1">
      <alignment horizontal="right" vertical="center"/>
    </xf>
    <xf numFmtId="0" fontId="3" fillId="11" borderId="127" xfId="0" applyFont="1" applyFill="1" applyBorder="1" applyAlignment="1">
      <alignment horizontal="center" vertical="center" wrapText="1"/>
    </xf>
    <xf numFmtId="0" fontId="3" fillId="0" borderId="59" xfId="0" applyFont="1" applyBorder="1" applyAlignment="1">
      <alignment horizontal="right" vertical="center"/>
    </xf>
    <xf numFmtId="49" fontId="1" fillId="0" borderId="102" xfId="0" applyNumberFormat="1" applyFont="1" applyBorder="1" applyAlignment="1">
      <alignment horizontal="center" vertical="center" wrapText="1"/>
    </xf>
    <xf numFmtId="49" fontId="1" fillId="11" borderId="46" xfId="0" applyNumberFormat="1" applyFont="1" applyFill="1" applyBorder="1" applyAlignment="1">
      <alignment horizontal="center" vertical="center" wrapText="1"/>
    </xf>
    <xf numFmtId="0" fontId="3" fillId="0" borderId="53" xfId="0" applyFont="1" applyBorder="1" applyAlignment="1">
      <alignment horizontal="right" vertical="center"/>
    </xf>
    <xf numFmtId="0" fontId="3" fillId="11" borderId="45" xfId="0" applyFont="1" applyFill="1" applyBorder="1" applyAlignment="1">
      <alignment horizontal="center" vertical="center" wrapText="1"/>
    </xf>
    <xf numFmtId="0" fontId="1" fillId="0" borderId="0" xfId="0" applyFont="1" applyFill="1" applyBorder="1" applyAlignment="1">
      <alignment vertical="center" wrapText="1"/>
    </xf>
    <xf numFmtId="0" fontId="11" fillId="9" borderId="93" xfId="5" applyFont="1" applyFill="1" applyBorder="1" applyAlignment="1">
      <alignment horizontal="centerContinuous" vertical="center" wrapText="1"/>
    </xf>
    <xf numFmtId="0" fontId="11" fillId="9" borderId="92" xfId="5" applyFont="1" applyFill="1" applyBorder="1" applyAlignment="1">
      <alignment horizontal="center" vertical="center" wrapText="1"/>
    </xf>
    <xf numFmtId="0" fontId="20" fillId="9" borderId="92" xfId="5" applyFont="1" applyFill="1" applyBorder="1" applyAlignment="1">
      <alignment horizontal="center" vertical="center" wrapText="1"/>
    </xf>
    <xf numFmtId="0" fontId="20" fillId="9" borderId="92" xfId="5" applyNumberFormat="1" applyFont="1" applyFill="1" applyBorder="1" applyAlignment="1">
      <alignment horizontal="center" vertical="center" wrapText="1"/>
    </xf>
    <xf numFmtId="0" fontId="11" fillId="9" borderId="92" xfId="0" applyFont="1" applyFill="1" applyBorder="1" applyAlignment="1">
      <alignment horizontal="center" vertical="center" wrapText="1"/>
    </xf>
    <xf numFmtId="0" fontId="11" fillId="9" borderId="91" xfId="0" applyNumberFormat="1" applyFont="1" applyFill="1" applyBorder="1" applyAlignment="1">
      <alignment horizontal="centerContinuous" vertical="center" wrapText="1"/>
    </xf>
    <xf numFmtId="0" fontId="56" fillId="0" borderId="20" xfId="5" applyFont="1" applyBorder="1" applyAlignment="1">
      <alignment horizontal="centerContinuous" wrapText="1"/>
    </xf>
    <xf numFmtId="0" fontId="57" fillId="0" borderId="1" xfId="5" applyFont="1" applyFill="1" applyBorder="1" applyAlignment="1">
      <alignment horizontal="center" shrinkToFit="1"/>
    </xf>
    <xf numFmtId="0" fontId="58" fillId="2" borderId="82" xfId="0" applyFont="1" applyFill="1" applyBorder="1" applyAlignment="1">
      <alignment horizontal="right" vertical="center"/>
    </xf>
    <xf numFmtId="0" fontId="58" fillId="2" borderId="83" xfId="0" applyFont="1" applyFill="1" applyBorder="1" applyAlignment="1">
      <alignment horizontal="left" vertical="center"/>
    </xf>
    <xf numFmtId="0" fontId="59" fillId="2" borderId="84" xfId="1" applyFont="1" applyFill="1" applyBorder="1" applyAlignment="1" applyProtection="1">
      <alignment horizontal="right" vertical="center"/>
    </xf>
    <xf numFmtId="1" fontId="1" fillId="12" borderId="81" xfId="0" applyNumberFormat="1" applyFont="1" applyFill="1" applyBorder="1" applyAlignment="1">
      <alignment horizontal="center" vertical="center"/>
    </xf>
    <xf numFmtId="1" fontId="1" fillId="12" borderId="59" xfId="0" applyNumberFormat="1" applyFont="1" applyFill="1" applyBorder="1" applyAlignment="1">
      <alignment horizontal="center" vertical="center"/>
    </xf>
    <xf numFmtId="0" fontId="1" fillId="12" borderId="23" xfId="0" applyNumberFormat="1" applyFont="1" applyFill="1" applyBorder="1" applyAlignment="1">
      <alignment horizontal="center" vertical="center"/>
    </xf>
    <xf numFmtId="0" fontId="1" fillId="12" borderId="24" xfId="0" applyFont="1" applyFill="1" applyBorder="1" applyAlignment="1">
      <alignment horizontal="center" vertical="center"/>
    </xf>
    <xf numFmtId="0" fontId="1" fillId="12" borderId="13" xfId="0" applyFont="1" applyFill="1" applyBorder="1" applyAlignment="1">
      <alignment horizontal="center" vertical="center"/>
    </xf>
    <xf numFmtId="0" fontId="1" fillId="12" borderId="22" xfId="0" applyFont="1" applyFill="1" applyBorder="1" applyAlignment="1">
      <alignment horizontal="center" vertical="center"/>
    </xf>
    <xf numFmtId="49" fontId="1" fillId="12" borderId="22" xfId="2" applyNumberFormat="1" applyFont="1" applyFill="1" applyBorder="1" applyAlignment="1">
      <alignment horizontal="center" vertical="center"/>
    </xf>
    <xf numFmtId="0" fontId="1" fillId="12" borderId="22" xfId="0" applyFont="1" applyFill="1" applyBorder="1" applyAlignment="1">
      <alignment horizontal="center" vertical="center" shrinkToFit="1"/>
    </xf>
    <xf numFmtId="164" fontId="1" fillId="12" borderId="22" xfId="0" applyNumberFormat="1" applyFont="1" applyFill="1" applyBorder="1" applyAlignment="1">
      <alignment horizontal="center" vertical="center"/>
    </xf>
    <xf numFmtId="164" fontId="1" fillId="12" borderId="23" xfId="0" applyNumberFormat="1" applyFont="1" applyFill="1" applyBorder="1" applyAlignment="1">
      <alignment horizontal="center" vertical="center"/>
    </xf>
    <xf numFmtId="0" fontId="1" fillId="12" borderId="22" xfId="2" applyNumberFormat="1" applyFont="1" applyFill="1" applyBorder="1" applyAlignment="1">
      <alignment horizontal="center" vertical="center"/>
    </xf>
    <xf numFmtId="0" fontId="20" fillId="7" borderId="128" xfId="0" applyFont="1" applyFill="1" applyBorder="1" applyAlignment="1">
      <alignment horizontal="centerContinuous" vertical="center"/>
    </xf>
    <xf numFmtId="0" fontId="20" fillId="7" borderId="129" xfId="0" applyFont="1" applyFill="1" applyBorder="1" applyAlignment="1">
      <alignment horizontal="center" vertical="center"/>
    </xf>
    <xf numFmtId="1" fontId="20" fillId="7" borderId="27" xfId="0" applyNumberFormat="1" applyFont="1" applyFill="1" applyBorder="1" applyAlignment="1">
      <alignment horizontal="center" vertical="center"/>
    </xf>
    <xf numFmtId="0" fontId="1" fillId="0" borderId="34" xfId="0" applyFont="1" applyFill="1" applyBorder="1" applyAlignment="1">
      <alignment horizontal="centerContinuous" vertical="center" shrinkToFit="1"/>
    </xf>
    <xf numFmtId="0" fontId="20" fillId="0" borderId="113" xfId="0" applyFont="1" applyFill="1" applyBorder="1" applyAlignment="1">
      <alignment horizontal="centerContinuous" vertical="center"/>
    </xf>
    <xf numFmtId="0" fontId="20" fillId="0" borderId="104" xfId="0" applyFont="1" applyFill="1" applyBorder="1" applyAlignment="1">
      <alignment horizontal="centerContinuous" vertical="center"/>
    </xf>
    <xf numFmtId="0" fontId="1" fillId="0" borderId="36"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114" xfId="0" applyFont="1" applyFill="1" applyBorder="1" applyAlignment="1">
      <alignment horizontal="centerContinuous" vertical="center"/>
    </xf>
    <xf numFmtId="1" fontId="1" fillId="0" borderId="94" xfId="0" applyNumberFormat="1" applyFont="1" applyBorder="1" applyAlignment="1">
      <alignment horizontal="center" vertical="center"/>
    </xf>
    <xf numFmtId="0" fontId="1" fillId="0" borderId="42" xfId="0" applyFont="1" applyFill="1" applyBorder="1" applyAlignment="1">
      <alignment horizontal="centerContinuous" vertical="center" shrinkToFit="1"/>
    </xf>
    <xf numFmtId="0" fontId="1" fillId="0" borderId="77" xfId="0" applyFont="1" applyFill="1" applyBorder="1" applyAlignment="1">
      <alignment horizontal="centerContinuous" vertical="center"/>
    </xf>
    <xf numFmtId="0" fontId="1" fillId="0" borderId="106" xfId="0" applyFont="1" applyFill="1" applyBorder="1" applyAlignment="1">
      <alignment horizontal="centerContinuous" vertical="center"/>
    </xf>
    <xf numFmtId="49" fontId="1" fillId="0" borderId="44" xfId="0" applyNumberFormat="1" applyFont="1" applyFill="1" applyBorder="1" applyAlignment="1">
      <alignment horizontal="center" vertical="center"/>
    </xf>
    <xf numFmtId="49" fontId="1" fillId="0" borderId="43" xfId="0" applyNumberFormat="1" applyFont="1" applyFill="1" applyBorder="1" applyAlignment="1">
      <alignment horizontal="center" vertical="center"/>
    </xf>
    <xf numFmtId="0" fontId="1" fillId="0" borderId="78" xfId="0" applyFont="1" applyFill="1" applyBorder="1" applyAlignment="1">
      <alignment horizontal="centerContinuous" vertical="center"/>
    </xf>
    <xf numFmtId="1" fontId="1" fillId="0" borderId="53" xfId="0" applyNumberFormat="1" applyFont="1" applyBorder="1" applyAlignment="1">
      <alignment horizontal="center" vertical="center"/>
    </xf>
    <xf numFmtId="1" fontId="44" fillId="9" borderId="130" xfId="0" applyNumberFormat="1" applyFont="1" applyFill="1" applyBorder="1" applyAlignment="1">
      <alignment horizontal="center" vertical="center"/>
    </xf>
    <xf numFmtId="1" fontId="1" fillId="0" borderId="116" xfId="0" applyNumberFormat="1" applyFont="1" applyBorder="1" applyAlignment="1">
      <alignment horizontal="center" vertical="center"/>
    </xf>
    <xf numFmtId="1" fontId="1" fillId="0" borderId="59" xfId="0" applyNumberFormat="1" applyFont="1" applyBorder="1" applyAlignment="1">
      <alignment horizontal="center" vertical="center"/>
    </xf>
    <xf numFmtId="0" fontId="1" fillId="0" borderId="109" xfId="0" applyFont="1" applyFill="1" applyBorder="1" applyAlignment="1">
      <alignment horizontal="center" vertical="center" shrinkToFit="1"/>
    </xf>
    <xf numFmtId="0" fontId="6" fillId="0" borderId="14" xfId="0" applyFont="1" applyFill="1" applyBorder="1" applyAlignment="1">
      <alignment horizontal="center" vertical="center"/>
    </xf>
    <xf numFmtId="0" fontId="25" fillId="0" borderId="14" xfId="0" applyNumberFormat="1" applyFont="1" applyFill="1" applyBorder="1" applyAlignment="1">
      <alignment horizontal="center" vertical="center"/>
    </xf>
    <xf numFmtId="0" fontId="6" fillId="0" borderId="3" xfId="0" quotePrefix="1" applyFont="1" applyFill="1" applyBorder="1" applyAlignment="1">
      <alignment horizontal="center" vertical="center"/>
    </xf>
    <xf numFmtId="49" fontId="25" fillId="0" borderId="14" xfId="0" applyNumberFormat="1" applyFont="1" applyFill="1" applyBorder="1" applyAlignment="1">
      <alignment horizontal="center" vertical="center"/>
    </xf>
    <xf numFmtId="49" fontId="25" fillId="0" borderId="3" xfId="0" applyNumberFormat="1" applyFont="1" applyFill="1" applyBorder="1" applyAlignment="1">
      <alignment horizontal="center" vertical="center"/>
    </xf>
    <xf numFmtId="0" fontId="8" fillId="0" borderId="3" xfId="0" quotePrefix="1" applyFont="1" applyFill="1" applyBorder="1" applyAlignment="1">
      <alignment horizontal="center" vertical="center"/>
    </xf>
    <xf numFmtId="0" fontId="6" fillId="0" borderId="3" xfId="0" applyFont="1" applyFill="1" applyBorder="1" applyAlignment="1">
      <alignment horizontal="center" vertical="center"/>
    </xf>
    <xf numFmtId="0" fontId="6" fillId="0" borderId="21" xfId="0" quotePrefix="1" applyFont="1" applyFill="1" applyBorder="1" applyAlignment="1">
      <alignment horizontal="center" vertical="center"/>
    </xf>
    <xf numFmtId="49" fontId="25" fillId="0" borderId="21" xfId="0" applyNumberFormat="1" applyFont="1" applyFill="1" applyBorder="1" applyAlignment="1">
      <alignment horizontal="center" vertical="center"/>
    </xf>
    <xf numFmtId="0" fontId="6" fillId="0" borderId="59" xfId="0" quotePrefix="1" applyFont="1" applyFill="1" applyBorder="1" applyAlignment="1">
      <alignment horizontal="centerContinuous" vertical="center"/>
    </xf>
    <xf numFmtId="0" fontId="3" fillId="0" borderId="15" xfId="0" applyFont="1" applyBorder="1" applyAlignment="1">
      <alignment horizontal="center" vertical="center"/>
    </xf>
    <xf numFmtId="0" fontId="1" fillId="0" borderId="9" xfId="0" applyFont="1" applyBorder="1" applyAlignment="1">
      <alignment horizontal="centerContinuous" vertical="center" wrapText="1"/>
    </xf>
    <xf numFmtId="0" fontId="3" fillId="0" borderId="52" xfId="0" applyFont="1" applyFill="1" applyBorder="1" applyAlignment="1">
      <alignment horizontal="centerContinuous" vertical="center" wrapText="1"/>
    </xf>
    <xf numFmtId="0" fontId="1" fillId="0" borderId="9" xfId="0" applyFont="1" applyFill="1" applyBorder="1" applyAlignment="1">
      <alignment horizontal="centerContinuous" vertical="center" wrapText="1"/>
    </xf>
    <xf numFmtId="0" fontId="1" fillId="0" borderId="10" xfId="0" applyFont="1" applyFill="1" applyBorder="1" applyAlignment="1">
      <alignment horizontal="centerContinuous" vertical="center" wrapText="1"/>
    </xf>
    <xf numFmtId="0" fontId="6" fillId="0" borderId="81" xfId="0" applyFont="1" applyFill="1" applyBorder="1" applyAlignment="1">
      <alignment horizontal="centerContinuous" vertical="center"/>
    </xf>
    <xf numFmtId="0" fontId="47" fillId="0" borderId="16" xfId="0" applyFont="1" applyBorder="1" applyAlignment="1">
      <alignment horizontal="center" vertical="center"/>
    </xf>
    <xf numFmtId="0" fontId="47" fillId="0" borderId="98" xfId="0" applyFont="1" applyBorder="1" applyAlignment="1">
      <alignment horizontal="center" vertical="center"/>
    </xf>
    <xf numFmtId="0" fontId="47" fillId="0" borderId="99" xfId="0" applyFont="1" applyBorder="1" applyAlignment="1">
      <alignment horizontal="center" vertical="center"/>
    </xf>
    <xf numFmtId="0" fontId="47" fillId="0" borderId="100" xfId="0" applyFont="1" applyBorder="1" applyAlignment="1">
      <alignment horizontal="center" vertical="center"/>
    </xf>
    <xf numFmtId="0" fontId="6" fillId="0" borderId="59" xfId="0" applyFont="1" applyFill="1" applyBorder="1" applyAlignment="1">
      <alignment horizontal="centerContinuous" vertical="center"/>
    </xf>
    <xf numFmtId="0" fontId="0" fillId="0" borderId="101" xfId="0" applyBorder="1" applyAlignment="1">
      <alignment horizontal="center" vertical="center"/>
    </xf>
    <xf numFmtId="1" fontId="0" fillId="0" borderId="102" xfId="0" applyNumberFormat="1" applyBorder="1" applyAlignment="1">
      <alignment horizontal="center" vertical="center"/>
    </xf>
    <xf numFmtId="0" fontId="0" fillId="0" borderId="35" xfId="0" applyBorder="1" applyAlignment="1">
      <alignment horizontal="center" vertical="center"/>
    </xf>
    <xf numFmtId="0" fontId="0" fillId="8" borderId="49" xfId="0" applyFill="1" applyBorder="1" applyAlignment="1">
      <alignment horizontal="center" vertical="center"/>
    </xf>
    <xf numFmtId="0" fontId="0" fillId="8" borderId="46" xfId="0" applyFill="1" applyBorder="1" applyAlignment="1">
      <alignment horizontal="center" vertical="center"/>
    </xf>
    <xf numFmtId="0" fontId="0" fillId="0" borderId="103" xfId="0" applyBorder="1" applyAlignment="1">
      <alignment horizontal="center" vertical="center"/>
    </xf>
    <xf numFmtId="1" fontId="0" fillId="0" borderId="104" xfId="0" applyNumberFormat="1" applyBorder="1" applyAlignment="1">
      <alignment horizontal="center" vertical="center"/>
    </xf>
    <xf numFmtId="0" fontId="0" fillId="8" borderId="35" xfId="0" applyFill="1" applyBorder="1" applyAlignment="1">
      <alignment horizontal="center" vertical="center"/>
    </xf>
    <xf numFmtId="0" fontId="0" fillId="8" borderId="37" xfId="0" applyFill="1" applyBorder="1" applyAlignment="1">
      <alignment horizontal="center" vertical="center"/>
    </xf>
    <xf numFmtId="0" fontId="0" fillId="8" borderId="45" xfId="0" applyFill="1" applyBorder="1" applyAlignment="1">
      <alignment horizontal="center" vertical="center"/>
    </xf>
    <xf numFmtId="0" fontId="6" fillId="0" borderId="22" xfId="0" applyFont="1" applyBorder="1" applyAlignment="1">
      <alignment horizontal="center" vertical="center" shrinkToFit="1"/>
    </xf>
    <xf numFmtId="0" fontId="6" fillId="0" borderId="53" xfId="0" quotePrefix="1" applyFont="1" applyFill="1" applyBorder="1" applyAlignment="1">
      <alignment horizontal="centerContinuous" vertical="center"/>
    </xf>
    <xf numFmtId="0" fontId="1" fillId="0" borderId="131" xfId="0" applyFont="1" applyFill="1" applyBorder="1" applyAlignment="1">
      <alignment horizontal="centerContinuous" vertical="center"/>
    </xf>
    <xf numFmtId="0" fontId="4" fillId="0" borderId="120" xfId="0" applyFont="1" applyFill="1" applyBorder="1" applyAlignment="1">
      <alignment horizontal="centerContinuous" vertical="center"/>
    </xf>
    <xf numFmtId="0" fontId="1" fillId="0" borderId="70" xfId="0" quotePrefix="1" applyFont="1" applyFill="1" applyBorder="1" applyAlignment="1">
      <alignment horizontal="center" vertical="center"/>
    </xf>
    <xf numFmtId="0" fontId="4" fillId="0" borderId="70" xfId="0" applyFont="1" applyFill="1" applyBorder="1" applyAlignment="1">
      <alignment horizontal="center" vertical="center"/>
    </xf>
    <xf numFmtId="9" fontId="4" fillId="0" borderId="70" xfId="0" applyNumberFormat="1" applyFont="1" applyFill="1" applyBorder="1" applyAlignment="1">
      <alignment horizontal="center" vertical="center"/>
    </xf>
    <xf numFmtId="164" fontId="4" fillId="0" borderId="70" xfId="0" applyNumberFormat="1" applyFont="1" applyFill="1" applyBorder="1" applyAlignment="1">
      <alignment horizontal="center" vertical="center"/>
    </xf>
    <xf numFmtId="164" fontId="4" fillId="0" borderId="72" xfId="0" applyNumberFormat="1" applyFont="1" applyFill="1" applyBorder="1" applyAlignment="1">
      <alignment horizontal="centerContinuous" vertical="center"/>
    </xf>
    <xf numFmtId="164" fontId="1" fillId="0" borderId="113" xfId="0" applyNumberFormat="1" applyFont="1" applyFill="1" applyBorder="1" applyAlignment="1">
      <alignment horizontal="centerContinuous" vertical="center"/>
    </xf>
    <xf numFmtId="0" fontId="4" fillId="0" borderId="114" xfId="0" quotePrefix="1" applyFont="1" applyFill="1" applyBorder="1" applyAlignment="1">
      <alignment horizontal="centerContinuous" vertical="center"/>
    </xf>
    <xf numFmtId="0" fontId="5" fillId="4" borderId="132" xfId="0" applyFont="1" applyFill="1" applyBorder="1" applyAlignment="1">
      <alignment horizontal="right" vertical="center"/>
    </xf>
    <xf numFmtId="1" fontId="6" fillId="0" borderId="133" xfId="0" applyNumberFormat="1" applyFont="1" applyFill="1" applyBorder="1" applyAlignment="1">
      <alignment horizontal="centerContinuous" vertical="center"/>
    </xf>
    <xf numFmtId="1" fontId="1" fillId="0" borderId="134" xfId="0" applyNumberFormat="1" applyFont="1" applyFill="1" applyBorder="1" applyAlignment="1">
      <alignment horizontal="centerContinuous" vertical="center"/>
    </xf>
    <xf numFmtId="0" fontId="5" fillId="4" borderId="135" xfId="0" applyFont="1" applyFill="1" applyBorder="1" applyAlignment="1">
      <alignment horizontal="right" vertical="center"/>
    </xf>
    <xf numFmtId="49" fontId="6" fillId="0" borderId="136" xfId="0" applyNumberFormat="1" applyFont="1" applyFill="1" applyBorder="1" applyAlignment="1">
      <alignment horizontal="center" vertical="center"/>
    </xf>
    <xf numFmtId="0" fontId="55" fillId="12" borderId="65" xfId="0" applyFont="1" applyFill="1" applyBorder="1" applyAlignment="1">
      <alignment horizontal="center" vertical="center"/>
    </xf>
    <xf numFmtId="0" fontId="55" fillId="12" borderId="87" xfId="0" applyFont="1" applyFill="1" applyBorder="1" applyAlignment="1">
      <alignment horizontal="centerContinuous" vertical="center"/>
    </xf>
    <xf numFmtId="0" fontId="55" fillId="12" borderId="86" xfId="0" applyFont="1" applyFill="1" applyBorder="1" applyAlignment="1">
      <alignment horizontal="centerContinuous" vertical="center"/>
    </xf>
    <xf numFmtId="0" fontId="55" fillId="12" borderId="88" xfId="0" applyFont="1" applyFill="1" applyBorder="1" applyAlignment="1">
      <alignment horizontal="centerContinuous" vertical="center"/>
    </xf>
    <xf numFmtId="0" fontId="61" fillId="0" borderId="5" xfId="0" applyFont="1" applyBorder="1" applyAlignment="1">
      <alignment horizontal="centerContinuous" vertical="center"/>
    </xf>
    <xf numFmtId="0" fontId="61" fillId="0" borderId="6" xfId="0" applyFont="1" applyBorder="1" applyAlignment="1">
      <alignment horizontal="centerContinuous" vertical="center"/>
    </xf>
    <xf numFmtId="0" fontId="62" fillId="0" borderId="6" xfId="0" applyFont="1" applyBorder="1" applyAlignment="1">
      <alignment horizontal="centerContinuous" vertical="center" wrapText="1"/>
    </xf>
    <xf numFmtId="0" fontId="62" fillId="0" borderId="7" xfId="0" applyFont="1" applyBorder="1" applyAlignment="1">
      <alignment horizontal="centerContinuous" vertical="center" wrapText="1"/>
    </xf>
    <xf numFmtId="0" fontId="61" fillId="0" borderId="8" xfId="0" applyFont="1" applyBorder="1" applyAlignment="1">
      <alignment horizontal="center" vertical="center"/>
    </xf>
    <xf numFmtId="0" fontId="61" fillId="0" borderId="9" xfId="0" applyFont="1" applyBorder="1" applyAlignment="1">
      <alignment horizontal="center" vertical="center"/>
    </xf>
    <xf numFmtId="0" fontId="61" fillId="0" borderId="10" xfId="0" applyFont="1" applyBorder="1" applyAlignment="1">
      <alignment horizontal="center" vertical="center"/>
    </xf>
    <xf numFmtId="0" fontId="63" fillId="0" borderId="27" xfId="0" applyFont="1" applyBorder="1" applyAlignment="1">
      <alignment horizontal="centerContinuous" vertical="center"/>
    </xf>
    <xf numFmtId="0" fontId="55" fillId="12" borderId="106" xfId="0" applyFont="1" applyFill="1" applyBorder="1" applyAlignment="1">
      <alignment horizontal="center" vertical="center" wrapText="1"/>
    </xf>
    <xf numFmtId="0" fontId="55" fillId="12" borderId="126" xfId="0" applyFont="1" applyFill="1" applyBorder="1" applyAlignment="1">
      <alignment horizontal="center" vertical="center" wrapText="1"/>
    </xf>
    <xf numFmtId="0" fontId="1" fillId="0" borderId="35" xfId="0" applyFont="1" applyBorder="1" applyAlignment="1">
      <alignment horizontal="center" vertical="center"/>
    </xf>
    <xf numFmtId="0" fontId="4" fillId="0" borderId="50" xfId="0" applyFont="1" applyBorder="1" applyAlignment="1">
      <alignment horizontal="center" vertical="center"/>
    </xf>
    <xf numFmtId="0" fontId="4" fillId="0" borderId="44" xfId="0" applyFont="1" applyBorder="1" applyAlignment="1">
      <alignment horizontal="center" vertical="center"/>
    </xf>
    <xf numFmtId="0" fontId="1" fillId="0" borderId="95" xfId="0" applyFont="1" applyBorder="1" applyAlignment="1">
      <alignment horizontal="center" vertical="center"/>
    </xf>
    <xf numFmtId="164" fontId="4" fillId="0" borderId="137" xfId="0" applyNumberFormat="1" applyFont="1" applyFill="1" applyBorder="1" applyAlignment="1">
      <alignment horizontal="centerContinuous" vertical="center"/>
    </xf>
    <xf numFmtId="164" fontId="1" fillId="0" borderId="138" xfId="0" applyNumberFormat="1" applyFont="1" applyFill="1" applyBorder="1" applyAlignment="1">
      <alignment horizontal="centerContinuous" vertical="center"/>
    </xf>
    <xf numFmtId="0" fontId="4" fillId="0" borderId="139" xfId="0" quotePrefix="1" applyFont="1" applyFill="1" applyBorder="1" applyAlignment="1">
      <alignment horizontal="centerContinuous" vertical="center"/>
    </xf>
    <xf numFmtId="0" fontId="24" fillId="0" borderId="20"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11" fillId="3" borderId="60" xfId="0" applyFont="1" applyFill="1" applyBorder="1" applyAlignment="1">
      <alignment horizontal="centerContinuous" vertical="center"/>
    </xf>
    <xf numFmtId="0" fontId="11" fillId="3" borderId="32" xfId="0" applyFont="1" applyFill="1" applyBorder="1" applyAlignment="1">
      <alignment horizontal="center" vertical="center"/>
    </xf>
    <xf numFmtId="0" fontId="11" fillId="3" borderId="32" xfId="0" applyNumberFormat="1" applyFont="1" applyFill="1" applyBorder="1" applyAlignment="1">
      <alignment horizontal="center" vertical="center"/>
    </xf>
    <xf numFmtId="0" fontId="42" fillId="9" borderId="31" xfId="0" applyNumberFormat="1" applyFont="1" applyFill="1" applyBorder="1" applyAlignment="1">
      <alignment horizontal="center" vertical="center"/>
    </xf>
    <xf numFmtId="0" fontId="11" fillId="3" borderId="61" xfId="0" applyFont="1" applyFill="1" applyBorder="1" applyAlignment="1">
      <alignment horizontal="center" vertical="center"/>
    </xf>
    <xf numFmtId="0" fontId="38" fillId="0" borderId="1" xfId="0" applyFont="1" applyFill="1" applyBorder="1" applyAlignment="1">
      <alignment vertical="center"/>
    </xf>
    <xf numFmtId="0" fontId="6" fillId="0" borderId="22" xfId="0" applyFont="1" applyFill="1" applyBorder="1" applyAlignment="1">
      <alignment horizontal="center" vertical="center"/>
    </xf>
    <xf numFmtId="0" fontId="39" fillId="0" borderId="22" xfId="0" applyFont="1" applyFill="1" applyBorder="1" applyAlignment="1">
      <alignment horizontal="center" vertical="center"/>
    </xf>
    <xf numFmtId="0" fontId="6" fillId="12" borderId="22" xfId="0" applyFont="1" applyFill="1" applyBorder="1" applyAlignment="1">
      <alignment horizontal="center" vertical="center"/>
    </xf>
    <xf numFmtId="1" fontId="6" fillId="0" borderId="22" xfId="0" applyNumberFormat="1" applyFont="1" applyFill="1" applyBorder="1" applyAlignment="1">
      <alignment horizontal="center" vertical="center"/>
    </xf>
    <xf numFmtId="0" fontId="40" fillId="9" borderId="23" xfId="0" applyNumberFormat="1" applyFont="1" applyFill="1" applyBorder="1" applyAlignment="1">
      <alignment horizontal="center" vertical="center"/>
    </xf>
    <xf numFmtId="49" fontId="6" fillId="0" borderId="22"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1" fillId="0" borderId="1" xfId="0" applyFont="1" applyFill="1" applyBorder="1" applyAlignment="1">
      <alignment vertical="center"/>
    </xf>
    <xf numFmtId="0" fontId="12" fillId="0" borderId="23" xfId="0" applyNumberFormat="1" applyFont="1" applyFill="1" applyBorder="1" applyAlignment="1">
      <alignment horizontal="center" vertical="center"/>
    </xf>
    <xf numFmtId="0" fontId="6" fillId="0" borderId="24" xfId="0" quotePrefix="1" applyNumberFormat="1" applyFont="1" applyFill="1" applyBorder="1" applyAlignment="1">
      <alignment horizontal="center" vertical="center"/>
    </xf>
    <xf numFmtId="0" fontId="39" fillId="0" borderId="62" xfId="0" applyFont="1" applyFill="1" applyBorder="1" applyAlignment="1">
      <alignment vertical="center"/>
    </xf>
    <xf numFmtId="0" fontId="6" fillId="0" borderId="63" xfId="0" applyFont="1" applyFill="1" applyBorder="1" applyAlignment="1">
      <alignment horizontal="center" vertical="center"/>
    </xf>
    <xf numFmtId="0" fontId="42" fillId="0" borderId="63" xfId="0" applyFont="1" applyFill="1" applyBorder="1" applyAlignment="1">
      <alignment horizontal="center" vertical="center"/>
    </xf>
    <xf numFmtId="0" fontId="6" fillId="12" borderId="63" xfId="0" applyFont="1" applyFill="1" applyBorder="1" applyAlignment="1">
      <alignment horizontal="center" vertical="center"/>
    </xf>
    <xf numFmtId="1" fontId="6" fillId="0" borderId="63" xfId="0" applyNumberFormat="1" applyFont="1" applyFill="1" applyBorder="1" applyAlignment="1">
      <alignment horizontal="center" vertical="center"/>
    </xf>
    <xf numFmtId="0" fontId="40" fillId="9" borderId="63" xfId="0" applyNumberFormat="1" applyFont="1" applyFill="1" applyBorder="1" applyAlignment="1">
      <alignment horizontal="center" vertical="center"/>
    </xf>
    <xf numFmtId="49" fontId="6" fillId="0" borderId="63" xfId="0" applyNumberFormat="1" applyFont="1" applyFill="1" applyBorder="1" applyAlignment="1">
      <alignment horizontal="center" vertical="center"/>
    </xf>
    <xf numFmtId="0" fontId="6" fillId="0" borderId="64" xfId="0" quotePrefix="1" applyFont="1" applyFill="1" applyBorder="1" applyAlignment="1">
      <alignment horizontal="center" vertical="center"/>
    </xf>
    <xf numFmtId="0" fontId="10" fillId="0" borderId="1" xfId="0" applyFont="1" applyFill="1" applyBorder="1" applyAlignment="1">
      <alignment vertical="center"/>
    </xf>
    <xf numFmtId="0" fontId="6" fillId="0" borderId="22" xfId="0" applyNumberFormat="1" applyFont="1" applyFill="1" applyBorder="1" applyAlignment="1">
      <alignment horizontal="center" vertical="center"/>
    </xf>
    <xf numFmtId="49" fontId="16" fillId="0" borderId="22" xfId="0" applyNumberFormat="1" applyFont="1" applyFill="1" applyBorder="1" applyAlignment="1">
      <alignment horizontal="center" vertical="center"/>
    </xf>
    <xf numFmtId="0" fontId="16" fillId="0" borderId="23" xfId="0" applyNumberFormat="1" applyFont="1" applyFill="1" applyBorder="1" applyAlignment="1">
      <alignment horizontal="center" vertical="center"/>
    </xf>
    <xf numFmtId="0" fontId="10" fillId="0" borderId="23"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0" fontId="6" fillId="0" borderId="24" xfId="0" applyNumberFormat="1" applyFont="1" applyFill="1" applyBorder="1" applyAlignment="1">
      <alignment horizontal="center"/>
    </xf>
    <xf numFmtId="0" fontId="18" fillId="0" borderId="0" xfId="0" applyFont="1" applyBorder="1" applyAlignment="1">
      <alignment vertical="center"/>
    </xf>
    <xf numFmtId="0" fontId="12" fillId="0" borderId="1" xfId="0" applyFont="1" applyFill="1" applyBorder="1" applyAlignment="1">
      <alignment vertical="center"/>
    </xf>
    <xf numFmtId="49" fontId="23" fillId="0" borderId="22" xfId="0" applyNumberFormat="1" applyFont="1" applyFill="1" applyBorder="1" applyAlignment="1">
      <alignment horizontal="center" vertical="center"/>
    </xf>
    <xf numFmtId="0" fontId="23" fillId="0" borderId="23" xfId="0" applyNumberFormat="1" applyFont="1" applyFill="1" applyBorder="1" applyAlignment="1">
      <alignment horizontal="center" vertical="center"/>
    </xf>
    <xf numFmtId="0" fontId="40" fillId="9" borderId="22"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2" fillId="0" borderId="22" xfId="0" applyNumberFormat="1" applyFont="1" applyFill="1" applyBorder="1" applyAlignment="1">
      <alignment horizontal="center" vertical="center"/>
    </xf>
    <xf numFmtId="0" fontId="22" fillId="0" borderId="23"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7" fillId="0" borderId="22" xfId="0" applyNumberFormat="1" applyFont="1" applyFill="1" applyBorder="1" applyAlignment="1">
      <alignment horizontal="center" vertical="center"/>
    </xf>
    <xf numFmtId="0" fontId="17" fillId="0" borderId="23"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28" fillId="0" borderId="0" xfId="0" applyFont="1" applyBorder="1" applyAlignment="1">
      <alignment vertical="center"/>
    </xf>
    <xf numFmtId="0" fontId="9" fillId="6" borderId="1" xfId="0" applyFont="1" applyFill="1" applyBorder="1" applyAlignment="1">
      <alignment vertical="center"/>
    </xf>
    <xf numFmtId="0" fontId="6" fillId="6" borderId="22" xfId="0" applyNumberFormat="1" applyFont="1" applyFill="1" applyBorder="1" applyAlignment="1">
      <alignment horizontal="center" vertical="center"/>
    </xf>
    <xf numFmtId="49" fontId="26" fillId="6" borderId="22" xfId="0" applyNumberFormat="1" applyFont="1" applyFill="1" applyBorder="1" applyAlignment="1">
      <alignment horizontal="center" vertical="center"/>
    </xf>
    <xf numFmtId="0" fontId="26" fillId="6" borderId="23" xfId="0" applyNumberFormat="1" applyFont="1" applyFill="1" applyBorder="1" applyAlignment="1">
      <alignment horizontal="center" vertical="center"/>
    </xf>
    <xf numFmtId="0" fontId="9" fillId="6" borderId="23" xfId="0" applyNumberFormat="1" applyFont="1" applyFill="1" applyBorder="1" applyAlignment="1">
      <alignment horizontal="center" vertical="center"/>
    </xf>
    <xf numFmtId="49" fontId="6" fillId="6" borderId="23" xfId="0" applyNumberFormat="1" applyFont="1" applyFill="1" applyBorder="1" applyAlignment="1">
      <alignment horizontal="center" vertical="center"/>
    </xf>
    <xf numFmtId="0" fontId="6" fillId="6" borderId="24" xfId="0" applyNumberFormat="1" applyFont="1" applyFill="1" applyBorder="1" applyAlignment="1">
      <alignment horizontal="center" vertical="center"/>
    </xf>
    <xf numFmtId="0" fontId="10" fillId="6" borderId="1" xfId="0" applyFont="1" applyFill="1" applyBorder="1" applyAlignment="1">
      <alignment vertical="center"/>
    </xf>
    <xf numFmtId="49" fontId="16" fillId="6" borderId="22" xfId="0" applyNumberFormat="1" applyFont="1" applyFill="1" applyBorder="1" applyAlignment="1">
      <alignment horizontal="center" vertical="center"/>
    </xf>
    <xf numFmtId="0" fontId="16" fillId="6" borderId="23" xfId="0" applyNumberFormat="1" applyFont="1" applyFill="1" applyBorder="1" applyAlignment="1">
      <alignment horizontal="center" vertical="center"/>
    </xf>
    <xf numFmtId="0" fontId="10" fillId="6" borderId="23" xfId="0" applyNumberFormat="1" applyFont="1" applyFill="1" applyBorder="1" applyAlignment="1">
      <alignment horizontal="center" vertical="center"/>
    </xf>
    <xf numFmtId="0" fontId="30" fillId="0" borderId="0" xfId="0" applyFont="1" applyBorder="1" applyAlignment="1">
      <alignment vertical="center"/>
    </xf>
    <xf numFmtId="0" fontId="6" fillId="0" borderId="24" xfId="0" applyNumberFormat="1" applyFont="1" applyFill="1" applyBorder="1" applyAlignment="1">
      <alignment horizontal="center" vertical="center"/>
    </xf>
    <xf numFmtId="0" fontId="10" fillId="8" borderId="1" xfId="0" applyFont="1" applyFill="1" applyBorder="1" applyAlignment="1">
      <alignment vertical="center"/>
    </xf>
    <xf numFmtId="0" fontId="6" fillId="8" borderId="22" xfId="0" applyNumberFormat="1" applyFont="1" applyFill="1" applyBorder="1" applyAlignment="1">
      <alignment horizontal="center" vertical="center"/>
    </xf>
    <xf numFmtId="49" fontId="16" fillId="8" borderId="22" xfId="0" applyNumberFormat="1" applyFont="1" applyFill="1" applyBorder="1" applyAlignment="1">
      <alignment horizontal="center" vertical="center"/>
    </xf>
    <xf numFmtId="0" fontId="16" fillId="8" borderId="23" xfId="0" applyNumberFormat="1" applyFont="1" applyFill="1" applyBorder="1" applyAlignment="1">
      <alignment horizontal="center" vertical="center"/>
    </xf>
    <xf numFmtId="0" fontId="10" fillId="8" borderId="23" xfId="0" applyNumberFormat="1" applyFont="1" applyFill="1" applyBorder="1" applyAlignment="1">
      <alignment horizontal="center" vertical="center"/>
    </xf>
    <xf numFmtId="49" fontId="6" fillId="8" borderId="23" xfId="0" applyNumberFormat="1" applyFont="1" applyFill="1" applyBorder="1" applyAlignment="1">
      <alignment horizontal="center" vertical="center"/>
    </xf>
    <xf numFmtId="0" fontId="6" fillId="8" borderId="24"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2" xfId="0" applyNumberFormat="1" applyFont="1" applyFill="1" applyBorder="1" applyAlignment="1">
      <alignment horizontal="center" vertical="center"/>
    </xf>
    <xf numFmtId="0" fontId="27" fillId="0" borderId="23" xfId="0" applyNumberFormat="1" applyFont="1" applyFill="1" applyBorder="1" applyAlignment="1">
      <alignment horizontal="center" vertical="center"/>
    </xf>
    <xf numFmtId="0" fontId="21" fillId="0" borderId="23" xfId="0" applyNumberFormat="1" applyFont="1" applyFill="1" applyBorder="1" applyAlignment="1">
      <alignment horizontal="center" vertical="center"/>
    </xf>
    <xf numFmtId="0" fontId="7" fillId="6" borderId="1" xfId="0" applyFont="1" applyFill="1" applyBorder="1" applyAlignment="1">
      <alignment vertical="center"/>
    </xf>
    <xf numFmtId="49" fontId="17" fillId="6" borderId="22" xfId="0" applyNumberFormat="1" applyFont="1" applyFill="1" applyBorder="1" applyAlignment="1">
      <alignment horizontal="center" vertical="center"/>
    </xf>
    <xf numFmtId="0" fontId="17" fillId="6" borderId="23" xfId="0" applyNumberFormat="1" applyFont="1" applyFill="1" applyBorder="1" applyAlignment="1">
      <alignment horizontal="center" vertical="center"/>
    </xf>
    <xf numFmtId="0" fontId="7" fillId="6" borderId="23" xfId="0" applyNumberFormat="1" applyFont="1" applyFill="1" applyBorder="1" applyAlignment="1">
      <alignment horizontal="center" vertical="center"/>
    </xf>
    <xf numFmtId="0" fontId="21" fillId="6" borderId="1" xfId="0" applyFont="1" applyFill="1" applyBorder="1" applyAlignment="1">
      <alignment vertical="center"/>
    </xf>
    <xf numFmtId="49" fontId="27" fillId="6" borderId="22" xfId="0" applyNumberFormat="1" applyFont="1" applyFill="1" applyBorder="1" applyAlignment="1">
      <alignment horizontal="center" vertical="center"/>
    </xf>
    <xf numFmtId="0" fontId="27" fillId="6" borderId="23" xfId="0" applyNumberFormat="1" applyFont="1" applyFill="1" applyBorder="1" applyAlignment="1">
      <alignment horizontal="center" vertical="center"/>
    </xf>
    <xf numFmtId="0" fontId="21" fillId="6" borderId="23" xfId="0" applyNumberFormat="1" applyFont="1" applyFill="1" applyBorder="1" applyAlignment="1">
      <alignment horizontal="center" vertical="center"/>
    </xf>
    <xf numFmtId="0" fontId="12" fillId="8" borderId="1" xfId="0" applyFont="1" applyFill="1" applyBorder="1" applyAlignment="1">
      <alignment vertical="center"/>
    </xf>
    <xf numFmtId="49" fontId="23" fillId="8" borderId="22" xfId="0" applyNumberFormat="1" applyFont="1" applyFill="1" applyBorder="1" applyAlignment="1">
      <alignment horizontal="center" vertical="center"/>
    </xf>
    <xf numFmtId="0" fontId="23" fillId="8" borderId="23" xfId="0" applyNumberFormat="1" applyFont="1" applyFill="1" applyBorder="1" applyAlignment="1">
      <alignment horizontal="center" vertical="center"/>
    </xf>
    <xf numFmtId="0" fontId="12" fillId="8" borderId="23" xfId="0" applyNumberFormat="1" applyFont="1" applyFill="1" applyBorder="1" applyAlignment="1">
      <alignment horizontal="center" vertical="center"/>
    </xf>
    <xf numFmtId="0" fontId="13" fillId="8" borderId="1" xfId="0" applyFont="1" applyFill="1" applyBorder="1" applyAlignment="1">
      <alignment vertical="center"/>
    </xf>
    <xf numFmtId="49" fontId="27" fillId="8" borderId="22" xfId="0" applyNumberFormat="1" applyFont="1" applyFill="1" applyBorder="1" applyAlignment="1">
      <alignment horizontal="center" vertical="center"/>
    </xf>
    <xf numFmtId="0" fontId="27" fillId="8" borderId="23" xfId="0" applyNumberFormat="1" applyFont="1" applyFill="1" applyBorder="1" applyAlignment="1">
      <alignment horizontal="center" vertical="center"/>
    </xf>
    <xf numFmtId="0" fontId="21" fillId="8" borderId="23" xfId="0" applyNumberFormat="1" applyFont="1" applyFill="1" applyBorder="1" applyAlignment="1">
      <alignment horizontal="center" vertical="center"/>
    </xf>
    <xf numFmtId="0" fontId="12" fillId="6" borderId="1" xfId="0" applyFont="1" applyFill="1" applyBorder="1" applyAlignment="1">
      <alignment vertical="center"/>
    </xf>
    <xf numFmtId="49" fontId="23" fillId="6" borderId="22" xfId="0" applyNumberFormat="1" applyFont="1" applyFill="1" applyBorder="1" applyAlignment="1">
      <alignment horizontal="center" vertical="center"/>
    </xf>
    <xf numFmtId="0" fontId="23" fillId="6" borderId="23" xfId="0" applyNumberFormat="1" applyFont="1" applyFill="1" applyBorder="1" applyAlignment="1">
      <alignment horizontal="center" vertical="center"/>
    </xf>
    <xf numFmtId="0" fontId="12" fillId="6" borderId="23" xfId="0" applyNumberFormat="1" applyFont="1" applyFill="1" applyBorder="1" applyAlignment="1">
      <alignment horizontal="center" vertical="center"/>
    </xf>
    <xf numFmtId="0" fontId="6" fillId="8" borderId="24" xfId="0" quotePrefix="1" applyNumberFormat="1" applyFont="1" applyFill="1" applyBorder="1" applyAlignment="1">
      <alignment horizontal="center" vertical="center"/>
    </xf>
    <xf numFmtId="0" fontId="6" fillId="6" borderId="24" xfId="0" quotePrefix="1" applyNumberFormat="1" applyFont="1" applyFill="1" applyBorder="1" applyAlignment="1">
      <alignment horizontal="center" vertical="center"/>
    </xf>
    <xf numFmtId="0" fontId="12" fillId="0" borderId="8" xfId="0" applyFont="1" applyFill="1" applyBorder="1" applyAlignment="1">
      <alignment vertical="center"/>
    </xf>
    <xf numFmtId="0" fontId="6" fillId="0" borderId="51" xfId="0" applyNumberFormat="1" applyFont="1" applyFill="1" applyBorder="1" applyAlignment="1">
      <alignment horizontal="center" vertical="center"/>
    </xf>
    <xf numFmtId="49" fontId="23" fillId="0" borderId="51" xfId="0" applyNumberFormat="1" applyFont="1" applyFill="1" applyBorder="1" applyAlignment="1">
      <alignment horizontal="center" vertical="center"/>
    </xf>
    <xf numFmtId="0" fontId="23" fillId="0" borderId="52" xfId="0" applyNumberFormat="1" applyFont="1" applyFill="1" applyBorder="1" applyAlignment="1">
      <alignment horizontal="center" vertical="center"/>
    </xf>
    <xf numFmtId="0" fontId="12" fillId="0" borderId="52" xfId="0" applyNumberFormat="1" applyFont="1" applyFill="1" applyBorder="1" applyAlignment="1">
      <alignment horizontal="center" vertical="center"/>
    </xf>
    <xf numFmtId="49" fontId="6" fillId="0" borderId="52" xfId="0" applyNumberFormat="1" applyFont="1" applyFill="1" applyBorder="1" applyAlignment="1">
      <alignment horizontal="center" vertical="center"/>
    </xf>
    <xf numFmtId="0" fontId="40" fillId="9" borderId="51" xfId="0" applyNumberFormat="1" applyFont="1" applyFill="1" applyBorder="1" applyAlignment="1">
      <alignment horizontal="center" vertical="center"/>
    </xf>
    <xf numFmtId="0" fontId="6" fillId="0" borderId="29" xfId="0" applyNumberFormat="1" applyFont="1" applyFill="1" applyBorder="1" applyAlignment="1">
      <alignment horizontal="center" vertical="center"/>
    </xf>
    <xf numFmtId="0" fontId="3" fillId="0" borderId="0" xfId="0" applyFont="1" applyBorder="1" applyAlignment="1">
      <alignment horizontal="center" vertical="center"/>
    </xf>
    <xf numFmtId="1" fontId="3" fillId="0" borderId="0" xfId="0" applyNumberFormat="1"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1" fontId="1" fillId="0" borderId="0" xfId="0" applyNumberFormat="1" applyFont="1" applyBorder="1" applyAlignment="1">
      <alignment horizontal="center" vertical="center"/>
    </xf>
    <xf numFmtId="0" fontId="1" fillId="0" borderId="0" xfId="0" applyFont="1" applyBorder="1" applyAlignment="1">
      <alignment horizontal="left" vertical="center"/>
    </xf>
    <xf numFmtId="1" fontId="6" fillId="0" borderId="66" xfId="0" applyNumberFormat="1" applyFont="1" applyFill="1" applyBorder="1" applyAlignment="1">
      <alignment horizontal="centerContinuous" vertical="center"/>
    </xf>
    <xf numFmtId="1" fontId="1" fillId="0" borderId="67" xfId="0" applyNumberFormat="1" applyFont="1" applyFill="1" applyBorder="1" applyAlignment="1">
      <alignment horizontal="centerContinuous" vertical="center"/>
    </xf>
    <xf numFmtId="1" fontId="6" fillId="0" borderId="25" xfId="0" applyNumberFormat="1" applyFont="1" applyFill="1" applyBorder="1" applyAlignment="1">
      <alignment horizontal="center" vertical="center"/>
    </xf>
    <xf numFmtId="1" fontId="6" fillId="0" borderId="12" xfId="0" applyNumberFormat="1" applyFont="1" applyFill="1" applyBorder="1" applyAlignment="1">
      <alignment horizontal="center" vertical="center"/>
    </xf>
    <xf numFmtId="0" fontId="1" fillId="0" borderId="140" xfId="0" applyFont="1" applyBorder="1" applyAlignment="1">
      <alignment horizontal="center" vertical="center" shrinkToFit="1"/>
    </xf>
    <xf numFmtId="0" fontId="1" fillId="0" borderId="141" xfId="0" applyFont="1" applyBorder="1" applyAlignment="1">
      <alignment horizontal="center" vertical="center"/>
    </xf>
    <xf numFmtId="0" fontId="1" fillId="0" borderId="141" xfId="0" quotePrefix="1" applyFont="1" applyBorder="1" applyAlignment="1">
      <alignment horizontal="center" vertical="center"/>
    </xf>
    <xf numFmtId="9" fontId="1" fillId="0" borderId="141" xfId="0" applyNumberFormat="1" applyFont="1" applyFill="1" applyBorder="1" applyAlignment="1">
      <alignment horizontal="center" vertical="center"/>
    </xf>
    <xf numFmtId="49" fontId="1" fillId="0" borderId="141" xfId="0" quotePrefix="1" applyNumberFormat="1" applyFont="1" applyBorder="1" applyAlignment="1">
      <alignment horizontal="center" vertical="center"/>
    </xf>
    <xf numFmtId="164" fontId="1" fillId="0" borderId="141" xfId="0" applyNumberFormat="1" applyFont="1" applyFill="1" applyBorder="1" applyAlignment="1">
      <alignment horizontal="center" vertical="center"/>
    </xf>
    <xf numFmtId="164" fontId="1" fillId="0" borderId="142" xfId="0" applyNumberFormat="1" applyFont="1" applyFill="1" applyBorder="1" applyAlignment="1">
      <alignment horizontal="centerContinuous" vertical="center"/>
    </xf>
    <xf numFmtId="164" fontId="1" fillId="0" borderId="143" xfId="0" applyNumberFormat="1" applyFont="1" applyFill="1" applyBorder="1" applyAlignment="1">
      <alignment horizontal="centerContinuous" vertical="center"/>
    </xf>
    <xf numFmtId="0" fontId="1" fillId="0" borderId="144" xfId="0" quotePrefix="1" applyFont="1" applyBorder="1" applyAlignment="1">
      <alignment horizontal="centerContinuous" vertical="center"/>
    </xf>
    <xf numFmtId="0" fontId="1" fillId="13" borderId="117" xfId="0" quotePrefix="1" applyFont="1" applyFill="1" applyBorder="1" applyAlignment="1">
      <alignment horizontal="center" vertical="center"/>
    </xf>
    <xf numFmtId="1" fontId="1" fillId="13" borderId="81" xfId="0" applyNumberFormat="1" applyFont="1" applyFill="1" applyBorder="1" applyAlignment="1">
      <alignment horizontal="center" vertical="center"/>
    </xf>
    <xf numFmtId="1" fontId="1" fillId="13" borderId="59" xfId="0" applyNumberFormat="1" applyFont="1" applyFill="1" applyBorder="1" applyAlignment="1">
      <alignment horizontal="center" vertical="center"/>
    </xf>
    <xf numFmtId="0" fontId="1" fillId="0" borderId="145" xfId="0" applyFont="1" applyFill="1" applyBorder="1" applyAlignment="1">
      <alignment horizontal="center" vertical="center" shrinkToFit="1"/>
    </xf>
    <xf numFmtId="0" fontId="1" fillId="0" borderId="39" xfId="0" quotePrefix="1" applyFont="1" applyFill="1" applyBorder="1" applyAlignment="1">
      <alignment horizontal="center" vertical="center"/>
    </xf>
    <xf numFmtId="0" fontId="1" fillId="0" borderId="39" xfId="0" applyFont="1" applyFill="1" applyBorder="1" applyAlignment="1">
      <alignment horizontal="center" vertical="center"/>
    </xf>
    <xf numFmtId="9" fontId="1" fillId="0" borderId="39" xfId="0" applyNumberFormat="1" applyFont="1" applyFill="1" applyBorder="1" applyAlignment="1">
      <alignment horizontal="center" vertical="center"/>
    </xf>
    <xf numFmtId="164" fontId="1" fillId="0" borderId="39" xfId="0" applyNumberFormat="1" applyFont="1" applyFill="1" applyBorder="1" applyAlignment="1">
      <alignment horizontal="center" vertical="center"/>
    </xf>
    <xf numFmtId="164" fontId="1" fillId="0" borderId="40" xfId="0" applyNumberFormat="1" applyFont="1" applyFill="1" applyBorder="1" applyAlignment="1">
      <alignment horizontal="centerContinuous" vertical="center"/>
    </xf>
    <xf numFmtId="0" fontId="1" fillId="0" borderId="139" xfId="0" applyFont="1" applyFill="1" applyBorder="1" applyAlignment="1">
      <alignment horizontal="centerContinuous" vertical="center"/>
    </xf>
    <xf numFmtId="0" fontId="1" fillId="0" borderId="145" xfId="0" applyFont="1" applyBorder="1" applyAlignment="1">
      <alignment horizontal="center" vertical="center" shrinkToFit="1"/>
    </xf>
    <xf numFmtId="0" fontId="1" fillId="0" borderId="39" xfId="0" applyFont="1" applyBorder="1" applyAlignment="1">
      <alignment horizontal="center" vertical="center" shrinkToFit="1"/>
    </xf>
    <xf numFmtId="0" fontId="1" fillId="0" borderId="40" xfId="0" applyFont="1" applyFill="1" applyBorder="1" applyAlignment="1">
      <alignment horizontal="left" vertical="center"/>
    </xf>
    <xf numFmtId="0" fontId="1" fillId="0" borderId="96" xfId="0" applyFont="1" applyFill="1" applyBorder="1" applyAlignment="1">
      <alignment horizontal="center" vertical="center" shrinkToFit="1"/>
    </xf>
    <xf numFmtId="164" fontId="4" fillId="0" borderId="137" xfId="0" applyNumberFormat="1" applyFont="1" applyFill="1" applyBorder="1" applyAlignment="1">
      <alignment horizontal="center" vertical="center"/>
    </xf>
    <xf numFmtId="1" fontId="44" fillId="9" borderId="137" xfId="0" applyNumberFormat="1" applyFont="1" applyFill="1" applyBorder="1" applyAlignment="1">
      <alignment horizontal="center" vertical="center"/>
    </xf>
    <xf numFmtId="1" fontId="1" fillId="0" borderId="96" xfId="0" applyNumberFormat="1" applyFont="1" applyBorder="1" applyAlignment="1">
      <alignment horizontal="center" vertical="center"/>
    </xf>
    <xf numFmtId="0" fontId="1" fillId="0" borderId="97" xfId="0" applyFont="1" applyFill="1" applyBorder="1" applyAlignment="1">
      <alignment horizontal="center" vertical="center"/>
    </xf>
    <xf numFmtId="1" fontId="1" fillId="0" borderId="94" xfId="0" applyNumberFormat="1" applyFont="1" applyBorder="1" applyAlignment="1">
      <alignment horizontal="center" vertical="center" shrinkToFit="1"/>
    </xf>
    <xf numFmtId="9" fontId="6" fillId="0" borderId="23" xfId="2" applyFont="1" applyFill="1" applyBorder="1" applyAlignment="1">
      <alignment horizontal="center" shrinkToFit="1"/>
    </xf>
    <xf numFmtId="0" fontId="1" fillId="0" borderId="107" xfId="0" applyFont="1" applyBorder="1" applyAlignment="1">
      <alignment horizontal="center" shrinkToFit="1"/>
    </xf>
    <xf numFmtId="0" fontId="1" fillId="0" borderId="104" xfId="0" applyFont="1" applyBorder="1" applyAlignment="1">
      <alignment horizontal="center" shrinkToFit="1"/>
    </xf>
    <xf numFmtId="164" fontId="1" fillId="0" borderId="35" xfId="0" applyNumberFormat="1" applyFont="1" applyBorder="1" applyAlignment="1">
      <alignment horizontal="center" shrinkToFit="1"/>
    </xf>
    <xf numFmtId="0" fontId="1" fillId="0" borderId="35" xfId="0" applyFont="1" applyBorder="1" applyAlignment="1">
      <alignment horizontal="left"/>
    </xf>
    <xf numFmtId="0" fontId="1" fillId="0" borderId="37" xfId="0" applyFont="1" applyBorder="1" applyAlignment="1">
      <alignment horizontal="left" shrinkToFit="1"/>
    </xf>
    <xf numFmtId="0" fontId="1" fillId="0" borderId="0" xfId="0" applyFont="1" applyAlignment="1">
      <alignment horizontal="center"/>
    </xf>
    <xf numFmtId="0" fontId="1" fillId="0" borderId="145" xfId="0" applyFont="1" applyBorder="1" applyAlignment="1">
      <alignment horizontal="center" shrinkToFit="1"/>
    </xf>
    <xf numFmtId="0" fontId="1" fillId="0" borderId="146" xfId="0" applyFont="1" applyBorder="1" applyAlignment="1">
      <alignment horizontal="center" shrinkToFit="1"/>
    </xf>
    <xf numFmtId="164" fontId="1" fillId="0" borderId="39" xfId="0" applyNumberFormat="1" applyFont="1" applyBorder="1" applyAlignment="1">
      <alignment horizontal="center" shrinkToFit="1"/>
    </xf>
    <xf numFmtId="0" fontId="1" fillId="0" borderId="39" xfId="0" applyFont="1" applyBorder="1" applyAlignment="1">
      <alignment horizontal="left"/>
    </xf>
    <xf numFmtId="0" fontId="13" fillId="6" borderId="1" xfId="0" applyFont="1" applyFill="1" applyBorder="1" applyAlignment="1">
      <alignment vertical="center"/>
    </xf>
    <xf numFmtId="49" fontId="22" fillId="6" borderId="22" xfId="0" applyNumberFormat="1" applyFont="1" applyFill="1" applyBorder="1" applyAlignment="1">
      <alignment horizontal="center" vertical="center"/>
    </xf>
    <xf numFmtId="0" fontId="22" fillId="6" borderId="23" xfId="0" applyNumberFormat="1" applyFont="1" applyFill="1" applyBorder="1" applyAlignment="1">
      <alignment horizontal="center" vertical="center"/>
    </xf>
    <xf numFmtId="0" fontId="13" fillId="6" borderId="23" xfId="0" applyNumberFormat="1" applyFont="1" applyFill="1" applyBorder="1" applyAlignment="1">
      <alignment horizontal="center" vertical="center"/>
    </xf>
    <xf numFmtId="0" fontId="64" fillId="0" borderId="27" xfId="0" applyFont="1" applyBorder="1" applyAlignment="1">
      <alignment horizontal="centerContinuous" vertical="center"/>
    </xf>
    <xf numFmtId="0" fontId="65" fillId="14" borderId="147" xfId="0" applyFont="1" applyFill="1" applyBorder="1" applyAlignment="1">
      <alignment horizontal="centerContinuous" vertical="center"/>
    </xf>
    <xf numFmtId="0" fontId="66" fillId="0" borderId="27" xfId="0" applyFont="1" applyBorder="1" applyAlignment="1">
      <alignment horizontal="center" vertical="center"/>
    </xf>
    <xf numFmtId="0" fontId="67" fillId="14" borderId="59" xfId="0" applyFont="1" applyFill="1" applyBorder="1" applyAlignment="1">
      <alignment horizontal="centerContinuous" vertical="center"/>
    </xf>
    <xf numFmtId="0" fontId="67" fillId="0" borderId="0" xfId="0" applyFont="1" applyAlignment="1">
      <alignment vertical="center"/>
    </xf>
    <xf numFmtId="0" fontId="6" fillId="0" borderId="90" xfId="0" applyFont="1" applyBorder="1" applyAlignment="1">
      <alignment horizontal="center" vertical="center"/>
    </xf>
    <xf numFmtId="0" fontId="67" fillId="14" borderId="53" xfId="0" applyFont="1" applyFill="1" applyBorder="1" applyAlignment="1">
      <alignment horizontal="centerContinuous" vertical="center"/>
    </xf>
    <xf numFmtId="0" fontId="6" fillId="0" borderId="58" xfId="0" applyFont="1" applyBorder="1" applyAlignment="1">
      <alignment horizontal="center" vertical="center"/>
    </xf>
    <xf numFmtId="0" fontId="68" fillId="0" borderId="105" xfId="0" applyFont="1" applyBorder="1" applyAlignment="1">
      <alignment horizontal="center" vertical="center"/>
    </xf>
    <xf numFmtId="1" fontId="68" fillId="0" borderId="106" xfId="0" applyNumberFormat="1" applyFont="1" applyBorder="1" applyAlignment="1">
      <alignment horizontal="center" vertical="center"/>
    </xf>
    <xf numFmtId="0" fontId="68" fillId="0" borderId="43" xfId="0" applyFont="1" applyBorder="1" applyAlignment="1">
      <alignment horizontal="center" vertical="center"/>
    </xf>
    <xf numFmtId="0" fontId="6" fillId="0" borderId="30" xfId="0" applyFont="1" applyFill="1" applyBorder="1" applyAlignment="1">
      <alignment horizontal="centerContinuous" vertical="center"/>
    </xf>
    <xf numFmtId="0" fontId="6" fillId="0" borderId="94" xfId="0" applyFont="1" applyFill="1" applyBorder="1" applyAlignment="1">
      <alignment horizontal="centerContinuous" vertical="center"/>
    </xf>
    <xf numFmtId="0" fontId="5" fillId="0" borderId="80" xfId="0" applyFont="1" applyFill="1" applyBorder="1" applyAlignment="1">
      <alignment horizontal="centerContinuous" vertical="center" shrinkToFit="1"/>
    </xf>
    <xf numFmtId="0" fontId="69" fillId="0" borderId="90" xfId="0" applyFont="1" applyFill="1" applyBorder="1" applyAlignment="1">
      <alignment horizontal="centerContinuous" vertical="top" shrinkToFit="1"/>
    </xf>
    <xf numFmtId="0" fontId="6" fillId="0" borderId="30" xfId="0" applyFont="1" applyFill="1" applyBorder="1" applyAlignment="1">
      <alignment horizontal="centerContinuous" vertical="center" shrinkToFit="1"/>
    </xf>
    <xf numFmtId="0" fontId="6" fillId="0" borderId="53" xfId="0" quotePrefix="1" applyFont="1" applyFill="1" applyBorder="1" applyAlignment="1">
      <alignment horizontal="center" vertical="center" shrinkToFit="1"/>
    </xf>
    <xf numFmtId="0" fontId="6" fillId="15" borderId="53" xfId="0" applyFont="1" applyFill="1" applyBorder="1" applyAlignment="1">
      <alignment horizontal="center" vertical="center" shrinkToFit="1"/>
    </xf>
    <xf numFmtId="0" fontId="70" fillId="0" borderId="0" xfId="0" applyFont="1" applyBorder="1" applyAlignment="1">
      <alignment horizontal="centerContinuous" vertical="center"/>
    </xf>
    <xf numFmtId="0" fontId="67" fillId="0" borderId="0" xfId="0" applyFont="1" applyBorder="1" applyAlignment="1">
      <alignment vertical="center" wrapText="1"/>
    </xf>
    <xf numFmtId="0" fontId="6" fillId="8" borderId="30" xfId="0" applyFont="1" applyFill="1" applyBorder="1" applyAlignment="1">
      <alignment horizontal="centerContinuous" vertical="center" shrinkToFit="1"/>
    </xf>
    <xf numFmtId="0" fontId="6" fillId="0" borderId="23" xfId="0" applyNumberFormat="1" applyFont="1" applyFill="1" applyBorder="1" applyAlignment="1">
      <alignment horizontal="center" vertical="center"/>
    </xf>
    <xf numFmtId="0" fontId="57" fillId="0" borderId="62" xfId="5" applyFont="1" applyFill="1" applyBorder="1" applyAlignment="1">
      <alignment horizontal="center" shrinkToFit="1"/>
    </xf>
    <xf numFmtId="0" fontId="6" fillId="0" borderId="63" xfId="5" applyFont="1" applyBorder="1" applyAlignment="1">
      <alignment horizontal="center" wrapText="1"/>
    </xf>
    <xf numFmtId="9" fontId="6" fillId="0" borderId="63" xfId="2" applyFont="1" applyFill="1" applyBorder="1" applyAlignment="1">
      <alignment horizontal="center" vertical="center" shrinkToFit="1"/>
    </xf>
    <xf numFmtId="9" fontId="6" fillId="0" borderId="14" xfId="2" applyFont="1" applyFill="1" applyBorder="1" applyAlignment="1">
      <alignment horizontal="center" vertical="center" shrinkToFit="1"/>
    </xf>
    <xf numFmtId="0" fontId="6" fillId="0" borderId="14" xfId="0" applyNumberFormat="1" applyFont="1" applyFill="1" applyBorder="1" applyAlignment="1">
      <alignment horizontal="center" vertical="center" shrinkToFit="1"/>
    </xf>
    <xf numFmtId="0" fontId="6" fillId="0" borderId="14" xfId="2" applyNumberFormat="1" applyFont="1" applyFill="1" applyBorder="1" applyAlignment="1">
      <alignment horizontal="center" vertical="center" shrinkToFit="1"/>
    </xf>
    <xf numFmtId="0" fontId="6" fillId="0" borderId="28" xfId="0" applyNumberFormat="1" applyFont="1" applyFill="1" applyBorder="1" applyAlignment="1">
      <alignment horizontal="center" vertical="center" wrapText="1"/>
    </xf>
    <xf numFmtId="0" fontId="6" fillId="0" borderId="63" xfId="5" applyFont="1" applyFill="1" applyBorder="1" applyAlignment="1">
      <alignment horizontal="center" wrapText="1"/>
    </xf>
    <xf numFmtId="9" fontId="6" fillId="0" borderId="63" xfId="2" applyFont="1" applyFill="1" applyBorder="1" applyAlignment="1">
      <alignment horizontal="center" shrinkToFit="1"/>
    </xf>
    <xf numFmtId="9" fontId="6" fillId="0" borderId="14" xfId="2" applyFont="1" applyFill="1" applyBorder="1" applyAlignment="1">
      <alignment horizontal="center" shrinkToFit="1"/>
    </xf>
    <xf numFmtId="0" fontId="6" fillId="0" borderId="14" xfId="2" applyNumberFormat="1" applyFont="1" applyFill="1" applyBorder="1" applyAlignment="1">
      <alignment horizontal="center" shrinkToFit="1"/>
    </xf>
    <xf numFmtId="0" fontId="57" fillId="0" borderId="8" xfId="5" applyFont="1" applyFill="1" applyBorder="1" applyAlignment="1">
      <alignment horizontal="center" shrinkToFit="1"/>
    </xf>
    <xf numFmtId="0" fontId="6" fillId="0" borderId="51" xfId="5" applyFont="1" applyFill="1" applyBorder="1" applyAlignment="1">
      <alignment horizontal="center" wrapText="1"/>
    </xf>
    <xf numFmtId="9" fontId="6" fillId="0" borderId="51" xfId="2" applyFont="1" applyFill="1" applyBorder="1" applyAlignment="1">
      <alignment horizontal="center" vertical="center" shrinkToFit="1"/>
    </xf>
    <xf numFmtId="0" fontId="6" fillId="0" borderId="52" xfId="2" applyNumberFormat="1" applyFont="1" applyFill="1" applyBorder="1" applyAlignment="1">
      <alignment horizontal="center" vertical="center" shrinkToFit="1"/>
    </xf>
    <xf numFmtId="0" fontId="6" fillId="0" borderId="29" xfId="0" applyNumberFormat="1" applyFont="1" applyFill="1" applyBorder="1" applyAlignment="1">
      <alignment horizontal="center" vertical="center" wrapText="1"/>
    </xf>
    <xf numFmtId="1" fontId="1" fillId="0" borderId="104" xfId="0" applyNumberFormat="1" applyFont="1" applyBorder="1" applyAlignment="1">
      <alignment horizontal="center" vertical="center" shrinkToFit="1"/>
    </xf>
    <xf numFmtId="0" fontId="1" fillId="0" borderId="35" xfId="0" applyFont="1" applyBorder="1" applyAlignment="1">
      <alignment horizontal="left" vertical="center"/>
    </xf>
    <xf numFmtId="0" fontId="1" fillId="0" borderId="0" xfId="0" applyFont="1" applyAlignment="1">
      <alignment vertical="center"/>
    </xf>
    <xf numFmtId="0" fontId="1" fillId="16" borderId="95" xfId="0" applyFont="1" applyFill="1" applyBorder="1" applyAlignment="1">
      <alignment horizontal="center" vertical="center"/>
    </xf>
    <xf numFmtId="0" fontId="1" fillId="16" borderId="96" xfId="0" applyFont="1" applyFill="1" applyBorder="1" applyAlignment="1">
      <alignment horizontal="center" vertical="center"/>
    </xf>
    <xf numFmtId="0" fontId="1" fillId="16" borderId="96" xfId="0" quotePrefix="1" applyFont="1" applyFill="1" applyBorder="1" applyAlignment="1">
      <alignment horizontal="center" vertical="center"/>
    </xf>
    <xf numFmtId="0" fontId="4" fillId="16" borderId="96" xfId="0" applyFont="1" applyFill="1" applyBorder="1" applyAlignment="1">
      <alignment horizontal="center" vertical="center"/>
    </xf>
    <xf numFmtId="9" fontId="4" fillId="16" borderId="96" xfId="0" applyNumberFormat="1" applyFont="1" applyFill="1" applyBorder="1" applyAlignment="1">
      <alignment horizontal="center" vertical="center"/>
    </xf>
    <xf numFmtId="164" fontId="4" fillId="16" borderId="96" xfId="0" applyNumberFormat="1" applyFont="1" applyFill="1" applyBorder="1" applyAlignment="1">
      <alignment horizontal="center" vertical="center"/>
    </xf>
    <xf numFmtId="164" fontId="4" fillId="16" borderId="137" xfId="0" applyNumberFormat="1" applyFont="1" applyFill="1" applyBorder="1" applyAlignment="1">
      <alignment horizontal="centerContinuous" vertical="center"/>
    </xf>
    <xf numFmtId="164" fontId="1" fillId="16" borderId="138" xfId="0" applyNumberFormat="1" applyFont="1" applyFill="1" applyBorder="1" applyAlignment="1">
      <alignment horizontal="centerContinuous" vertical="center"/>
    </xf>
    <xf numFmtId="0" fontId="4" fillId="16" borderId="139" xfId="0" quotePrefix="1" applyFont="1" applyFill="1" applyBorder="1" applyAlignment="1">
      <alignment horizontal="centerContinuous" vertical="center"/>
    </xf>
    <xf numFmtId="1" fontId="1" fillId="16" borderId="94" xfId="0" applyNumberFormat="1" applyFont="1" applyFill="1" applyBorder="1" applyAlignment="1">
      <alignment horizontal="center" vertical="center"/>
    </xf>
  </cellXfs>
  <cellStyles count="9">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4" xfId="8" xr:uid="{00000000-0005-0000-0000-000005000000}"/>
    <cellStyle name="Percent" xfId="2" builtinId="5"/>
    <cellStyle name="Percent 2" xfId="3" xr:uid="{00000000-0005-0000-0000-000007000000}"/>
    <cellStyle name="Percent 2 2" xfId="7" xr:uid="{00000000-0005-0000-0000-000008000000}"/>
  </cellStyles>
  <dxfs count="37">
    <dxf>
      <fill>
        <gradientFill type="path" left="0.5" right="0.5" top="0.5" bottom="0.5">
          <stop position="0">
            <color rgb="FFFF0000"/>
          </stop>
          <stop position="1">
            <color rgb="FFFFC000"/>
          </stop>
        </gradientFill>
      </fill>
    </dxf>
    <dxf>
      <font>
        <b val="0"/>
        <i/>
        <color theme="1"/>
      </font>
      <fill>
        <patternFill>
          <bgColor theme="0" tint="-0.24994659260841701"/>
        </patternFill>
      </fill>
    </dxf>
    <dxf>
      <font>
        <b/>
        <i val="0"/>
        <color theme="1"/>
      </font>
      <fill>
        <patternFill>
          <bgColor rgb="FF66FF33"/>
        </patternFill>
      </fill>
    </dxf>
    <dxf>
      <font>
        <color rgb="FFFF0000"/>
      </font>
    </dxf>
    <dxf>
      <font>
        <color rgb="FFFF0000"/>
      </font>
    </dxf>
    <dxf>
      <font>
        <b val="0"/>
        <i/>
        <color theme="1"/>
      </font>
      <fill>
        <patternFill>
          <bgColor theme="0" tint="-0.24994659260841701"/>
        </patternFill>
      </fill>
    </dxf>
    <dxf>
      <font>
        <b/>
        <i val="0"/>
        <color theme="1"/>
      </font>
      <fill>
        <patternFill>
          <bgColor rgb="FF66FF33"/>
        </patternFill>
      </fill>
    </dxf>
    <dxf>
      <fill>
        <gradientFill type="path" left="0.5" right="0.5" top="0.5" bottom="0.5">
          <stop position="0">
            <color rgb="FFFF0000"/>
          </stop>
          <stop position="1">
            <color rgb="FFFFC000"/>
          </stop>
        </gradient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theme="1"/>
      </font>
      <fill>
        <patternFill>
          <bgColor theme="0" tint="-0.24994659260841701"/>
        </patternFill>
      </fill>
    </dxf>
    <dxf>
      <font>
        <b/>
        <i val="0"/>
        <color theme="1"/>
      </font>
      <fill>
        <patternFill>
          <bgColor rgb="FF66FF33"/>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9FF99"/>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99FF99"/>
      <color rgb="FF0000FF"/>
      <color rgb="FF9900FF"/>
      <color rgb="FF9966FF"/>
      <color rgb="FF00FFFF"/>
      <color rgb="FFFF6600"/>
      <color rgb="FF66FF33"/>
      <color rgb="FF00FF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16</xdr:row>
      <xdr:rowOff>57150</xdr:rowOff>
    </xdr:from>
    <xdr:to>
      <xdr:col>6</xdr:col>
      <xdr:colOff>1276350</xdr:colOff>
      <xdr:row>24</xdr:row>
      <xdr:rowOff>171450</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52875"/>
          <a:ext cx="6962775" cy="3057525"/>
        </a:xfrm>
        <a:prstGeom prst="rect">
          <a:avLst/>
        </a:prstGeom>
        <a:solidFill>
          <a:srgbClr val="FFFFFF"/>
        </a:solidFill>
        <a:ln w="9525">
          <a:noFill/>
          <a:miter lim="800000"/>
          <a:headEnd/>
          <a:tailEnd/>
        </a:ln>
      </xdr:spPr>
      <xdr:txBody>
        <a:bodyPr vertOverflow="clip" wrap="square" lIns="27432" tIns="27432" rIns="27432" bIns="0" anchor="t" upright="1"/>
        <a:lstStyle/>
        <a:p>
          <a:r>
            <a:rPr lang="en-US" sz="1200">
              <a:effectLst/>
              <a:latin typeface="Times New Roman" panose="02020603050405020304" pitchFamily="18" charset="0"/>
              <a:ea typeface="+mn-ea"/>
              <a:cs typeface="Times New Roman" panose="02020603050405020304" pitchFamily="18" charset="0"/>
            </a:rPr>
            <a:t>Native to Everlund.</a:t>
          </a:r>
          <a:endParaRPr lang="en-US" sz="1200">
            <a:effectLst/>
            <a:latin typeface="Times New Roman" panose="02020603050405020304" pitchFamily="18" charset="0"/>
            <a:cs typeface="Times New Roman" panose="02020603050405020304" pitchFamily="18" charset="0"/>
          </a:endParaRPr>
        </a:p>
        <a:p>
          <a:endParaRPr lang="en-US" sz="1200">
            <a:effectLst/>
            <a:latin typeface="Times New Roman" panose="02020603050405020304" pitchFamily="18" charset="0"/>
            <a:ea typeface="+mn-ea"/>
            <a:cs typeface="Times New Roman" panose="02020603050405020304" pitchFamily="18" charset="0"/>
          </a:endParaRPr>
        </a:p>
        <a:p>
          <a:r>
            <a:rPr lang="en-US" sz="1200">
              <a:effectLst/>
              <a:latin typeface="Times New Roman" panose="02020603050405020304" pitchFamily="18" charset="0"/>
              <a:ea typeface="+mn-ea"/>
              <a:cs typeface="Times New Roman" panose="02020603050405020304" pitchFamily="18" charset="0"/>
            </a:rPr>
            <a:t>She left her family home due to poor relationships with her human mother’s family after her elven father was killed in a boating accident.</a:t>
          </a:r>
          <a:endParaRPr lang="en-US" sz="1200">
            <a:effectLst/>
            <a:latin typeface="Times New Roman" panose="02020603050405020304" pitchFamily="18" charset="0"/>
            <a:cs typeface="Times New Roman" panose="02020603050405020304" pitchFamily="18" charset="0"/>
          </a:endParaRPr>
        </a:p>
        <a:p>
          <a:endParaRPr lang="en-US" sz="1200">
            <a:effectLst/>
            <a:latin typeface="Times New Roman" panose="02020603050405020304" pitchFamily="18" charset="0"/>
            <a:ea typeface="+mn-ea"/>
            <a:cs typeface="Times New Roman" panose="02020603050405020304" pitchFamily="18" charset="0"/>
          </a:endParaRPr>
        </a:p>
        <a:p>
          <a:r>
            <a:rPr lang="en-US" sz="1200">
              <a:effectLst/>
              <a:latin typeface="Times New Roman" panose="02020603050405020304" pitchFamily="18" charset="0"/>
              <a:ea typeface="+mn-ea"/>
              <a:cs typeface="Times New Roman" panose="02020603050405020304" pitchFamily="18" charset="0"/>
            </a:rPr>
            <a:t>She is in love with and defers to Rook, admires Lauren and Allisa, reserved around the Gambit, tolerates the other followers. She can be prickly</a:t>
          </a:r>
          <a:r>
            <a:rPr lang="en-US" sz="1200" baseline="0">
              <a:effectLst/>
              <a:latin typeface="Times New Roman" panose="02020603050405020304" pitchFamily="18" charset="0"/>
              <a:ea typeface="+mn-ea"/>
              <a:cs typeface="Times New Roman" panose="02020603050405020304" pitchFamily="18" charset="0"/>
            </a:rPr>
            <a:t> and aloof. </a:t>
          </a:r>
          <a:endParaRPr lang="en-US" sz="1200">
            <a:effectLst/>
            <a:latin typeface="Times New Roman" panose="02020603050405020304" pitchFamily="18" charset="0"/>
            <a:cs typeface="Times New Roman" panose="02020603050405020304" pitchFamily="18" charset="0"/>
          </a:endParaRPr>
        </a:p>
        <a:p>
          <a:endParaRPr lang="en-US" sz="1200" baseline="0">
            <a:effectLst/>
            <a:latin typeface="Times New Roman" panose="02020603050405020304" pitchFamily="18" charset="0"/>
            <a:ea typeface="+mn-ea"/>
            <a:cs typeface="Times New Roman" panose="02020603050405020304" pitchFamily="18" charset="0"/>
          </a:endParaRPr>
        </a:p>
        <a:p>
          <a:r>
            <a:rPr lang="en-US" sz="1200" baseline="0">
              <a:effectLst/>
              <a:latin typeface="Times New Roman" panose="02020603050405020304" pitchFamily="18" charset="0"/>
              <a:ea typeface="+mn-ea"/>
              <a:cs typeface="Times New Roman" panose="02020603050405020304" pitchFamily="18" charset="0"/>
            </a:rPr>
            <a:t>She is an excellent blacksmith; her specialty is decorative wrought iron for gates and similar items.</a:t>
          </a:r>
          <a:endParaRPr lang="en-US" sz="1200">
            <a:effectLst/>
            <a:latin typeface="Times New Roman" panose="02020603050405020304" pitchFamily="18" charset="0"/>
            <a:cs typeface="Times New Roman" panose="02020603050405020304" pitchFamily="18" charset="0"/>
          </a:endParaRPr>
        </a:p>
      </xdr:txBody>
    </xdr:sp>
    <xdr:clientData/>
  </xdr:twoCellAnchor>
  <xdr:twoCellAnchor>
    <xdr:from>
      <xdr:col>5</xdr:col>
      <xdr:colOff>68580</xdr:colOff>
      <xdr:row>13</xdr:row>
      <xdr:rowOff>0</xdr:rowOff>
    </xdr:from>
    <xdr:to>
      <xdr:col>6</xdr:col>
      <xdr:colOff>1240155</xdr:colOff>
      <xdr:row>15</xdr:row>
      <xdr:rowOff>211454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198620" y="2750820"/>
          <a:ext cx="2291715" cy="64579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endParaRPr lang="en-US" sz="1200" b="0" i="1" u="none" strike="noStrike" baseline="0">
            <a:solidFill>
              <a:srgbClr val="000000"/>
            </a:solidFill>
            <a:latin typeface="Times New Roman"/>
            <a:cs typeface="Times New Roman"/>
          </a:endParaRPr>
        </a:p>
      </xdr:txBody>
    </xdr:sp>
    <xdr:clientData/>
  </xdr:twoCellAnchor>
  <xdr:twoCellAnchor editAs="oneCell">
    <xdr:from>
      <xdr:col>5</xdr:col>
      <xdr:colOff>45720</xdr:colOff>
      <xdr:row>1</xdr:row>
      <xdr:rowOff>121920</xdr:rowOff>
    </xdr:from>
    <xdr:to>
      <xdr:col>6</xdr:col>
      <xdr:colOff>1255394</xdr:colOff>
      <xdr:row>11</xdr:row>
      <xdr:rowOff>136894</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5760" y="495300"/>
          <a:ext cx="2329814" cy="2179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162800" y="0"/>
          <a:ext cx="76200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a:extLst>
            <a:ext uri="{FF2B5EF4-FFF2-40B4-BE49-F238E27FC236}">
              <a16:creationId xmlns:a16="http://schemas.microsoft.com/office/drawing/2014/main" id="{00000000-0008-0000-03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14</xdr:row>
      <xdr:rowOff>6926</xdr:rowOff>
    </xdr:from>
    <xdr:to>
      <xdr:col>4</xdr:col>
      <xdr:colOff>0</xdr:colOff>
      <xdr:row>17</xdr:row>
      <xdr:rowOff>230458</xdr:rowOff>
    </xdr:to>
    <xdr:sp macro="" textlink="">
      <xdr:nvSpPr>
        <xdr:cNvPr id="3" name="Right Brace 2">
          <a:extLst>
            <a:ext uri="{FF2B5EF4-FFF2-40B4-BE49-F238E27FC236}">
              <a16:creationId xmlns:a16="http://schemas.microsoft.com/office/drawing/2014/main" id="{08C53975-0088-4A35-B75D-50B5805C6AB1}"/>
            </a:ext>
          </a:extLst>
        </xdr:cNvPr>
        <xdr:cNvSpPr/>
      </xdr:nvSpPr>
      <xdr:spPr bwMode="auto">
        <a:xfrm>
          <a:off x="4572000" y="3419199"/>
          <a:ext cx="159834" cy="866586"/>
        </a:xfrm>
        <a:prstGeom prst="rightBrace">
          <a:avLst>
            <a:gd name="adj1" fmla="val 48333"/>
            <a:gd name="adj2" fmla="val 35866"/>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470535</xdr:colOff>
      <xdr:row>1</xdr:row>
      <xdr:rowOff>123825</xdr:rowOff>
    </xdr:from>
    <xdr:to>
      <xdr:col>3</xdr:col>
      <xdr:colOff>1905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20%3cjoertexas@earthlink.net%3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showGridLines="0" tabSelected="1" zoomScaleNormal="100" workbookViewId="0"/>
  </sheetViews>
  <sheetFormatPr defaultColWidth="13" defaultRowHeight="15.6" x14ac:dyDescent="0.3"/>
  <cols>
    <col min="1" max="1" width="14.3984375" style="46" customWidth="1"/>
    <col min="2" max="3" width="7.59765625" style="47" customWidth="1"/>
    <col min="4" max="4" width="13.69921875" style="46" bestFit="1" customWidth="1"/>
    <col min="5" max="5" width="10.8984375" style="47" bestFit="1" customWidth="1"/>
    <col min="6" max="6" width="14.69921875" style="46" customWidth="1"/>
    <col min="7" max="7" width="17.09765625" style="47" customWidth="1"/>
    <col min="8" max="16384" width="13" style="10"/>
  </cols>
  <sheetData>
    <row r="1" spans="1:7" ht="29.4" thickTop="1" thickBot="1" x14ac:dyDescent="0.35">
      <c r="A1" s="266" t="s">
        <v>238</v>
      </c>
      <c r="B1" s="267"/>
      <c r="C1" s="108"/>
      <c r="D1" s="109"/>
      <c r="E1" s="215"/>
      <c r="F1" s="109"/>
      <c r="G1" s="268" t="s">
        <v>159</v>
      </c>
    </row>
    <row r="2" spans="1:7" ht="17.399999999999999" thickTop="1" x14ac:dyDescent="0.3">
      <c r="A2" s="11" t="s">
        <v>213</v>
      </c>
      <c r="B2" s="139" t="s">
        <v>239</v>
      </c>
      <c r="C2" s="139"/>
      <c r="D2" s="14" t="s">
        <v>226</v>
      </c>
      <c r="E2" s="13" t="s">
        <v>87</v>
      </c>
      <c r="F2" s="15"/>
      <c r="G2" s="16"/>
    </row>
    <row r="3" spans="1:7" ht="16.8" x14ac:dyDescent="0.3">
      <c r="A3" s="11" t="s">
        <v>214</v>
      </c>
      <c r="B3" s="139" t="s">
        <v>86</v>
      </c>
      <c r="C3" s="139"/>
      <c r="D3" s="14" t="s">
        <v>84</v>
      </c>
      <c r="E3" s="13">
        <v>15</v>
      </c>
      <c r="F3" s="14"/>
      <c r="G3" s="16"/>
    </row>
    <row r="4" spans="1:7" ht="16.8" x14ac:dyDescent="0.3">
      <c r="A4" s="11" t="s">
        <v>214</v>
      </c>
      <c r="B4" s="139" t="s">
        <v>301</v>
      </c>
      <c r="C4" s="139"/>
      <c r="D4" s="14" t="s">
        <v>84</v>
      </c>
      <c r="E4" s="13">
        <v>2</v>
      </c>
      <c r="F4" s="14"/>
      <c r="G4" s="16"/>
    </row>
    <row r="5" spans="1:7" ht="16.8" x14ac:dyDescent="0.3">
      <c r="A5" s="11" t="s">
        <v>215</v>
      </c>
      <c r="B5" s="139" t="s">
        <v>251</v>
      </c>
      <c r="C5" s="139"/>
      <c r="D5" s="14" t="s">
        <v>227</v>
      </c>
      <c r="E5" s="13">
        <v>32</v>
      </c>
      <c r="F5" s="14"/>
      <c r="G5" s="16"/>
    </row>
    <row r="6" spans="1:7" ht="16.8" x14ac:dyDescent="0.3">
      <c r="A6" s="11" t="s">
        <v>216</v>
      </c>
      <c r="B6" s="139" t="s">
        <v>252</v>
      </c>
      <c r="C6" s="139"/>
      <c r="D6" s="14" t="s">
        <v>228</v>
      </c>
      <c r="E6" s="13" t="s">
        <v>253</v>
      </c>
      <c r="F6" s="14"/>
      <c r="G6" s="16"/>
    </row>
    <row r="7" spans="1:7" ht="17.399999999999999" thickBot="1" x14ac:dyDescent="0.35">
      <c r="A7" s="11" t="s">
        <v>217</v>
      </c>
      <c r="B7" s="139" t="s">
        <v>255</v>
      </c>
      <c r="C7" s="139"/>
      <c r="D7" s="14" t="s">
        <v>229</v>
      </c>
      <c r="E7" s="13" t="s">
        <v>254</v>
      </c>
      <c r="F7" s="14"/>
      <c r="G7" s="16"/>
    </row>
    <row r="8" spans="1:7" ht="17.399999999999999" thickTop="1" x14ac:dyDescent="0.3">
      <c r="A8" s="17" t="s">
        <v>218</v>
      </c>
      <c r="B8" s="479">
        <f>E3+E4</f>
        <v>17</v>
      </c>
      <c r="C8" s="480"/>
      <c r="D8" s="18" t="s">
        <v>230</v>
      </c>
      <c r="E8" s="19" t="s">
        <v>82</v>
      </c>
      <c r="F8" s="20"/>
      <c r="G8" s="16"/>
    </row>
    <row r="9" spans="1:7" ht="17.399999999999999" thickBot="1" x14ac:dyDescent="0.35">
      <c r="A9" s="343" t="s">
        <v>219</v>
      </c>
      <c r="B9" s="344">
        <f>C11+4</f>
        <v>4</v>
      </c>
      <c r="C9" s="345"/>
      <c r="D9" s="346" t="s">
        <v>231</v>
      </c>
      <c r="E9" s="347" t="s">
        <v>82</v>
      </c>
      <c r="F9" s="20"/>
      <c r="G9" s="16"/>
    </row>
    <row r="10" spans="1:7" ht="16.8" x14ac:dyDescent="0.3">
      <c r="A10" s="21" t="s">
        <v>220</v>
      </c>
      <c r="B10" s="301">
        <f>18</f>
        <v>18</v>
      </c>
      <c r="C10" s="302" t="str">
        <f t="shared" ref="C10:C15" si="0">IF(B10&gt;9.9,CONCATENATE("+",ROUNDDOWN((B10-10)/2,0)),ROUNDUP((B10-10)/2,0))</f>
        <v>+4</v>
      </c>
      <c r="D10" s="22" t="s">
        <v>232</v>
      </c>
      <c r="E10" s="110" t="s">
        <v>240</v>
      </c>
      <c r="F10" s="20"/>
      <c r="G10" s="16"/>
    </row>
    <row r="11" spans="1:7" ht="16.8" x14ac:dyDescent="0.3">
      <c r="A11" s="23" t="s">
        <v>221</v>
      </c>
      <c r="B11" s="303">
        <f>10</f>
        <v>10</v>
      </c>
      <c r="C11" s="304" t="str">
        <f t="shared" si="0"/>
        <v>+0</v>
      </c>
      <c r="D11" s="24" t="s">
        <v>233</v>
      </c>
      <c r="E11" s="25">
        <f>SUM(Martial!G3:G36,Equipment!C3:C21)</f>
        <v>27.5</v>
      </c>
      <c r="F11" s="20"/>
      <c r="G11" s="16"/>
    </row>
    <row r="12" spans="1:7" ht="16.8" x14ac:dyDescent="0.3">
      <c r="A12" s="26" t="s">
        <v>222</v>
      </c>
      <c r="B12" s="303">
        <f>14</f>
        <v>14</v>
      </c>
      <c r="C12" s="305" t="str">
        <f t="shared" si="0"/>
        <v>+2</v>
      </c>
      <c r="D12" s="24" t="s">
        <v>234</v>
      </c>
      <c r="E12" s="27">
        <f>ROUNDUP(((E3*10)*0.75)+((E4*10)*0.75)+((E3+E4)*C12),0)</f>
        <v>162</v>
      </c>
      <c r="F12" s="20"/>
      <c r="G12" s="16"/>
    </row>
    <row r="13" spans="1:7" ht="16.8" x14ac:dyDescent="0.3">
      <c r="A13" s="28" t="s">
        <v>223</v>
      </c>
      <c r="B13" s="306">
        <f>12</f>
        <v>12</v>
      </c>
      <c r="C13" s="304" t="str">
        <f t="shared" si="0"/>
        <v>+1</v>
      </c>
      <c r="D13" s="29" t="s">
        <v>235</v>
      </c>
      <c r="E13" s="481">
        <f>10+C11</f>
        <v>10</v>
      </c>
      <c r="F13" s="11"/>
      <c r="G13" s="16"/>
    </row>
    <row r="14" spans="1:7" ht="16.8" x14ac:dyDescent="0.3">
      <c r="A14" s="30" t="s">
        <v>224</v>
      </c>
      <c r="B14" s="307">
        <f>10</f>
        <v>10</v>
      </c>
      <c r="C14" s="304" t="str">
        <f t="shared" si="0"/>
        <v>+0</v>
      </c>
      <c r="D14" s="29" t="s">
        <v>236</v>
      </c>
      <c r="E14" s="481">
        <f>E15-C11</f>
        <v>29</v>
      </c>
      <c r="F14" s="20"/>
      <c r="G14" s="16"/>
    </row>
    <row r="15" spans="1:7" ht="17.399999999999999" thickBot="1" x14ac:dyDescent="0.35">
      <c r="A15" s="31" t="s">
        <v>225</v>
      </c>
      <c r="B15" s="308">
        <v>9</v>
      </c>
      <c r="C15" s="309">
        <f t="shared" si="0"/>
        <v>-1</v>
      </c>
      <c r="D15" s="32" t="s">
        <v>237</v>
      </c>
      <c r="E15" s="482">
        <f>E13+SUM(Martial!$B$27:$B$33)</f>
        <v>29</v>
      </c>
      <c r="F15" s="20"/>
      <c r="G15" s="16"/>
    </row>
    <row r="16" spans="1:7" ht="24" thickTop="1" thickBot="1" x14ac:dyDescent="0.35">
      <c r="A16" s="33" t="s">
        <v>17</v>
      </c>
      <c r="B16" s="34"/>
      <c r="C16" s="34"/>
      <c r="D16" s="35"/>
      <c r="E16" s="35"/>
      <c r="F16" s="35"/>
      <c r="G16" s="36"/>
    </row>
    <row r="17" spans="1:8" s="40" customFormat="1" ht="17.399999999999999" thickTop="1" x14ac:dyDescent="0.3">
      <c r="A17" s="37"/>
      <c r="B17" s="38"/>
      <c r="C17" s="38"/>
      <c r="D17" s="38"/>
      <c r="E17" s="38"/>
      <c r="F17" s="38"/>
      <c r="G17" s="39"/>
    </row>
    <row r="18" spans="1:8" s="40" customFormat="1" ht="16.8" x14ac:dyDescent="0.3">
      <c r="A18" s="41"/>
      <c r="B18" s="12"/>
      <c r="C18" s="12"/>
      <c r="D18" s="12"/>
      <c r="E18" s="12"/>
      <c r="F18" s="12"/>
      <c r="G18" s="42"/>
    </row>
    <row r="19" spans="1:8" s="40" customFormat="1" ht="16.8" x14ac:dyDescent="0.3">
      <c r="A19" s="41"/>
      <c r="B19" s="12"/>
      <c r="C19" s="12"/>
      <c r="D19" s="12"/>
      <c r="E19" s="12"/>
      <c r="F19" s="12"/>
      <c r="G19" s="42"/>
    </row>
    <row r="20" spans="1:8" s="40" customFormat="1" ht="16.8" x14ac:dyDescent="0.3">
      <c r="A20" s="41"/>
      <c r="B20" s="12"/>
      <c r="C20" s="12"/>
      <c r="D20" s="12"/>
      <c r="E20" s="12"/>
      <c r="F20" s="12"/>
      <c r="G20" s="42"/>
    </row>
    <row r="21" spans="1:8" s="40" customFormat="1" ht="16.8" x14ac:dyDescent="0.3">
      <c r="A21" s="41"/>
      <c r="B21" s="12"/>
      <c r="C21" s="12"/>
      <c r="D21" s="12"/>
      <c r="E21" s="12"/>
      <c r="F21" s="12"/>
      <c r="G21" s="42"/>
    </row>
    <row r="22" spans="1:8" s="40" customFormat="1" ht="16.8" x14ac:dyDescent="0.3">
      <c r="A22" s="41"/>
      <c r="B22" s="12"/>
      <c r="C22" s="12"/>
      <c r="D22" s="12"/>
      <c r="E22" s="12"/>
      <c r="F22" s="12"/>
      <c r="G22" s="42"/>
    </row>
    <row r="23" spans="1:8" s="40" customFormat="1" ht="16.8" x14ac:dyDescent="0.3">
      <c r="A23" s="41"/>
      <c r="B23" s="12"/>
      <c r="C23" s="12"/>
      <c r="D23" s="12"/>
      <c r="E23" s="12"/>
      <c r="F23" s="12"/>
      <c r="G23" s="42"/>
    </row>
    <row r="24" spans="1:8" s="40" customFormat="1" ht="16.8" x14ac:dyDescent="0.3">
      <c r="A24" s="41"/>
      <c r="B24" s="12"/>
      <c r="C24" s="12"/>
      <c r="D24" s="12"/>
      <c r="E24" s="12"/>
      <c r="F24" s="12"/>
      <c r="G24" s="42"/>
    </row>
    <row r="25" spans="1:8" ht="17.399999999999999" thickBot="1" x14ac:dyDescent="0.35">
      <c r="A25" s="43"/>
      <c r="B25" s="44"/>
      <c r="C25" s="44"/>
      <c r="D25" s="44"/>
      <c r="E25" s="44"/>
      <c r="F25" s="44"/>
      <c r="G25" s="45"/>
      <c r="H25" s="40"/>
    </row>
    <row r="26" spans="1:8" ht="16.2" thickTop="1" x14ac:dyDescent="0.3"/>
  </sheetData>
  <phoneticPr fontId="0" type="noConversion"/>
  <conditionalFormatting sqref="E11">
    <cfRule type="cellIs" dxfId="36" priority="4" stopIfTrue="1" operator="greaterThan">
      <formula>116</formula>
    </cfRule>
    <cfRule type="cellIs" dxfId="35" priority="5" stopIfTrue="1" operator="between">
      <formula>58</formula>
      <formula>116</formula>
    </cfRule>
  </conditionalFormatting>
  <hyperlinks>
    <hyperlink ref="G1" r:id="rId1"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4"/>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30.3984375" style="46" bestFit="1" customWidth="1"/>
    <col min="2" max="2" width="5.8984375" style="46" bestFit="1" customWidth="1"/>
    <col min="3" max="3" width="11.59765625" style="47" hidden="1" customWidth="1"/>
    <col min="4" max="4" width="5.796875" style="47" hidden="1" customWidth="1"/>
    <col min="5" max="5" width="9.19921875" style="47" bestFit="1" customWidth="1"/>
    <col min="6" max="6" width="8.19921875" style="47" bestFit="1" customWidth="1"/>
    <col min="7" max="7" width="6" style="476" bestFit="1" customWidth="1"/>
    <col min="8" max="8" width="5.19921875" style="476" bestFit="1" customWidth="1"/>
    <col min="9" max="9" width="6.8984375" style="476" bestFit="1" customWidth="1"/>
    <col min="10" max="10" width="34.69921875" style="46" bestFit="1" customWidth="1"/>
    <col min="11" max="16384" width="13" style="10"/>
  </cols>
  <sheetData>
    <row r="1" spans="1:10" ht="23.4" thickBot="1" x14ac:dyDescent="0.35">
      <c r="A1" s="369" t="s">
        <v>7</v>
      </c>
      <c r="B1" s="370"/>
      <c r="C1" s="370"/>
      <c r="D1" s="370"/>
      <c r="E1" s="370"/>
      <c r="F1" s="370"/>
      <c r="G1" s="371"/>
      <c r="H1" s="371"/>
      <c r="I1" s="371"/>
      <c r="J1" s="370"/>
    </row>
    <row r="2" spans="1:10" s="40" customFormat="1" ht="34.200000000000003" thickBot="1" x14ac:dyDescent="0.35">
      <c r="A2" s="372" t="s">
        <v>209</v>
      </c>
      <c r="B2" s="373" t="s">
        <v>22</v>
      </c>
      <c r="C2" s="373" t="s">
        <v>24</v>
      </c>
      <c r="D2" s="373" t="s">
        <v>21</v>
      </c>
      <c r="E2" s="1" t="s">
        <v>49</v>
      </c>
      <c r="F2" s="1" t="s">
        <v>25</v>
      </c>
      <c r="G2" s="374" t="s">
        <v>51</v>
      </c>
      <c r="H2" s="375" t="s">
        <v>76</v>
      </c>
      <c r="I2" s="374" t="s">
        <v>64</v>
      </c>
      <c r="J2" s="376" t="s">
        <v>0</v>
      </c>
    </row>
    <row r="3" spans="1:10" s="40" customFormat="1" ht="16.8" x14ac:dyDescent="0.3">
      <c r="A3" s="377" t="s">
        <v>53</v>
      </c>
      <c r="B3" s="378">
        <f>9+3</f>
        <v>12</v>
      </c>
      <c r="C3" s="378" t="s">
        <v>222</v>
      </c>
      <c r="D3" s="378" t="str">
        <f>VLOOKUP(C3,'Personal File'!$A$10:$C$15,3,FALSE)</f>
        <v>+2</v>
      </c>
      <c r="E3" s="379" t="str">
        <f t="shared" ref="E3:E46" si="0">CONCATENATE(LEFT(C3,3)," (",D3,")")</f>
        <v>Con (+2)</v>
      </c>
      <c r="F3" s="380">
        <f>1</f>
        <v>1</v>
      </c>
      <c r="G3" s="381">
        <f t="shared" ref="G3:G46" si="1">B3+D3+F3</f>
        <v>15</v>
      </c>
      <c r="H3" s="382">
        <f t="shared" ref="H3:H46" ca="1" si="2">RANDBETWEEN(1,20)</f>
        <v>20</v>
      </c>
      <c r="I3" s="383">
        <f t="shared" ref="I3:I5" ca="1" si="3">SUM(G3:H3)</f>
        <v>35</v>
      </c>
      <c r="J3" s="384" t="s">
        <v>135</v>
      </c>
    </row>
    <row r="4" spans="1:10" s="40" customFormat="1" ht="16.8" x14ac:dyDescent="0.3">
      <c r="A4" s="385" t="s">
        <v>54</v>
      </c>
      <c r="B4" s="378">
        <f>5+0</f>
        <v>5</v>
      </c>
      <c r="C4" s="378" t="s">
        <v>221</v>
      </c>
      <c r="D4" s="378" t="str">
        <f>VLOOKUP(C4,'Personal File'!$A$10:$C$15,3,FALSE)</f>
        <v>+0</v>
      </c>
      <c r="E4" s="386" t="str">
        <f t="shared" si="0"/>
        <v>Dex (+0)</v>
      </c>
      <c r="F4" s="380">
        <f>1</f>
        <v>1</v>
      </c>
      <c r="G4" s="381">
        <f t="shared" si="1"/>
        <v>6</v>
      </c>
      <c r="H4" s="382">
        <f t="shared" ca="1" si="2"/>
        <v>6</v>
      </c>
      <c r="I4" s="383">
        <f t="shared" ca="1" si="3"/>
        <v>12</v>
      </c>
      <c r="J4" s="387" t="s">
        <v>211</v>
      </c>
    </row>
    <row r="5" spans="1:10" s="40" customFormat="1" ht="16.8" x14ac:dyDescent="0.3">
      <c r="A5" s="388" t="s">
        <v>55</v>
      </c>
      <c r="B5" s="389">
        <f>9+0</f>
        <v>9</v>
      </c>
      <c r="C5" s="389" t="s">
        <v>224</v>
      </c>
      <c r="D5" s="389" t="str">
        <f>VLOOKUP(C5,'Personal File'!$A$10:$C$15,3,FALSE)</f>
        <v>+0</v>
      </c>
      <c r="E5" s="390" t="str">
        <f t="shared" si="0"/>
        <v>Wis (+0)</v>
      </c>
      <c r="F5" s="391">
        <f>1</f>
        <v>1</v>
      </c>
      <c r="G5" s="392">
        <f t="shared" si="1"/>
        <v>10</v>
      </c>
      <c r="H5" s="393">
        <f t="shared" ca="1" si="2"/>
        <v>10</v>
      </c>
      <c r="I5" s="394">
        <f t="shared" ca="1" si="3"/>
        <v>20</v>
      </c>
      <c r="J5" s="395" t="s">
        <v>138</v>
      </c>
    </row>
    <row r="6" spans="1:10" s="403" customFormat="1" ht="16.8" x14ac:dyDescent="0.3">
      <c r="A6" s="396" t="s">
        <v>26</v>
      </c>
      <c r="B6" s="397">
        <v>0</v>
      </c>
      <c r="C6" s="398" t="s">
        <v>223</v>
      </c>
      <c r="D6" s="399" t="str">
        <f>VLOOKUP(C6,'Personal File'!$A$10:$C$15,3,FALSE)</f>
        <v>+1</v>
      </c>
      <c r="E6" s="400" t="str">
        <f t="shared" si="0"/>
        <v>Int (+1)</v>
      </c>
      <c r="F6" s="401" t="s">
        <v>50</v>
      </c>
      <c r="G6" s="401">
        <f t="shared" si="1"/>
        <v>1</v>
      </c>
      <c r="H6" s="382">
        <f t="shared" ca="1" si="2"/>
        <v>15</v>
      </c>
      <c r="I6" s="401">
        <f t="shared" ref="I6:I7" ca="1" si="4">SUM(G6:H6)</f>
        <v>16</v>
      </c>
      <c r="J6" s="402"/>
    </row>
    <row r="7" spans="1:10" s="408" customFormat="1" ht="16.8" x14ac:dyDescent="0.3">
      <c r="A7" s="404" t="s">
        <v>27</v>
      </c>
      <c r="B7" s="397">
        <v>0</v>
      </c>
      <c r="C7" s="405" t="s">
        <v>221</v>
      </c>
      <c r="D7" s="406" t="str">
        <f>VLOOKUP(C7,'Personal File'!$A$10:$C$15,3,FALSE)</f>
        <v>+0</v>
      </c>
      <c r="E7" s="386" t="str">
        <f t="shared" si="0"/>
        <v>Dex (+0)</v>
      </c>
      <c r="F7" s="547">
        <f>SUM(Martial!$D$27:$D$33)</f>
        <v>-2</v>
      </c>
      <c r="G7" s="401">
        <f t="shared" si="1"/>
        <v>-2</v>
      </c>
      <c r="H7" s="407">
        <f t="shared" ca="1" si="2"/>
        <v>13</v>
      </c>
      <c r="I7" s="401">
        <f t="shared" ca="1" si="4"/>
        <v>11</v>
      </c>
      <c r="J7" s="402"/>
    </row>
    <row r="8" spans="1:10" s="413" customFormat="1" ht="16.8" x14ac:dyDescent="0.3">
      <c r="A8" s="409" t="s">
        <v>28</v>
      </c>
      <c r="B8" s="397">
        <v>0</v>
      </c>
      <c r="C8" s="410" t="s">
        <v>225</v>
      </c>
      <c r="D8" s="411">
        <f>VLOOKUP(C8,'Personal File'!$A$10:$C$15,3,FALSE)</f>
        <v>-1</v>
      </c>
      <c r="E8" s="412" t="str">
        <f t="shared" si="0"/>
        <v>Cha (-1)</v>
      </c>
      <c r="F8" s="401" t="s">
        <v>50</v>
      </c>
      <c r="G8" s="401">
        <f t="shared" si="1"/>
        <v>-1</v>
      </c>
      <c r="H8" s="407">
        <f t="shared" ca="1" si="2"/>
        <v>10</v>
      </c>
      <c r="I8" s="401">
        <f t="shared" ref="I8:I46" ca="1" si="5">SUM(G8:H8)</f>
        <v>9</v>
      </c>
      <c r="J8" s="402"/>
    </row>
    <row r="9" spans="1:10" s="418" customFormat="1" ht="16.8" x14ac:dyDescent="0.3">
      <c r="A9" s="414" t="s">
        <v>29</v>
      </c>
      <c r="B9" s="397">
        <v>2</v>
      </c>
      <c r="C9" s="415" t="s">
        <v>220</v>
      </c>
      <c r="D9" s="416" t="str">
        <f>VLOOKUP(C9,'Personal File'!$A$10:$C$15,3,FALSE)</f>
        <v>+4</v>
      </c>
      <c r="E9" s="417" t="str">
        <f t="shared" si="0"/>
        <v>Str (+4)</v>
      </c>
      <c r="F9" s="547">
        <f>SUM(Martial!$D$27:$D$33)</f>
        <v>-2</v>
      </c>
      <c r="G9" s="401">
        <f t="shared" si="1"/>
        <v>4</v>
      </c>
      <c r="H9" s="407">
        <f t="shared" ca="1" si="2"/>
        <v>1</v>
      </c>
      <c r="I9" s="401">
        <f t="shared" ca="1" si="5"/>
        <v>5</v>
      </c>
      <c r="J9" s="402"/>
    </row>
    <row r="10" spans="1:10" s="418" customFormat="1" ht="16.8" x14ac:dyDescent="0.3">
      <c r="A10" s="419" t="s">
        <v>8</v>
      </c>
      <c r="B10" s="420">
        <v>9</v>
      </c>
      <c r="C10" s="421" t="s">
        <v>222</v>
      </c>
      <c r="D10" s="422" t="str">
        <f>VLOOKUP(C10,'Personal File'!$A$10:$C$15,3,FALSE)</f>
        <v>+2</v>
      </c>
      <c r="E10" s="423" t="str">
        <f t="shared" si="0"/>
        <v>Con (+2)</v>
      </c>
      <c r="F10" s="424" t="s">
        <v>50</v>
      </c>
      <c r="G10" s="424">
        <f t="shared" si="1"/>
        <v>11</v>
      </c>
      <c r="H10" s="407">
        <f t="shared" ca="1" si="2"/>
        <v>6</v>
      </c>
      <c r="I10" s="424">
        <f t="shared" ca="1" si="5"/>
        <v>17</v>
      </c>
      <c r="J10" s="425"/>
    </row>
    <row r="11" spans="1:10" s="403" customFormat="1" ht="16.8" x14ac:dyDescent="0.3">
      <c r="A11" s="426" t="s">
        <v>293</v>
      </c>
      <c r="B11" s="420">
        <v>3</v>
      </c>
      <c r="C11" s="427" t="s">
        <v>223</v>
      </c>
      <c r="D11" s="428" t="str">
        <f>VLOOKUP(C11,'Personal File'!$A$10:$C$15,3,FALSE)</f>
        <v>+1</v>
      </c>
      <c r="E11" s="429" t="str">
        <f t="shared" si="0"/>
        <v>Int (+1)</v>
      </c>
      <c r="F11" s="424" t="s">
        <v>50</v>
      </c>
      <c r="G11" s="424">
        <f t="shared" si="1"/>
        <v>4</v>
      </c>
      <c r="H11" s="407">
        <f t="shared" ca="1" si="2"/>
        <v>9</v>
      </c>
      <c r="I11" s="424">
        <f t="shared" ca="1" si="5"/>
        <v>13</v>
      </c>
      <c r="J11" s="425"/>
    </row>
    <row r="12" spans="1:10" s="430" customFormat="1" ht="16.8" x14ac:dyDescent="0.3">
      <c r="A12" s="426" t="s">
        <v>30</v>
      </c>
      <c r="B12" s="420">
        <v>1</v>
      </c>
      <c r="C12" s="427" t="s">
        <v>223</v>
      </c>
      <c r="D12" s="428" t="str">
        <f>VLOOKUP(C12,'Personal File'!$A$10:$C$15,3,FALSE)</f>
        <v>+1</v>
      </c>
      <c r="E12" s="429" t="str">
        <f t="shared" si="0"/>
        <v>Int (+1)</v>
      </c>
      <c r="F12" s="424" t="s">
        <v>50</v>
      </c>
      <c r="G12" s="424">
        <f t="shared" si="1"/>
        <v>2</v>
      </c>
      <c r="H12" s="407">
        <f t="shared" ca="1" si="2"/>
        <v>2</v>
      </c>
      <c r="I12" s="424">
        <f t="shared" ca="1" si="5"/>
        <v>4</v>
      </c>
      <c r="J12" s="425"/>
    </row>
    <row r="13" spans="1:10" s="408" customFormat="1" ht="16.8" x14ac:dyDescent="0.3">
      <c r="A13" s="522" t="s">
        <v>31</v>
      </c>
      <c r="B13" s="420">
        <v>10</v>
      </c>
      <c r="C13" s="523" t="s">
        <v>225</v>
      </c>
      <c r="D13" s="524">
        <f>VLOOKUP(C13,'Personal File'!$A$10:$C$15,3,FALSE)</f>
        <v>-1</v>
      </c>
      <c r="E13" s="525" t="str">
        <f t="shared" si="0"/>
        <v>Cha (-1)</v>
      </c>
      <c r="F13" s="424" t="s">
        <v>72</v>
      </c>
      <c r="G13" s="424">
        <f t="shared" si="1"/>
        <v>11</v>
      </c>
      <c r="H13" s="407">
        <f t="shared" ca="1" si="2"/>
        <v>20</v>
      </c>
      <c r="I13" s="424">
        <f t="shared" ca="1" si="5"/>
        <v>31</v>
      </c>
      <c r="J13" s="425"/>
    </row>
    <row r="14" spans="1:10" s="408" customFormat="1" ht="16.8" x14ac:dyDescent="0.3">
      <c r="A14" s="432" t="s">
        <v>32</v>
      </c>
      <c r="B14" s="433">
        <v>0</v>
      </c>
      <c r="C14" s="434" t="s">
        <v>223</v>
      </c>
      <c r="D14" s="435" t="str">
        <f>VLOOKUP(C14,'Personal File'!$A$10:$C$15,3,FALSE)</f>
        <v>+1</v>
      </c>
      <c r="E14" s="436" t="str">
        <f t="shared" si="0"/>
        <v>Int (+1)</v>
      </c>
      <c r="F14" s="437" t="s">
        <v>50</v>
      </c>
      <c r="G14" s="437">
        <f t="shared" si="1"/>
        <v>1</v>
      </c>
      <c r="H14" s="407">
        <f t="shared" ca="1" si="2"/>
        <v>12</v>
      </c>
      <c r="I14" s="437">
        <f t="shared" ca="1" si="5"/>
        <v>13</v>
      </c>
      <c r="J14" s="438"/>
    </row>
    <row r="15" spans="1:10" s="408" customFormat="1" ht="16.8" x14ac:dyDescent="0.3">
      <c r="A15" s="409" t="s">
        <v>33</v>
      </c>
      <c r="B15" s="397">
        <v>0</v>
      </c>
      <c r="C15" s="410" t="s">
        <v>225</v>
      </c>
      <c r="D15" s="411">
        <f>VLOOKUP(C15,'Personal File'!$A$10:$C$15,3,FALSE)</f>
        <v>-1</v>
      </c>
      <c r="E15" s="412" t="str">
        <f t="shared" si="0"/>
        <v>Cha (-1)</v>
      </c>
      <c r="F15" s="401" t="s">
        <v>50</v>
      </c>
      <c r="G15" s="401">
        <f t="shared" si="1"/>
        <v>-1</v>
      </c>
      <c r="H15" s="407">
        <f t="shared" ca="1" si="2"/>
        <v>11</v>
      </c>
      <c r="I15" s="401">
        <f t="shared" ca="1" si="5"/>
        <v>10</v>
      </c>
      <c r="J15" s="431"/>
    </row>
    <row r="16" spans="1:10" s="408" customFormat="1" ht="16.8" x14ac:dyDescent="0.3">
      <c r="A16" s="404" t="s">
        <v>34</v>
      </c>
      <c r="B16" s="397">
        <v>0</v>
      </c>
      <c r="C16" s="405" t="s">
        <v>221</v>
      </c>
      <c r="D16" s="406" t="str">
        <f>VLOOKUP(C16,'Personal File'!$A$10:$C$15,3,FALSE)</f>
        <v>+0</v>
      </c>
      <c r="E16" s="386" t="str">
        <f t="shared" si="0"/>
        <v>Dex (+0)</v>
      </c>
      <c r="F16" s="547">
        <f>SUM(Martial!$D$27:$D$33)</f>
        <v>-2</v>
      </c>
      <c r="G16" s="401">
        <f t="shared" si="1"/>
        <v>-2</v>
      </c>
      <c r="H16" s="407">
        <f t="shared" ca="1" si="2"/>
        <v>13</v>
      </c>
      <c r="I16" s="401">
        <f t="shared" ca="1" si="5"/>
        <v>11</v>
      </c>
      <c r="J16" s="431"/>
    </row>
    <row r="17" spans="1:10" s="408" customFormat="1" ht="16.8" x14ac:dyDescent="0.3">
      <c r="A17" s="396" t="s">
        <v>35</v>
      </c>
      <c r="B17" s="397">
        <v>0</v>
      </c>
      <c r="C17" s="398" t="s">
        <v>223</v>
      </c>
      <c r="D17" s="399" t="str">
        <f>VLOOKUP(C17,'Personal File'!$A$10:$C$15,3,FALSE)</f>
        <v>+1</v>
      </c>
      <c r="E17" s="400" t="str">
        <f t="shared" si="0"/>
        <v>Int (+1)</v>
      </c>
      <c r="F17" s="401" t="s">
        <v>50</v>
      </c>
      <c r="G17" s="401">
        <f t="shared" si="1"/>
        <v>1</v>
      </c>
      <c r="H17" s="407">
        <f t="shared" ca="1" si="2"/>
        <v>4</v>
      </c>
      <c r="I17" s="401">
        <f t="shared" ca="1" si="5"/>
        <v>5</v>
      </c>
      <c r="J17" s="431"/>
    </row>
    <row r="18" spans="1:10" s="408" customFormat="1" ht="16.8" x14ac:dyDescent="0.3">
      <c r="A18" s="409" t="s">
        <v>36</v>
      </c>
      <c r="B18" s="397">
        <v>0</v>
      </c>
      <c r="C18" s="410" t="s">
        <v>225</v>
      </c>
      <c r="D18" s="411">
        <f>VLOOKUP(C18,'Personal File'!$A$10:$C$15,3,FALSE)</f>
        <v>-1</v>
      </c>
      <c r="E18" s="412" t="str">
        <f t="shared" si="0"/>
        <v>Cha (-1)</v>
      </c>
      <c r="F18" s="401" t="s">
        <v>72</v>
      </c>
      <c r="G18" s="401">
        <f t="shared" si="1"/>
        <v>1</v>
      </c>
      <c r="H18" s="407">
        <f t="shared" ca="1" si="2"/>
        <v>15</v>
      </c>
      <c r="I18" s="401">
        <f t="shared" ca="1" si="5"/>
        <v>16</v>
      </c>
      <c r="J18" s="431"/>
    </row>
    <row r="19" spans="1:10" s="408" customFormat="1" ht="16.8" x14ac:dyDescent="0.3">
      <c r="A19" s="409" t="s">
        <v>10</v>
      </c>
      <c r="B19" s="397">
        <v>0</v>
      </c>
      <c r="C19" s="410" t="s">
        <v>225</v>
      </c>
      <c r="D19" s="411">
        <f>VLOOKUP(C19,'Personal File'!$A$10:$C$15,3,FALSE)</f>
        <v>-1</v>
      </c>
      <c r="E19" s="412" t="str">
        <f t="shared" si="0"/>
        <v>Cha (-1)</v>
      </c>
      <c r="F19" s="401" t="s">
        <v>50</v>
      </c>
      <c r="G19" s="401">
        <f t="shared" si="1"/>
        <v>-1</v>
      </c>
      <c r="H19" s="407">
        <f t="shared" ca="1" si="2"/>
        <v>2</v>
      </c>
      <c r="I19" s="401">
        <f t="shared" ca="1" si="5"/>
        <v>1</v>
      </c>
      <c r="J19" s="431"/>
    </row>
    <row r="20" spans="1:10" s="408" customFormat="1" ht="16.8" x14ac:dyDescent="0.3">
      <c r="A20" s="439" t="s">
        <v>37</v>
      </c>
      <c r="B20" s="397">
        <v>0</v>
      </c>
      <c r="C20" s="440" t="s">
        <v>224</v>
      </c>
      <c r="D20" s="441" t="str">
        <f>VLOOKUP(C20,'Personal File'!$A$10:$C$15,3,FALSE)</f>
        <v>+0</v>
      </c>
      <c r="E20" s="442" t="str">
        <f t="shared" si="0"/>
        <v>Wis (+0)</v>
      </c>
      <c r="F20" s="401" t="s">
        <v>50</v>
      </c>
      <c r="G20" s="401">
        <f t="shared" si="1"/>
        <v>0</v>
      </c>
      <c r="H20" s="407">
        <f t="shared" ca="1" si="2"/>
        <v>15</v>
      </c>
      <c r="I20" s="401">
        <f t="shared" ca="1" si="5"/>
        <v>15</v>
      </c>
      <c r="J20" s="431"/>
    </row>
    <row r="21" spans="1:10" s="408" customFormat="1" ht="16.8" x14ac:dyDescent="0.3">
      <c r="A21" s="404" t="s">
        <v>38</v>
      </c>
      <c r="B21" s="397">
        <v>0</v>
      </c>
      <c r="C21" s="405" t="s">
        <v>221</v>
      </c>
      <c r="D21" s="406" t="str">
        <f>VLOOKUP(C21,'Personal File'!$A$10:$C$15,3,FALSE)</f>
        <v>+0</v>
      </c>
      <c r="E21" s="386" t="str">
        <f t="shared" si="0"/>
        <v>Dex (+0)</v>
      </c>
      <c r="F21" s="547">
        <f>SUM(Martial!$D$27:$D$33)</f>
        <v>-2</v>
      </c>
      <c r="G21" s="401">
        <f t="shared" si="1"/>
        <v>-2</v>
      </c>
      <c r="H21" s="407">
        <f t="shared" ca="1" si="2"/>
        <v>19</v>
      </c>
      <c r="I21" s="401">
        <f t="shared" ca="1" si="5"/>
        <v>17</v>
      </c>
      <c r="J21" s="431"/>
    </row>
    <row r="22" spans="1:10" s="408" customFormat="1" ht="16.8" x14ac:dyDescent="0.3">
      <c r="A22" s="409" t="s">
        <v>39</v>
      </c>
      <c r="B22" s="397">
        <v>0</v>
      </c>
      <c r="C22" s="410" t="s">
        <v>225</v>
      </c>
      <c r="D22" s="411">
        <f>VLOOKUP(C22,'Personal File'!$A$10:$C$15,3,FALSE)</f>
        <v>-1</v>
      </c>
      <c r="E22" s="412" t="str">
        <f t="shared" si="0"/>
        <v>Cha (-1)</v>
      </c>
      <c r="F22" s="401" t="s">
        <v>50</v>
      </c>
      <c r="G22" s="401">
        <f t="shared" si="1"/>
        <v>-1</v>
      </c>
      <c r="H22" s="407">
        <f t="shared" ca="1" si="2"/>
        <v>8</v>
      </c>
      <c r="I22" s="401">
        <f t="shared" ca="1" si="5"/>
        <v>7</v>
      </c>
      <c r="J22" s="431"/>
    </row>
    <row r="23" spans="1:10" s="408" customFormat="1" ht="16.8" x14ac:dyDescent="0.3">
      <c r="A23" s="443" t="s">
        <v>40</v>
      </c>
      <c r="B23" s="420">
        <v>2</v>
      </c>
      <c r="C23" s="444" t="s">
        <v>220</v>
      </c>
      <c r="D23" s="445" t="str">
        <f>VLOOKUP(C23,'Personal File'!$A$10:$C$15,3,FALSE)</f>
        <v>+4</v>
      </c>
      <c r="E23" s="446" t="str">
        <f t="shared" si="0"/>
        <v>Str (+4)</v>
      </c>
      <c r="F23" s="424">
        <f>SUM(Martial!$D$27:$D$33)</f>
        <v>-2</v>
      </c>
      <c r="G23" s="424">
        <f t="shared" si="1"/>
        <v>4</v>
      </c>
      <c r="H23" s="407">
        <f t="shared" ca="1" si="2"/>
        <v>3</v>
      </c>
      <c r="I23" s="424">
        <f t="shared" ca="1" si="5"/>
        <v>7</v>
      </c>
      <c r="J23" s="425"/>
    </row>
    <row r="24" spans="1:10" s="408" customFormat="1" ht="16.8" x14ac:dyDescent="0.3">
      <c r="A24" s="426" t="s">
        <v>78</v>
      </c>
      <c r="B24" s="420">
        <v>7</v>
      </c>
      <c r="C24" s="427" t="s">
        <v>223</v>
      </c>
      <c r="D24" s="428" t="str">
        <f>VLOOKUP(C24,'Personal File'!$A$10:$C$15,3,FALSE)</f>
        <v>+1</v>
      </c>
      <c r="E24" s="429" t="str">
        <f t="shared" si="0"/>
        <v>Int (+1)</v>
      </c>
      <c r="F24" s="424" t="s">
        <v>50</v>
      </c>
      <c r="G24" s="424">
        <f t="shared" ref="G24:G29" si="6">B24+D24+F24</f>
        <v>8</v>
      </c>
      <c r="H24" s="407">
        <f t="shared" ca="1" si="2"/>
        <v>18</v>
      </c>
      <c r="I24" s="424">
        <f t="shared" ref="I24:I29" ca="1" si="7">SUM(G24:H24)</f>
        <v>26</v>
      </c>
      <c r="J24" s="425"/>
    </row>
    <row r="25" spans="1:10" s="408" customFormat="1" ht="16.8" x14ac:dyDescent="0.3">
      <c r="A25" s="426" t="s">
        <v>88</v>
      </c>
      <c r="B25" s="420">
        <v>1</v>
      </c>
      <c r="C25" s="427" t="s">
        <v>223</v>
      </c>
      <c r="D25" s="428" t="str">
        <f>VLOOKUP(C25,'Personal File'!$A$10:$C$15,3,FALSE)</f>
        <v>+1</v>
      </c>
      <c r="E25" s="429" t="str">
        <f t="shared" si="0"/>
        <v>Int (+1)</v>
      </c>
      <c r="F25" s="424" t="s">
        <v>50</v>
      </c>
      <c r="G25" s="424">
        <f t="shared" ref="G25:G28" si="8">B25+D25+F25</f>
        <v>2</v>
      </c>
      <c r="H25" s="407">
        <f t="shared" ca="1" si="2"/>
        <v>7</v>
      </c>
      <c r="I25" s="424">
        <f t="shared" ref="I25:I28" ca="1" si="9">SUM(G25:H25)</f>
        <v>9</v>
      </c>
      <c r="J25" s="425"/>
    </row>
    <row r="26" spans="1:10" s="408" customFormat="1" ht="16.8" x14ac:dyDescent="0.3">
      <c r="A26" s="426" t="s">
        <v>89</v>
      </c>
      <c r="B26" s="420">
        <v>1</v>
      </c>
      <c r="C26" s="427" t="s">
        <v>223</v>
      </c>
      <c r="D26" s="428" t="str">
        <f>VLOOKUP(C26,'Personal File'!$A$10:$C$15,3,FALSE)</f>
        <v>+1</v>
      </c>
      <c r="E26" s="429" t="str">
        <f t="shared" si="0"/>
        <v>Int (+1)</v>
      </c>
      <c r="F26" s="424" t="s">
        <v>50</v>
      </c>
      <c r="G26" s="424">
        <f t="shared" si="8"/>
        <v>2</v>
      </c>
      <c r="H26" s="407">
        <f t="shared" ca="1" si="2"/>
        <v>2</v>
      </c>
      <c r="I26" s="424">
        <f t="shared" ca="1" si="9"/>
        <v>4</v>
      </c>
      <c r="J26" s="425"/>
    </row>
    <row r="27" spans="1:10" s="408" customFormat="1" ht="16.8" x14ac:dyDescent="0.3">
      <c r="A27" s="426" t="s">
        <v>90</v>
      </c>
      <c r="B27" s="420">
        <v>1</v>
      </c>
      <c r="C27" s="427" t="s">
        <v>223</v>
      </c>
      <c r="D27" s="428" t="str">
        <f>VLOOKUP(C27,'Personal File'!$A$10:$C$15,3,FALSE)</f>
        <v>+1</v>
      </c>
      <c r="E27" s="429" t="str">
        <f t="shared" si="0"/>
        <v>Int (+1)</v>
      </c>
      <c r="F27" s="424" t="s">
        <v>50</v>
      </c>
      <c r="G27" s="424">
        <f t="shared" si="8"/>
        <v>2</v>
      </c>
      <c r="H27" s="407">
        <f t="shared" ca="1" si="2"/>
        <v>18</v>
      </c>
      <c r="I27" s="424">
        <f t="shared" ca="1" si="9"/>
        <v>20</v>
      </c>
      <c r="J27" s="425"/>
    </row>
    <row r="28" spans="1:10" s="408" customFormat="1" ht="16.8" x14ac:dyDescent="0.3">
      <c r="A28" s="426" t="s">
        <v>91</v>
      </c>
      <c r="B28" s="420">
        <v>1</v>
      </c>
      <c r="C28" s="427" t="s">
        <v>223</v>
      </c>
      <c r="D28" s="428" t="str">
        <f>VLOOKUP(C28,'Personal File'!$A$10:$C$15,3,FALSE)</f>
        <v>+1</v>
      </c>
      <c r="E28" s="429" t="str">
        <f t="shared" si="0"/>
        <v>Int (+1)</v>
      </c>
      <c r="F28" s="424" t="s">
        <v>50</v>
      </c>
      <c r="G28" s="424">
        <f t="shared" si="8"/>
        <v>2</v>
      </c>
      <c r="H28" s="407">
        <f t="shared" ca="1" si="2"/>
        <v>19</v>
      </c>
      <c r="I28" s="424">
        <f t="shared" ca="1" si="9"/>
        <v>21</v>
      </c>
      <c r="J28" s="425"/>
    </row>
    <row r="29" spans="1:10" s="408" customFormat="1" ht="16.8" x14ac:dyDescent="0.3">
      <c r="A29" s="426" t="s">
        <v>92</v>
      </c>
      <c r="B29" s="420">
        <v>4</v>
      </c>
      <c r="C29" s="427" t="s">
        <v>223</v>
      </c>
      <c r="D29" s="428" t="str">
        <f>VLOOKUP(C29,'Personal File'!$A$10:$C$15,3,FALSE)</f>
        <v>+1</v>
      </c>
      <c r="E29" s="429" t="str">
        <f t="shared" si="0"/>
        <v>Int (+1)</v>
      </c>
      <c r="F29" s="424" t="s">
        <v>50</v>
      </c>
      <c r="G29" s="424">
        <f t="shared" si="6"/>
        <v>5</v>
      </c>
      <c r="H29" s="407">
        <f t="shared" ca="1" si="2"/>
        <v>16</v>
      </c>
      <c r="I29" s="424">
        <f t="shared" ca="1" si="7"/>
        <v>21</v>
      </c>
      <c r="J29" s="425"/>
    </row>
    <row r="30" spans="1:10" s="408" customFormat="1" ht="16.8" x14ac:dyDescent="0.3">
      <c r="A30" s="447" t="s">
        <v>41</v>
      </c>
      <c r="B30" s="420">
        <v>1</v>
      </c>
      <c r="C30" s="448" t="s">
        <v>224</v>
      </c>
      <c r="D30" s="449" t="str">
        <f>VLOOKUP(C30,'Personal File'!$A$10:$C$15,3,FALSE)</f>
        <v>+0</v>
      </c>
      <c r="E30" s="450" t="str">
        <f t="shared" si="0"/>
        <v>Wis (+0)</v>
      </c>
      <c r="F30" s="424" t="s">
        <v>73</v>
      </c>
      <c r="G30" s="424">
        <f t="shared" si="1"/>
        <v>2</v>
      </c>
      <c r="H30" s="407">
        <f t="shared" ca="1" si="2"/>
        <v>15</v>
      </c>
      <c r="I30" s="424">
        <f t="shared" ca="1" si="5"/>
        <v>17</v>
      </c>
      <c r="J30" s="425"/>
    </row>
    <row r="31" spans="1:10" s="408" customFormat="1" ht="16.8" x14ac:dyDescent="0.3">
      <c r="A31" s="404" t="s">
        <v>11</v>
      </c>
      <c r="B31" s="397">
        <v>0</v>
      </c>
      <c r="C31" s="405" t="s">
        <v>221</v>
      </c>
      <c r="D31" s="406" t="str">
        <f>VLOOKUP(C31,'Personal File'!$A$10:$C$15,3,FALSE)</f>
        <v>+0</v>
      </c>
      <c r="E31" s="386" t="str">
        <f t="shared" si="0"/>
        <v>Dex (+0)</v>
      </c>
      <c r="F31" s="547">
        <f>SUM(Martial!$D$27:$D$33)</f>
        <v>-2</v>
      </c>
      <c r="G31" s="401">
        <f t="shared" si="1"/>
        <v>-2</v>
      </c>
      <c r="H31" s="407">
        <f t="shared" ca="1" si="2"/>
        <v>8</v>
      </c>
      <c r="I31" s="401">
        <f t="shared" ca="1" si="5"/>
        <v>6</v>
      </c>
      <c r="J31" s="431"/>
    </row>
    <row r="32" spans="1:10" s="408" customFormat="1" ht="16.8" x14ac:dyDescent="0.3">
      <c r="A32" s="451" t="s">
        <v>42</v>
      </c>
      <c r="B32" s="433">
        <v>0</v>
      </c>
      <c r="C32" s="452" t="s">
        <v>221</v>
      </c>
      <c r="D32" s="453" t="str">
        <f>VLOOKUP(C32,'Personal File'!$A$10:$C$15,3,FALSE)</f>
        <v>+0</v>
      </c>
      <c r="E32" s="454" t="str">
        <f t="shared" si="0"/>
        <v>Dex (+0)</v>
      </c>
      <c r="F32" s="437" t="s">
        <v>50</v>
      </c>
      <c r="G32" s="437">
        <f t="shared" si="1"/>
        <v>0</v>
      </c>
      <c r="H32" s="407">
        <f t="shared" ca="1" si="2"/>
        <v>20</v>
      </c>
      <c r="I32" s="437">
        <f t="shared" ca="1" si="5"/>
        <v>20</v>
      </c>
      <c r="J32" s="438"/>
    </row>
    <row r="33" spans="1:10" ht="16.8" x14ac:dyDescent="0.3">
      <c r="A33" s="409" t="s">
        <v>77</v>
      </c>
      <c r="B33" s="397">
        <v>0</v>
      </c>
      <c r="C33" s="410" t="s">
        <v>225</v>
      </c>
      <c r="D33" s="411">
        <f>VLOOKUP(C33,'Personal File'!$A$10:$C$15,3,FALSE)</f>
        <v>-1</v>
      </c>
      <c r="E33" s="412" t="str">
        <f t="shared" si="0"/>
        <v>Cha (-1)</v>
      </c>
      <c r="F33" s="401" t="s">
        <v>50</v>
      </c>
      <c r="G33" s="401">
        <f t="shared" si="1"/>
        <v>-1</v>
      </c>
      <c r="H33" s="407">
        <f t="shared" ca="1" si="2"/>
        <v>1</v>
      </c>
      <c r="I33" s="401">
        <f t="shared" ca="1" si="5"/>
        <v>0</v>
      </c>
      <c r="J33" s="431"/>
    </row>
    <row r="34" spans="1:10" ht="16.8" x14ac:dyDescent="0.3">
      <c r="A34" s="455" t="s">
        <v>241</v>
      </c>
      <c r="B34" s="433">
        <v>2</v>
      </c>
      <c r="C34" s="456" t="s">
        <v>224</v>
      </c>
      <c r="D34" s="457" t="str">
        <f>VLOOKUP(C34,'Personal File'!$A$10:$C$15,3,FALSE)</f>
        <v>+0</v>
      </c>
      <c r="E34" s="458" t="str">
        <f t="shared" si="0"/>
        <v>Wis (+0)</v>
      </c>
      <c r="F34" s="437" t="s">
        <v>50</v>
      </c>
      <c r="G34" s="437">
        <f t="shared" si="1"/>
        <v>2</v>
      </c>
      <c r="H34" s="407">
        <f t="shared" ca="1" si="2"/>
        <v>14</v>
      </c>
      <c r="I34" s="437">
        <f t="shared" ca="1" si="5"/>
        <v>16</v>
      </c>
      <c r="J34" s="438"/>
    </row>
    <row r="35" spans="1:10" ht="16.8" x14ac:dyDescent="0.3">
      <c r="A35" s="459" t="s">
        <v>12</v>
      </c>
      <c r="B35" s="420">
        <v>2</v>
      </c>
      <c r="C35" s="460" t="s">
        <v>221</v>
      </c>
      <c r="D35" s="461" t="str">
        <f>VLOOKUP(C35,'Personal File'!$A$10:$C$15,3,FALSE)</f>
        <v>+0</v>
      </c>
      <c r="E35" s="462" t="str">
        <f t="shared" si="0"/>
        <v>Dex (+0)</v>
      </c>
      <c r="F35" s="424" t="s">
        <v>50</v>
      </c>
      <c r="G35" s="424">
        <f t="shared" si="1"/>
        <v>2</v>
      </c>
      <c r="H35" s="407">
        <f t="shared" ca="1" si="2"/>
        <v>19</v>
      </c>
      <c r="I35" s="424">
        <f t="shared" ca="1" si="5"/>
        <v>21</v>
      </c>
      <c r="J35" s="425"/>
    </row>
    <row r="36" spans="1:10" ht="16.8" x14ac:dyDescent="0.3">
      <c r="A36" s="426" t="s">
        <v>13</v>
      </c>
      <c r="B36" s="420">
        <v>1</v>
      </c>
      <c r="C36" s="427" t="s">
        <v>223</v>
      </c>
      <c r="D36" s="428" t="str">
        <f>VLOOKUP(C36,'Personal File'!$A$10:$C$15,3,FALSE)</f>
        <v>+1</v>
      </c>
      <c r="E36" s="429" t="str">
        <f t="shared" si="0"/>
        <v>Int (+1)</v>
      </c>
      <c r="F36" s="424" t="s">
        <v>73</v>
      </c>
      <c r="G36" s="424">
        <f t="shared" si="1"/>
        <v>3</v>
      </c>
      <c r="H36" s="407">
        <f t="shared" ca="1" si="2"/>
        <v>2</v>
      </c>
      <c r="I36" s="424">
        <f t="shared" ca="1" si="5"/>
        <v>5</v>
      </c>
      <c r="J36" s="425"/>
    </row>
    <row r="37" spans="1:10" ht="16.8" x14ac:dyDescent="0.3">
      <c r="A37" s="447" t="s">
        <v>43</v>
      </c>
      <c r="B37" s="420">
        <v>5</v>
      </c>
      <c r="C37" s="448" t="s">
        <v>224</v>
      </c>
      <c r="D37" s="449" t="str">
        <f>VLOOKUP(C37,'Personal File'!$A$10:$C$15,3,FALSE)</f>
        <v>+0</v>
      </c>
      <c r="E37" s="450" t="str">
        <f t="shared" si="0"/>
        <v>Wis (+0)</v>
      </c>
      <c r="F37" s="424" t="s">
        <v>50</v>
      </c>
      <c r="G37" s="424">
        <f t="shared" si="1"/>
        <v>5</v>
      </c>
      <c r="H37" s="407">
        <f t="shared" ca="1" si="2"/>
        <v>8</v>
      </c>
      <c r="I37" s="424">
        <f t="shared" ca="1" si="5"/>
        <v>13</v>
      </c>
      <c r="J37" s="425"/>
    </row>
    <row r="38" spans="1:10" ht="16.8" x14ac:dyDescent="0.3">
      <c r="A38" s="451" t="s">
        <v>67</v>
      </c>
      <c r="B38" s="433">
        <v>0</v>
      </c>
      <c r="C38" s="452" t="s">
        <v>221</v>
      </c>
      <c r="D38" s="453" t="str">
        <f>VLOOKUP(C38,'Personal File'!$A$10:$C$15,3,FALSE)</f>
        <v>+0</v>
      </c>
      <c r="E38" s="454" t="str">
        <f t="shared" si="0"/>
        <v>Dex (+0)</v>
      </c>
      <c r="F38" s="437">
        <f>SUM(Martial!$D$27:$D$33)</f>
        <v>-2</v>
      </c>
      <c r="G38" s="437">
        <f t="shared" si="1"/>
        <v>-2</v>
      </c>
      <c r="H38" s="407">
        <f t="shared" ca="1" si="2"/>
        <v>10</v>
      </c>
      <c r="I38" s="437">
        <f t="shared" ca="1" si="5"/>
        <v>8</v>
      </c>
      <c r="J38" s="438"/>
    </row>
    <row r="39" spans="1:10" ht="16.8" x14ac:dyDescent="0.3">
      <c r="A39" s="432" t="s">
        <v>93</v>
      </c>
      <c r="B39" s="433">
        <v>0</v>
      </c>
      <c r="C39" s="434" t="s">
        <v>223</v>
      </c>
      <c r="D39" s="435" t="str">
        <f>VLOOKUP(C39,'Personal File'!$A$10:$C$15,3,FALSE)</f>
        <v>+1</v>
      </c>
      <c r="E39" s="436" t="str">
        <f t="shared" si="0"/>
        <v>Int (+1)</v>
      </c>
      <c r="F39" s="437" t="s">
        <v>50</v>
      </c>
      <c r="G39" s="437">
        <f t="shared" ref="G39" si="10">B39+D39+F39</f>
        <v>1</v>
      </c>
      <c r="H39" s="407">
        <f t="shared" ca="1" si="2"/>
        <v>12</v>
      </c>
      <c r="I39" s="437">
        <f t="shared" ref="I39" ca="1" si="11">SUM(G39:H39)</f>
        <v>13</v>
      </c>
      <c r="J39" s="463"/>
    </row>
    <row r="40" spans="1:10" ht="16.8" x14ac:dyDescent="0.3">
      <c r="A40" s="426" t="s">
        <v>44</v>
      </c>
      <c r="B40" s="420">
        <v>7</v>
      </c>
      <c r="C40" s="427" t="s">
        <v>223</v>
      </c>
      <c r="D40" s="428" t="str">
        <f>VLOOKUP(C40,'Personal File'!$A$10:$C$15,3,FALSE)</f>
        <v>+1</v>
      </c>
      <c r="E40" s="429" t="str">
        <f t="shared" si="0"/>
        <v>Int (+1)</v>
      </c>
      <c r="F40" s="424" t="s">
        <v>50</v>
      </c>
      <c r="G40" s="424">
        <f t="shared" ref="G40" si="12">B40+D40+F40</f>
        <v>8</v>
      </c>
      <c r="H40" s="407">
        <f t="shared" ca="1" si="2"/>
        <v>17</v>
      </c>
      <c r="I40" s="424">
        <f t="shared" ref="I40" ca="1" si="13">SUM(G40:H40)</f>
        <v>25</v>
      </c>
      <c r="J40" s="464"/>
    </row>
    <row r="41" spans="1:10" ht="16.8" x14ac:dyDescent="0.3">
      <c r="A41" s="439" t="s">
        <v>45</v>
      </c>
      <c r="B41" s="397">
        <v>0</v>
      </c>
      <c r="C41" s="440" t="s">
        <v>224</v>
      </c>
      <c r="D41" s="441" t="str">
        <f>VLOOKUP(C41,'Personal File'!$A$10:$C$15,3,FALSE)</f>
        <v>+0</v>
      </c>
      <c r="E41" s="442" t="str">
        <f t="shared" si="0"/>
        <v>Wis (+0)</v>
      </c>
      <c r="F41" s="401" t="s">
        <v>73</v>
      </c>
      <c r="G41" s="401">
        <f t="shared" si="1"/>
        <v>1</v>
      </c>
      <c r="H41" s="407">
        <f t="shared" ca="1" si="2"/>
        <v>14</v>
      </c>
      <c r="I41" s="401">
        <f t="shared" ca="1" si="5"/>
        <v>15</v>
      </c>
      <c r="J41" s="387"/>
    </row>
    <row r="42" spans="1:10" ht="16.8" x14ac:dyDescent="0.3">
      <c r="A42" s="439" t="s">
        <v>68</v>
      </c>
      <c r="B42" s="397">
        <v>0</v>
      </c>
      <c r="C42" s="440" t="s">
        <v>224</v>
      </c>
      <c r="D42" s="441" t="str">
        <f>VLOOKUP(C42,'Personal File'!$A$10:$C$15,3,FALSE)</f>
        <v>+0</v>
      </c>
      <c r="E42" s="442" t="str">
        <f t="shared" si="0"/>
        <v>Wis (+0)</v>
      </c>
      <c r="F42" s="401" t="s">
        <v>50</v>
      </c>
      <c r="G42" s="401">
        <f t="shared" si="1"/>
        <v>0</v>
      </c>
      <c r="H42" s="407">
        <f t="shared" ca="1" si="2"/>
        <v>14</v>
      </c>
      <c r="I42" s="401">
        <f t="shared" ca="1" si="5"/>
        <v>14</v>
      </c>
      <c r="J42" s="431"/>
    </row>
    <row r="43" spans="1:10" ht="16.8" x14ac:dyDescent="0.3">
      <c r="A43" s="443" t="s">
        <v>14</v>
      </c>
      <c r="B43" s="420">
        <v>2</v>
      </c>
      <c r="C43" s="444" t="s">
        <v>220</v>
      </c>
      <c r="D43" s="445" t="str">
        <f>VLOOKUP(C43,'Personal File'!$A$10:$C$15,3,FALSE)</f>
        <v>+4</v>
      </c>
      <c r="E43" s="446" t="str">
        <f t="shared" si="0"/>
        <v>Str (+4)</v>
      </c>
      <c r="F43" s="424" t="s">
        <v>50</v>
      </c>
      <c r="G43" s="424">
        <f t="shared" si="1"/>
        <v>6</v>
      </c>
      <c r="H43" s="407">
        <f t="shared" ca="1" si="2"/>
        <v>6</v>
      </c>
      <c r="I43" s="424">
        <f t="shared" ca="1" si="5"/>
        <v>12</v>
      </c>
      <c r="J43" s="425"/>
    </row>
    <row r="44" spans="1:10" ht="16.8" x14ac:dyDescent="0.3">
      <c r="A44" s="451" t="s">
        <v>46</v>
      </c>
      <c r="B44" s="433">
        <v>0</v>
      </c>
      <c r="C44" s="452" t="s">
        <v>221</v>
      </c>
      <c r="D44" s="453" t="str">
        <f>VLOOKUP(C44,'Personal File'!$A$10:$C$15,3,FALSE)</f>
        <v>+0</v>
      </c>
      <c r="E44" s="454" t="str">
        <f t="shared" si="0"/>
        <v>Dex (+0)</v>
      </c>
      <c r="F44" s="437">
        <f>SUM(Martial!$D$27:$D$33)</f>
        <v>-2</v>
      </c>
      <c r="G44" s="437">
        <f t="shared" si="1"/>
        <v>-2</v>
      </c>
      <c r="H44" s="407">
        <f t="shared" ca="1" si="2"/>
        <v>15</v>
      </c>
      <c r="I44" s="437">
        <f t="shared" ca="1" si="5"/>
        <v>13</v>
      </c>
      <c r="J44" s="438"/>
    </row>
    <row r="45" spans="1:10" ht="16.8" x14ac:dyDescent="0.3">
      <c r="A45" s="522" t="s">
        <v>47</v>
      </c>
      <c r="B45" s="420">
        <v>2</v>
      </c>
      <c r="C45" s="523" t="s">
        <v>225</v>
      </c>
      <c r="D45" s="524">
        <f>VLOOKUP(C45,'Personal File'!$A$10:$C$15,3,FALSE)</f>
        <v>-1</v>
      </c>
      <c r="E45" s="525" t="str">
        <f t="shared" si="0"/>
        <v>Cha (-1)</v>
      </c>
      <c r="F45" s="424" t="s">
        <v>50</v>
      </c>
      <c r="G45" s="424">
        <f t="shared" si="1"/>
        <v>1</v>
      </c>
      <c r="H45" s="407">
        <f t="shared" ca="1" si="2"/>
        <v>11</v>
      </c>
      <c r="I45" s="424">
        <f t="shared" ca="1" si="5"/>
        <v>12</v>
      </c>
      <c r="J45" s="425"/>
    </row>
    <row r="46" spans="1:10" ht="17.399999999999999" thickBot="1" x14ac:dyDescent="0.35">
      <c r="A46" s="465" t="s">
        <v>48</v>
      </c>
      <c r="B46" s="466">
        <v>0</v>
      </c>
      <c r="C46" s="467" t="s">
        <v>221</v>
      </c>
      <c r="D46" s="468" t="str">
        <f>VLOOKUP(C46,'Personal File'!$A$10:$C$15,3,FALSE)</f>
        <v>+0</v>
      </c>
      <c r="E46" s="469" t="str">
        <f t="shared" si="0"/>
        <v>Dex (+0)</v>
      </c>
      <c r="F46" s="470" t="s">
        <v>50</v>
      </c>
      <c r="G46" s="470">
        <f t="shared" si="1"/>
        <v>0</v>
      </c>
      <c r="H46" s="471">
        <f t="shared" ca="1" si="2"/>
        <v>5</v>
      </c>
      <c r="I46" s="470">
        <f t="shared" ca="1" si="5"/>
        <v>5</v>
      </c>
      <c r="J46" s="472"/>
    </row>
    <row r="47" spans="1:10" ht="16.2" thickTop="1" x14ac:dyDescent="0.3">
      <c r="B47" s="473">
        <f>SUM(B6:B46)</f>
        <v>64</v>
      </c>
      <c r="E47" s="474">
        <f>SUM(E48:E65)</f>
        <v>64</v>
      </c>
      <c r="F47" s="475" t="s">
        <v>51</v>
      </c>
    </row>
    <row r="48" spans="1:10" x14ac:dyDescent="0.3">
      <c r="B48" s="473"/>
      <c r="E48" s="477">
        <f>4*(2+'Personal File'!$C$13)</f>
        <v>12</v>
      </c>
      <c r="F48" s="478" t="s">
        <v>94</v>
      </c>
    </row>
    <row r="49" spans="2:6" x14ac:dyDescent="0.3">
      <c r="B49" s="473"/>
      <c r="E49" s="477">
        <f>2+'Personal File'!$C$13</f>
        <v>3</v>
      </c>
      <c r="F49" s="478" t="s">
        <v>95</v>
      </c>
    </row>
    <row r="50" spans="2:6" x14ac:dyDescent="0.3">
      <c r="B50" s="473"/>
      <c r="E50" s="477">
        <f>2+'Personal File'!$C$13</f>
        <v>3</v>
      </c>
      <c r="F50" s="478" t="s">
        <v>96</v>
      </c>
    </row>
    <row r="51" spans="2:6" x14ac:dyDescent="0.3">
      <c r="B51" s="473"/>
      <c r="E51" s="477">
        <f>2+'Personal File'!$C$13</f>
        <v>3</v>
      </c>
      <c r="F51" s="478" t="s">
        <v>97</v>
      </c>
    </row>
    <row r="52" spans="2:6" x14ac:dyDescent="0.3">
      <c r="E52" s="477">
        <f>2+'Personal File'!$C$13</f>
        <v>3</v>
      </c>
      <c r="F52" s="478" t="s">
        <v>141</v>
      </c>
    </row>
    <row r="53" spans="2:6" x14ac:dyDescent="0.3">
      <c r="E53" s="477">
        <f>2+'Personal File'!$C$13</f>
        <v>3</v>
      </c>
      <c r="F53" s="478" t="s">
        <v>142</v>
      </c>
    </row>
    <row r="54" spans="2:6" x14ac:dyDescent="0.3">
      <c r="E54" s="477">
        <f>2+'Personal File'!$C$13</f>
        <v>3</v>
      </c>
      <c r="F54" s="478" t="s">
        <v>143</v>
      </c>
    </row>
    <row r="55" spans="2:6" x14ac:dyDescent="0.3">
      <c r="E55" s="477">
        <f>2+'Personal File'!$C$13</f>
        <v>3</v>
      </c>
      <c r="F55" s="478" t="s">
        <v>144</v>
      </c>
    </row>
    <row r="56" spans="2:6" x14ac:dyDescent="0.3">
      <c r="E56" s="477">
        <f>2+'Personal File'!$C$13</f>
        <v>3</v>
      </c>
      <c r="F56" s="478" t="s">
        <v>166</v>
      </c>
    </row>
    <row r="57" spans="2:6" x14ac:dyDescent="0.3">
      <c r="E57" s="477">
        <f>2+'Personal File'!$C$13</f>
        <v>3</v>
      </c>
      <c r="F57" s="478" t="s">
        <v>175</v>
      </c>
    </row>
    <row r="58" spans="2:6" x14ac:dyDescent="0.3">
      <c r="E58" s="477">
        <f>2+'Personal File'!$C$13</f>
        <v>3</v>
      </c>
      <c r="F58" s="478" t="s">
        <v>185</v>
      </c>
    </row>
    <row r="59" spans="2:6" x14ac:dyDescent="0.3">
      <c r="E59" s="477">
        <f>2+'Personal File'!$C$13</f>
        <v>3</v>
      </c>
      <c r="F59" s="478" t="s">
        <v>283</v>
      </c>
    </row>
    <row r="60" spans="2:6" x14ac:dyDescent="0.3">
      <c r="E60" s="477">
        <f>2+'Personal File'!$C$13</f>
        <v>3</v>
      </c>
      <c r="F60" s="478" t="s">
        <v>297</v>
      </c>
    </row>
    <row r="61" spans="2:6" x14ac:dyDescent="0.3">
      <c r="E61" s="477">
        <f>2+'Personal File'!$C$13</f>
        <v>3</v>
      </c>
      <c r="F61" s="478" t="s">
        <v>298</v>
      </c>
    </row>
    <row r="62" spans="2:6" x14ac:dyDescent="0.3">
      <c r="E62" s="477">
        <f>2+'Personal File'!$C$13</f>
        <v>3</v>
      </c>
      <c r="F62" s="478" t="s">
        <v>312</v>
      </c>
    </row>
    <row r="63" spans="2:6" x14ac:dyDescent="0.3">
      <c r="E63" s="477">
        <f>4+'Personal File'!$C$13</f>
        <v>5</v>
      </c>
      <c r="F63" s="478" t="s">
        <v>313</v>
      </c>
    </row>
    <row r="64" spans="2:6" x14ac:dyDescent="0.3">
      <c r="E64" s="477">
        <f>4+'Personal File'!$C$13</f>
        <v>5</v>
      </c>
      <c r="F64" s="478" t="s">
        <v>314</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0"/>
  <sheetViews>
    <sheetView showGridLines="0" zoomScaleNormal="100" workbookViewId="0"/>
  </sheetViews>
  <sheetFormatPr defaultColWidth="18.19921875" defaultRowHeight="15.6" x14ac:dyDescent="0.3"/>
  <cols>
    <col min="1" max="1" width="23.69921875" style="123" bestFit="1" customWidth="1"/>
    <col min="2" max="2" width="6.19921875" style="123" bestFit="1" customWidth="1"/>
    <col min="3" max="3" width="13.59765625" style="124" bestFit="1" customWidth="1"/>
    <col min="4" max="4" width="11.296875" style="124" bestFit="1" customWidth="1"/>
    <col min="5" max="5" width="7.3984375" style="125" bestFit="1" customWidth="1"/>
    <col min="6" max="6" width="13.19921875" style="124" bestFit="1" customWidth="1"/>
    <col min="7" max="7" width="9.796875" style="124" bestFit="1" customWidth="1"/>
    <col min="8" max="8" width="21.69921875" style="123" bestFit="1" customWidth="1"/>
    <col min="9" max="9" width="5.5" style="122" bestFit="1" customWidth="1"/>
    <col min="10" max="16384" width="18.19921875" style="122"/>
  </cols>
  <sheetData>
    <row r="1" spans="1:9" ht="23.4" thickBot="1" x14ac:dyDescent="0.45">
      <c r="A1" s="264" t="s">
        <v>125</v>
      </c>
      <c r="B1" s="135"/>
      <c r="C1" s="135"/>
      <c r="D1" s="135"/>
      <c r="E1" s="136"/>
      <c r="F1" s="135"/>
      <c r="G1" s="135"/>
      <c r="H1" s="135"/>
    </row>
    <row r="2" spans="1:9" s="159" customFormat="1" ht="16.8" x14ac:dyDescent="0.3">
      <c r="A2" s="258" t="s">
        <v>124</v>
      </c>
      <c r="B2" s="259" t="s">
        <v>84</v>
      </c>
      <c r="C2" s="259" t="s">
        <v>123</v>
      </c>
      <c r="D2" s="260" t="s">
        <v>122</v>
      </c>
      <c r="E2" s="261" t="s">
        <v>121</v>
      </c>
      <c r="F2" s="259" t="s">
        <v>120</v>
      </c>
      <c r="G2" s="259" t="s">
        <v>119</v>
      </c>
      <c r="H2" s="262" t="s">
        <v>128</v>
      </c>
      <c r="I2" s="263" t="s">
        <v>129</v>
      </c>
    </row>
    <row r="3" spans="1:9" s="134" customFormat="1" ht="16.8" x14ac:dyDescent="0.3">
      <c r="A3" s="265" t="s">
        <v>152</v>
      </c>
      <c r="B3" s="133">
        <v>0</v>
      </c>
      <c r="C3" s="160" t="s">
        <v>118</v>
      </c>
      <c r="D3" s="127" t="s">
        <v>108</v>
      </c>
      <c r="E3" s="161" t="s">
        <v>107</v>
      </c>
      <c r="F3" s="137" t="s">
        <v>116</v>
      </c>
      <c r="G3" s="137" t="s">
        <v>106</v>
      </c>
      <c r="H3" s="137" t="s">
        <v>126</v>
      </c>
      <c r="I3" s="138">
        <v>196</v>
      </c>
    </row>
    <row r="4" spans="1:9" ht="16.8" x14ac:dyDescent="0.3">
      <c r="A4" s="265" t="s">
        <v>130</v>
      </c>
      <c r="B4" s="133">
        <v>0</v>
      </c>
      <c r="C4" s="132" t="s">
        <v>131</v>
      </c>
      <c r="D4" s="127" t="s">
        <v>112</v>
      </c>
      <c r="E4" s="130" t="s">
        <v>107</v>
      </c>
      <c r="F4" s="130" t="s">
        <v>116</v>
      </c>
      <c r="G4" s="130" t="s">
        <v>110</v>
      </c>
      <c r="H4" s="137" t="s">
        <v>126</v>
      </c>
      <c r="I4" s="138">
        <v>217</v>
      </c>
    </row>
    <row r="5" spans="1:9" ht="16.8" x14ac:dyDescent="0.3">
      <c r="A5" s="265" t="s">
        <v>117</v>
      </c>
      <c r="B5" s="133">
        <v>0</v>
      </c>
      <c r="C5" s="132" t="s">
        <v>139</v>
      </c>
      <c r="D5" s="131" t="s">
        <v>108</v>
      </c>
      <c r="E5" s="130" t="s">
        <v>107</v>
      </c>
      <c r="F5" s="130" t="s">
        <v>116</v>
      </c>
      <c r="G5" s="130" t="s">
        <v>106</v>
      </c>
      <c r="H5" s="137" t="s">
        <v>126</v>
      </c>
      <c r="I5" s="138">
        <v>223</v>
      </c>
    </row>
    <row r="6" spans="1:9" ht="16.8" x14ac:dyDescent="0.3">
      <c r="A6" s="265" t="s">
        <v>167</v>
      </c>
      <c r="B6" s="133">
        <v>0</v>
      </c>
      <c r="C6" s="163" t="s">
        <v>156</v>
      </c>
      <c r="D6" s="127" t="s">
        <v>108</v>
      </c>
      <c r="E6" s="161" t="s">
        <v>107</v>
      </c>
      <c r="F6" s="137" t="s">
        <v>154</v>
      </c>
      <c r="G6" s="137" t="s">
        <v>106</v>
      </c>
      <c r="H6" s="137" t="s">
        <v>126</v>
      </c>
      <c r="I6" s="138">
        <v>246</v>
      </c>
    </row>
    <row r="7" spans="1:9" ht="16.8" x14ac:dyDescent="0.3">
      <c r="A7" s="548" t="s">
        <v>153</v>
      </c>
      <c r="B7" s="549">
        <v>0</v>
      </c>
      <c r="C7" s="550" t="s">
        <v>139</v>
      </c>
      <c r="D7" s="551" t="s">
        <v>112</v>
      </c>
      <c r="E7" s="552" t="s">
        <v>107</v>
      </c>
      <c r="F7" s="553" t="s">
        <v>114</v>
      </c>
      <c r="G7" s="553" t="s">
        <v>113</v>
      </c>
      <c r="H7" s="553" t="s">
        <v>126</v>
      </c>
      <c r="I7" s="554">
        <v>294</v>
      </c>
    </row>
    <row r="8" spans="1:9" ht="16.8" x14ac:dyDescent="0.3">
      <c r="A8" s="265" t="s">
        <v>168</v>
      </c>
      <c r="B8" s="133">
        <v>1</v>
      </c>
      <c r="C8" s="163" t="s">
        <v>139</v>
      </c>
      <c r="D8" s="127" t="s">
        <v>108</v>
      </c>
      <c r="E8" s="161" t="s">
        <v>107</v>
      </c>
      <c r="F8" s="137" t="s">
        <v>114</v>
      </c>
      <c r="G8" s="137" t="s">
        <v>106</v>
      </c>
      <c r="H8" s="137" t="s">
        <v>126</v>
      </c>
      <c r="I8" s="191">
        <v>209</v>
      </c>
    </row>
    <row r="9" spans="1:9" ht="16.8" x14ac:dyDescent="0.3">
      <c r="A9" s="265" t="s">
        <v>169</v>
      </c>
      <c r="B9" s="133">
        <v>1</v>
      </c>
      <c r="C9" s="163" t="s">
        <v>132</v>
      </c>
      <c r="D9" s="127" t="s">
        <v>134</v>
      </c>
      <c r="E9" s="161" t="s">
        <v>170</v>
      </c>
      <c r="F9" s="137" t="s">
        <v>116</v>
      </c>
      <c r="G9" s="137" t="s">
        <v>113</v>
      </c>
      <c r="H9" s="137" t="s">
        <v>126</v>
      </c>
      <c r="I9" s="191">
        <v>229</v>
      </c>
    </row>
    <row r="10" spans="1:9" ht="16.8" x14ac:dyDescent="0.3">
      <c r="A10" s="265" t="s">
        <v>187</v>
      </c>
      <c r="B10" s="133">
        <v>1</v>
      </c>
      <c r="C10" s="163" t="s">
        <v>156</v>
      </c>
      <c r="D10" s="127" t="s">
        <v>134</v>
      </c>
      <c r="E10" s="161" t="s">
        <v>107</v>
      </c>
      <c r="F10" s="137" t="s">
        <v>154</v>
      </c>
      <c r="G10" s="137" t="s">
        <v>110</v>
      </c>
      <c r="H10" s="137" t="s">
        <v>155</v>
      </c>
      <c r="I10" s="138">
        <v>145</v>
      </c>
    </row>
    <row r="11" spans="1:9" ht="16.8" x14ac:dyDescent="0.3">
      <c r="A11" s="265" t="s">
        <v>115</v>
      </c>
      <c r="B11" s="133">
        <v>1</v>
      </c>
      <c r="C11" s="332" t="s">
        <v>109</v>
      </c>
      <c r="D11" s="127" t="s">
        <v>108</v>
      </c>
      <c r="E11" s="161" t="s">
        <v>107</v>
      </c>
      <c r="F11" s="162" t="s">
        <v>114</v>
      </c>
      <c r="G11" s="162" t="s">
        <v>106</v>
      </c>
      <c r="H11" s="137" t="s">
        <v>126</v>
      </c>
      <c r="I11" s="138">
        <v>279</v>
      </c>
    </row>
    <row r="12" spans="1:9" ht="16.8" x14ac:dyDescent="0.3">
      <c r="A12" s="265" t="s">
        <v>151</v>
      </c>
      <c r="B12" s="133">
        <v>1</v>
      </c>
      <c r="C12" s="163" t="s">
        <v>132</v>
      </c>
      <c r="D12" s="127" t="s">
        <v>134</v>
      </c>
      <c r="E12" s="161" t="s">
        <v>111</v>
      </c>
      <c r="F12" s="137" t="s">
        <v>154</v>
      </c>
      <c r="G12" s="137" t="s">
        <v>110</v>
      </c>
      <c r="H12" s="137" t="s">
        <v>155</v>
      </c>
      <c r="I12" s="138">
        <v>149</v>
      </c>
    </row>
    <row r="13" spans="1:9" ht="16.8" x14ac:dyDescent="0.3">
      <c r="A13" s="265" t="s">
        <v>243</v>
      </c>
      <c r="B13" s="133">
        <v>1</v>
      </c>
      <c r="C13" s="163" t="s">
        <v>132</v>
      </c>
      <c r="D13" s="127" t="s">
        <v>108</v>
      </c>
      <c r="E13" s="161" t="s">
        <v>107</v>
      </c>
      <c r="F13" s="137" t="s">
        <v>154</v>
      </c>
      <c r="G13" s="137" t="s">
        <v>188</v>
      </c>
      <c r="H13" s="137" t="s">
        <v>189</v>
      </c>
      <c r="I13" s="138">
        <v>72</v>
      </c>
    </row>
    <row r="14" spans="1:9" ht="16.8" x14ac:dyDescent="0.3">
      <c r="A14" s="548" t="s">
        <v>329</v>
      </c>
      <c r="B14" s="555">
        <v>1</v>
      </c>
      <c r="C14" s="556" t="s">
        <v>156</v>
      </c>
      <c r="D14" s="557" t="s">
        <v>330</v>
      </c>
      <c r="E14" s="558" t="s">
        <v>107</v>
      </c>
      <c r="F14" s="558" t="s">
        <v>154</v>
      </c>
      <c r="G14" s="558" t="s">
        <v>267</v>
      </c>
      <c r="H14" s="553" t="s">
        <v>126</v>
      </c>
      <c r="I14" s="554">
        <v>296</v>
      </c>
    </row>
    <row r="15" spans="1:9" ht="16.8" x14ac:dyDescent="0.3">
      <c r="A15" s="265" t="s">
        <v>171</v>
      </c>
      <c r="B15" s="129">
        <v>2</v>
      </c>
      <c r="C15" s="163" t="s">
        <v>132</v>
      </c>
      <c r="D15" s="127" t="s">
        <v>174</v>
      </c>
      <c r="E15" s="161" t="s">
        <v>107</v>
      </c>
      <c r="F15" s="137" t="s">
        <v>114</v>
      </c>
      <c r="G15" s="137" t="s">
        <v>157</v>
      </c>
      <c r="H15" s="137" t="s">
        <v>126</v>
      </c>
      <c r="I15" s="138">
        <v>203</v>
      </c>
    </row>
    <row r="16" spans="1:9" ht="16.8" x14ac:dyDescent="0.3">
      <c r="A16" s="265" t="s">
        <v>262</v>
      </c>
      <c r="B16" s="129">
        <v>2</v>
      </c>
      <c r="C16" s="163" t="s">
        <v>132</v>
      </c>
      <c r="D16" s="127" t="s">
        <v>260</v>
      </c>
      <c r="E16" s="161" t="s">
        <v>107</v>
      </c>
      <c r="F16" s="137" t="s">
        <v>114</v>
      </c>
      <c r="G16" s="137" t="s">
        <v>263</v>
      </c>
      <c r="H16" s="137" t="s">
        <v>126</v>
      </c>
      <c r="I16" s="138">
        <v>207</v>
      </c>
    </row>
    <row r="17" spans="1:9" ht="16.8" x14ac:dyDescent="0.3">
      <c r="A17" s="265" t="s">
        <v>133</v>
      </c>
      <c r="B17" s="129">
        <v>2</v>
      </c>
      <c r="C17" s="163" t="s">
        <v>118</v>
      </c>
      <c r="D17" s="127" t="s">
        <v>134</v>
      </c>
      <c r="E17" s="161" t="s">
        <v>107</v>
      </c>
      <c r="F17" s="137" t="s">
        <v>114</v>
      </c>
      <c r="G17" s="137" t="s">
        <v>106</v>
      </c>
      <c r="H17" s="137" t="s">
        <v>127</v>
      </c>
      <c r="I17" s="138">
        <v>110</v>
      </c>
    </row>
    <row r="18" spans="1:9" ht="16.8" x14ac:dyDescent="0.3">
      <c r="A18" s="265" t="s">
        <v>172</v>
      </c>
      <c r="B18" s="129">
        <v>2</v>
      </c>
      <c r="C18" s="163" t="s">
        <v>173</v>
      </c>
      <c r="D18" s="127" t="s">
        <v>174</v>
      </c>
      <c r="E18" s="161" t="s">
        <v>107</v>
      </c>
      <c r="F18" s="137" t="s">
        <v>114</v>
      </c>
      <c r="G18" s="137" t="s">
        <v>157</v>
      </c>
      <c r="H18" s="137" t="s">
        <v>126</v>
      </c>
      <c r="I18" s="138">
        <v>272</v>
      </c>
    </row>
    <row r="19" spans="1:9" ht="16.8" x14ac:dyDescent="0.3">
      <c r="A19" s="265" t="s">
        <v>264</v>
      </c>
      <c r="B19" s="129">
        <v>2</v>
      </c>
      <c r="C19" s="128" t="s">
        <v>139</v>
      </c>
      <c r="D19" s="127" t="s">
        <v>108</v>
      </c>
      <c r="E19" s="146" t="s">
        <v>107</v>
      </c>
      <c r="F19" s="126" t="s">
        <v>114</v>
      </c>
      <c r="G19" s="126" t="s">
        <v>106</v>
      </c>
      <c r="H19" s="137" t="s">
        <v>155</v>
      </c>
      <c r="I19" s="138">
        <v>158</v>
      </c>
    </row>
    <row r="20" spans="1:9" ht="16.8" x14ac:dyDescent="0.3">
      <c r="A20" s="265" t="s">
        <v>190</v>
      </c>
      <c r="B20" s="129">
        <v>2</v>
      </c>
      <c r="C20" s="128" t="s">
        <v>132</v>
      </c>
      <c r="D20" s="127" t="s">
        <v>134</v>
      </c>
      <c r="E20" s="146" t="s">
        <v>111</v>
      </c>
      <c r="F20" s="126" t="s">
        <v>154</v>
      </c>
      <c r="G20" s="126" t="s">
        <v>110</v>
      </c>
      <c r="H20" s="137" t="s">
        <v>155</v>
      </c>
      <c r="I20" s="138">
        <v>149</v>
      </c>
    </row>
    <row r="21" spans="1:9" ht="16.8" x14ac:dyDescent="0.3">
      <c r="A21" s="548" t="s">
        <v>328</v>
      </c>
      <c r="B21" s="555">
        <v>2</v>
      </c>
      <c r="C21" s="556" t="s">
        <v>132</v>
      </c>
      <c r="D21" s="557" t="s">
        <v>108</v>
      </c>
      <c r="E21" s="558" t="s">
        <v>111</v>
      </c>
      <c r="F21" s="558" t="s">
        <v>154</v>
      </c>
      <c r="G21" s="558" t="s">
        <v>110</v>
      </c>
      <c r="H21" s="553" t="s">
        <v>155</v>
      </c>
      <c r="I21" s="554">
        <v>158</v>
      </c>
    </row>
    <row r="22" spans="1:9" ht="16.8" x14ac:dyDescent="0.3">
      <c r="A22" s="265" t="s">
        <v>256</v>
      </c>
      <c r="B22" s="129">
        <v>3</v>
      </c>
      <c r="C22" s="128" t="s">
        <v>132</v>
      </c>
      <c r="D22" s="127" t="s">
        <v>112</v>
      </c>
      <c r="E22" s="146" t="s">
        <v>107</v>
      </c>
      <c r="F22" s="126" t="s">
        <v>116</v>
      </c>
      <c r="G22" s="126" t="s">
        <v>113</v>
      </c>
      <c r="H22" s="137" t="s">
        <v>126</v>
      </c>
      <c r="I22" s="138">
        <v>239</v>
      </c>
    </row>
    <row r="23" spans="1:9" ht="16.8" x14ac:dyDescent="0.3">
      <c r="A23" s="265" t="s">
        <v>265</v>
      </c>
      <c r="B23" s="129">
        <v>3</v>
      </c>
      <c r="C23" s="163" t="s">
        <v>132</v>
      </c>
      <c r="D23" s="127" t="s">
        <v>108</v>
      </c>
      <c r="E23" s="161" t="s">
        <v>107</v>
      </c>
      <c r="F23" s="137" t="s">
        <v>116</v>
      </c>
      <c r="G23" s="137" t="s">
        <v>157</v>
      </c>
      <c r="H23" s="137" t="s">
        <v>126</v>
      </c>
      <c r="I23" s="138">
        <v>246</v>
      </c>
    </row>
    <row r="24" spans="1:9" ht="16.8" x14ac:dyDescent="0.3">
      <c r="A24" s="265" t="s">
        <v>266</v>
      </c>
      <c r="B24" s="129">
        <v>3</v>
      </c>
      <c r="C24" s="163" t="s">
        <v>139</v>
      </c>
      <c r="D24" s="127" t="s">
        <v>108</v>
      </c>
      <c r="E24" s="161" t="s">
        <v>107</v>
      </c>
      <c r="F24" s="137" t="s">
        <v>114</v>
      </c>
      <c r="G24" s="137" t="s">
        <v>267</v>
      </c>
      <c r="H24" s="137" t="s">
        <v>126</v>
      </c>
      <c r="I24" s="138">
        <v>298</v>
      </c>
    </row>
    <row r="25" spans="1:9" ht="16.8" x14ac:dyDescent="0.3">
      <c r="A25" s="548" t="s">
        <v>333</v>
      </c>
      <c r="B25" s="555">
        <v>3</v>
      </c>
      <c r="C25" s="556" t="s">
        <v>132</v>
      </c>
      <c r="D25" s="557" t="s">
        <v>334</v>
      </c>
      <c r="E25" s="558" t="s">
        <v>107</v>
      </c>
      <c r="F25" s="558" t="s">
        <v>154</v>
      </c>
      <c r="G25" s="558" t="s">
        <v>157</v>
      </c>
      <c r="H25" s="553" t="s">
        <v>335</v>
      </c>
      <c r="I25" s="554">
        <v>73</v>
      </c>
    </row>
    <row r="26" spans="1:9" ht="16.8" x14ac:dyDescent="0.3">
      <c r="A26" s="265" t="s">
        <v>257</v>
      </c>
      <c r="B26" s="129">
        <v>4</v>
      </c>
      <c r="C26" s="128" t="s">
        <v>173</v>
      </c>
      <c r="D26" s="511" t="s">
        <v>108</v>
      </c>
      <c r="E26" s="126" t="s">
        <v>107</v>
      </c>
      <c r="F26" s="126" t="s">
        <v>258</v>
      </c>
      <c r="G26" s="126" t="s">
        <v>106</v>
      </c>
      <c r="H26" s="137" t="s">
        <v>126</v>
      </c>
      <c r="I26" s="138">
        <v>223</v>
      </c>
    </row>
    <row r="27" spans="1:9" ht="16.8" x14ac:dyDescent="0.3">
      <c r="A27" s="265" t="s">
        <v>259</v>
      </c>
      <c r="B27" s="129">
        <v>4</v>
      </c>
      <c r="C27" s="128" t="s">
        <v>109</v>
      </c>
      <c r="D27" s="511" t="s">
        <v>260</v>
      </c>
      <c r="E27" s="126" t="s">
        <v>107</v>
      </c>
      <c r="F27" s="126" t="s">
        <v>154</v>
      </c>
      <c r="G27" s="126" t="s">
        <v>113</v>
      </c>
      <c r="H27" s="137" t="s">
        <v>126</v>
      </c>
      <c r="I27" s="138">
        <v>230</v>
      </c>
    </row>
    <row r="28" spans="1:9" ht="16.8" x14ac:dyDescent="0.3">
      <c r="A28" s="265" t="s">
        <v>331</v>
      </c>
      <c r="B28" s="129">
        <v>4</v>
      </c>
      <c r="C28" s="128" t="s">
        <v>132</v>
      </c>
      <c r="D28" s="511" t="s">
        <v>134</v>
      </c>
      <c r="E28" s="126" t="s">
        <v>107</v>
      </c>
      <c r="F28" s="126" t="s">
        <v>332</v>
      </c>
      <c r="G28" s="126" t="s">
        <v>106</v>
      </c>
      <c r="H28" s="137" t="s">
        <v>126</v>
      </c>
      <c r="I28" s="138">
        <v>221</v>
      </c>
    </row>
    <row r="29" spans="1:9" ht="17.399999999999999" thickBot="1" x14ac:dyDescent="0.35">
      <c r="A29" s="559" t="s">
        <v>259</v>
      </c>
      <c r="B29" s="560">
        <v>4</v>
      </c>
      <c r="C29" s="561" t="s">
        <v>109</v>
      </c>
      <c r="D29" s="562" t="s">
        <v>260</v>
      </c>
      <c r="E29" s="562" t="s">
        <v>107</v>
      </c>
      <c r="F29" s="562" t="s">
        <v>154</v>
      </c>
      <c r="G29" s="562" t="s">
        <v>113</v>
      </c>
      <c r="H29" s="562" t="s">
        <v>126</v>
      </c>
      <c r="I29" s="563">
        <v>230</v>
      </c>
    </row>
    <row r="30" spans="1:9" ht="16.2" thickTop="1" x14ac:dyDescent="0.3"/>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5"/>
  <sheetViews>
    <sheetView showGridLines="0" zoomScaleNormal="100" workbookViewId="0"/>
  </sheetViews>
  <sheetFormatPr defaultColWidth="9.59765625" defaultRowHeight="16.8" x14ac:dyDescent="0.3"/>
  <cols>
    <col min="1" max="1" width="28.796875" style="51" bestFit="1" customWidth="1"/>
    <col min="2" max="2" width="2.09765625" style="50" customWidth="1"/>
    <col min="3" max="3" width="29.09765625" style="50" bestFit="1" customWidth="1"/>
    <col min="4" max="4" width="2.09765625" style="50" customWidth="1"/>
    <col min="5" max="5" width="26.09765625" style="50" bestFit="1" customWidth="1"/>
    <col min="6" max="6" width="3.59765625" style="50" bestFit="1" customWidth="1"/>
    <col min="7" max="7" width="3.3984375" style="50" bestFit="1" customWidth="1"/>
    <col min="8" max="8" width="3.8984375" style="50" bestFit="1" customWidth="1"/>
    <col min="9" max="9" width="3.69921875" style="50" bestFit="1" customWidth="1"/>
    <col min="10" max="11" width="3.59765625" style="50" bestFit="1" customWidth="1"/>
    <col min="12" max="12" width="2.09765625" style="12" customWidth="1"/>
    <col min="13" max="13" width="5.69921875" style="50" bestFit="1" customWidth="1"/>
    <col min="14" max="14" width="1.8984375" style="50" bestFit="1" customWidth="1"/>
    <col min="15" max="15" width="3.3984375" style="50" bestFit="1" customWidth="1"/>
    <col min="16" max="16" width="3.8984375" style="50" bestFit="1" customWidth="1"/>
    <col min="17" max="17" width="3.69921875" style="50" bestFit="1" customWidth="1"/>
    <col min="18" max="19" width="3.59765625" style="50" bestFit="1" customWidth="1"/>
    <col min="20" max="16384" width="9.59765625" style="50"/>
  </cols>
  <sheetData>
    <row r="1" spans="1:19" ht="24" thickTop="1" thickBot="1" x14ac:dyDescent="0.35">
      <c r="A1" s="164" t="s">
        <v>70</v>
      </c>
      <c r="B1" s="12"/>
      <c r="C1" s="165" t="s">
        <v>99</v>
      </c>
      <c r="E1" s="242"/>
      <c r="F1" s="352" t="s">
        <v>197</v>
      </c>
      <c r="G1" s="353"/>
      <c r="H1" s="354"/>
      <c r="I1" s="354"/>
      <c r="J1" s="354"/>
      <c r="K1" s="355"/>
      <c r="M1" s="544" t="s">
        <v>320</v>
      </c>
      <c r="N1" s="158"/>
      <c r="O1" s="158"/>
      <c r="P1" s="158"/>
      <c r="Q1" s="158"/>
      <c r="R1" s="158"/>
      <c r="S1" s="158"/>
    </row>
    <row r="2" spans="1:19" ht="18" thickTop="1" thickBot="1" x14ac:dyDescent="0.35">
      <c r="A2" s="537" t="s">
        <v>165</v>
      </c>
      <c r="B2" s="12"/>
      <c r="C2" s="310" t="s">
        <v>244</v>
      </c>
      <c r="E2" s="242"/>
      <c r="F2" s="356" t="s">
        <v>191</v>
      </c>
      <c r="G2" s="357" t="s">
        <v>146</v>
      </c>
      <c r="H2" s="357" t="s">
        <v>147</v>
      </c>
      <c r="I2" s="357" t="s">
        <v>148</v>
      </c>
      <c r="J2" s="357" t="s">
        <v>149</v>
      </c>
      <c r="K2" s="358" t="s">
        <v>150</v>
      </c>
      <c r="M2" s="317" t="s">
        <v>84</v>
      </c>
      <c r="N2" s="318">
        <v>0</v>
      </c>
      <c r="O2" s="319" t="s">
        <v>146</v>
      </c>
      <c r="P2" s="319" t="s">
        <v>147</v>
      </c>
      <c r="Q2" s="319" t="s">
        <v>148</v>
      </c>
      <c r="R2" s="319" t="s">
        <v>149</v>
      </c>
      <c r="S2" s="320" t="s">
        <v>150</v>
      </c>
    </row>
    <row r="3" spans="1:19" ht="17.399999999999999" thickTop="1" x14ac:dyDescent="0.3">
      <c r="A3" s="537" t="s">
        <v>242</v>
      </c>
      <c r="B3" s="12"/>
      <c r="C3" s="321" t="s">
        <v>245</v>
      </c>
      <c r="E3" s="243" t="s">
        <v>202</v>
      </c>
      <c r="F3" s="244">
        <v>6</v>
      </c>
      <c r="G3" s="245">
        <v>9</v>
      </c>
      <c r="H3" s="245">
        <v>8</v>
      </c>
      <c r="I3" s="245">
        <v>7</v>
      </c>
      <c r="J3" s="245">
        <v>5</v>
      </c>
      <c r="K3" s="246">
        <v>0</v>
      </c>
      <c r="M3" s="322">
        <v>1</v>
      </c>
      <c r="N3" s="323">
        <f>2+'Personal File'!C13</f>
        <v>3</v>
      </c>
      <c r="O3" s="324">
        <v>2</v>
      </c>
      <c r="P3" s="325"/>
      <c r="Q3" s="325"/>
      <c r="R3" s="325"/>
      <c r="S3" s="326"/>
    </row>
    <row r="4" spans="1:19" ht="17.399999999999999" thickBot="1" x14ac:dyDescent="0.35">
      <c r="A4" s="537" t="s">
        <v>158</v>
      </c>
      <c r="B4" s="12"/>
      <c r="C4" s="333" t="s">
        <v>246</v>
      </c>
      <c r="E4" s="247" t="s">
        <v>196</v>
      </c>
      <c r="F4" s="248">
        <v>0</v>
      </c>
      <c r="G4" s="248">
        <v>1</v>
      </c>
      <c r="H4" s="248">
        <v>1</v>
      </c>
      <c r="I4" s="248">
        <v>0</v>
      </c>
      <c r="J4" s="248">
        <v>0</v>
      </c>
      <c r="K4" s="249">
        <v>0</v>
      </c>
      <c r="M4" s="327">
        <v>2</v>
      </c>
      <c r="N4" s="328">
        <f t="shared" ref="N4" si="0">N3</f>
        <v>3</v>
      </c>
      <c r="O4" s="324">
        <f>O3+1</f>
        <v>3</v>
      </c>
      <c r="P4" s="329"/>
      <c r="Q4" s="329"/>
      <c r="R4" s="329"/>
      <c r="S4" s="330"/>
    </row>
    <row r="5" spans="1:19" ht="18" thickTop="1" thickBot="1" x14ac:dyDescent="0.35">
      <c r="A5" s="538" t="s">
        <v>163</v>
      </c>
      <c r="B5" s="12"/>
      <c r="E5" s="250" t="s">
        <v>192</v>
      </c>
      <c r="F5" s="361">
        <f t="shared" ref="F5:J5" si="1">SUM(F3:F4)</f>
        <v>6</v>
      </c>
      <c r="G5" s="361">
        <f t="shared" si="1"/>
        <v>10</v>
      </c>
      <c r="H5" s="361">
        <f t="shared" si="1"/>
        <v>9</v>
      </c>
      <c r="I5" s="361">
        <f t="shared" si="1"/>
        <v>7</v>
      </c>
      <c r="J5" s="361">
        <f t="shared" si="1"/>
        <v>5</v>
      </c>
      <c r="K5" s="251">
        <v>0</v>
      </c>
      <c r="M5" s="327">
        <v>3</v>
      </c>
      <c r="N5" s="328">
        <f t="shared" ref="N5" si="2">N4</f>
        <v>3</v>
      </c>
      <c r="O5" s="324">
        <f>O4+1</f>
        <v>4</v>
      </c>
      <c r="P5" s="329"/>
      <c r="Q5" s="329"/>
      <c r="R5" s="329"/>
      <c r="S5" s="330"/>
    </row>
    <row r="6" spans="1:19" ht="22.2" thickTop="1" thickBot="1" x14ac:dyDescent="0.35">
      <c r="A6" s="538" t="s">
        <v>315</v>
      </c>
      <c r="B6" s="12"/>
      <c r="C6" s="167" t="s">
        <v>58</v>
      </c>
      <c r="E6" s="252" t="s">
        <v>104</v>
      </c>
      <c r="F6" s="253">
        <f>10+LEFT(F2,1)+'Personal File'!$C$13</f>
        <v>11</v>
      </c>
      <c r="G6" s="253">
        <f>10+LEFT(G2,1)+'Personal File'!$C$13</f>
        <v>12</v>
      </c>
      <c r="H6" s="253">
        <f>10+LEFT(H2,1)+'Personal File'!$C$13</f>
        <v>13</v>
      </c>
      <c r="I6" s="253">
        <f>10+LEFT(I2,1)+'Personal File'!$C$13</f>
        <v>14</v>
      </c>
      <c r="J6" s="253">
        <f>10+LEFT(J2,1)+'Personal File'!$C$13</f>
        <v>15</v>
      </c>
      <c r="K6" s="254">
        <f>10+LEFT(K2,1)+'Personal File'!$C$13</f>
        <v>16</v>
      </c>
      <c r="M6" s="327">
        <v>4</v>
      </c>
      <c r="N6" s="328">
        <f t="shared" ref="N6" si="3">N5</f>
        <v>3</v>
      </c>
      <c r="O6" s="324">
        <f>O5+1</f>
        <v>5</v>
      </c>
      <c r="P6" s="329"/>
      <c r="Q6" s="329"/>
      <c r="R6" s="329"/>
      <c r="S6" s="330"/>
    </row>
    <row r="7" spans="1:19" ht="17.399999999999999" thickBot="1" x14ac:dyDescent="0.35">
      <c r="A7" s="543" t="s">
        <v>319</v>
      </c>
      <c r="B7" s="12"/>
      <c r="C7" s="52" t="s">
        <v>98</v>
      </c>
      <c r="E7" s="255" t="s">
        <v>105</v>
      </c>
      <c r="F7" s="360">
        <v>0</v>
      </c>
      <c r="G7" s="360">
        <v>0</v>
      </c>
      <c r="H7" s="360">
        <v>0</v>
      </c>
      <c r="I7" s="360">
        <v>1</v>
      </c>
      <c r="J7" s="360">
        <v>0</v>
      </c>
      <c r="K7" s="256" t="s">
        <v>85</v>
      </c>
      <c r="M7" s="327">
        <v>5</v>
      </c>
      <c r="N7" s="328">
        <f t="shared" ref="N7:N17" si="4">N6</f>
        <v>3</v>
      </c>
      <c r="O7" s="324">
        <f t="shared" ref="O7" si="5">O6</f>
        <v>5</v>
      </c>
      <c r="P7" s="324">
        <v>1</v>
      </c>
      <c r="Q7" s="329"/>
      <c r="R7" s="329"/>
      <c r="S7" s="330"/>
    </row>
    <row r="8" spans="1:19" ht="18" thickTop="1" thickBot="1" x14ac:dyDescent="0.35">
      <c r="B8" s="12"/>
      <c r="E8" s="257"/>
      <c r="F8" s="257"/>
      <c r="G8" s="257"/>
      <c r="H8" s="257"/>
      <c r="I8" s="257"/>
      <c r="J8" s="257"/>
      <c r="K8" s="257"/>
      <c r="M8" s="327">
        <v>6</v>
      </c>
      <c r="N8" s="328">
        <f t="shared" si="4"/>
        <v>3</v>
      </c>
      <c r="O8" s="328">
        <f t="shared" ref="O8" si="6">O7</f>
        <v>5</v>
      </c>
      <c r="P8" s="328">
        <f>P7+1</f>
        <v>2</v>
      </c>
      <c r="Q8" s="329"/>
      <c r="R8" s="329"/>
      <c r="S8" s="330"/>
    </row>
    <row r="9" spans="1:19" ht="22.2" thickTop="1" thickBot="1" x14ac:dyDescent="0.35">
      <c r="A9" s="359" t="s">
        <v>302</v>
      </c>
      <c r="C9" s="166" t="s">
        <v>101</v>
      </c>
      <c r="E9" s="348" t="s">
        <v>193</v>
      </c>
      <c r="F9" s="349" t="s">
        <v>194</v>
      </c>
      <c r="G9" s="349"/>
      <c r="H9" s="350" t="s">
        <v>195</v>
      </c>
      <c r="I9" s="350"/>
      <c r="J9" s="351"/>
      <c r="K9" s="257"/>
      <c r="M9" s="327">
        <v>7</v>
      </c>
      <c r="N9" s="328">
        <f t="shared" si="4"/>
        <v>3</v>
      </c>
      <c r="O9" s="324">
        <f t="shared" ref="O9" si="7">O8</f>
        <v>5</v>
      </c>
      <c r="P9" s="324">
        <f t="shared" ref="P9:P10" si="8">P8+1</f>
        <v>3</v>
      </c>
      <c r="Q9" s="329"/>
      <c r="R9" s="329"/>
      <c r="S9" s="330"/>
    </row>
    <row r="10" spans="1:19" ht="17.399999999999999" thickBot="1" x14ac:dyDescent="0.35">
      <c r="A10" s="539" t="s">
        <v>100</v>
      </c>
      <c r="C10" s="316" t="s">
        <v>102</v>
      </c>
      <c r="E10" s="311" t="s">
        <v>86</v>
      </c>
      <c r="F10" s="312">
        <f>'Personal File'!E3</f>
        <v>15</v>
      </c>
      <c r="G10" s="312"/>
      <c r="H10" s="313">
        <f>'Personal File'!E3</f>
        <v>15</v>
      </c>
      <c r="I10" s="314"/>
      <c r="J10" s="315"/>
      <c r="K10" s="257"/>
      <c r="M10" s="327">
        <v>8</v>
      </c>
      <c r="N10" s="328">
        <f t="shared" si="4"/>
        <v>3</v>
      </c>
      <c r="O10" s="324">
        <f t="shared" ref="O10" si="9">O9</f>
        <v>5</v>
      </c>
      <c r="P10" s="324">
        <f t="shared" si="8"/>
        <v>4</v>
      </c>
      <c r="Q10" s="329"/>
      <c r="R10" s="329"/>
      <c r="S10" s="330"/>
    </row>
    <row r="11" spans="1:19" ht="17.399999999999999" thickTop="1" x14ac:dyDescent="0.3">
      <c r="A11" s="540" t="s">
        <v>210</v>
      </c>
      <c r="C11" s="321" t="s">
        <v>103</v>
      </c>
      <c r="M11" s="327">
        <v>9</v>
      </c>
      <c r="N11" s="328">
        <f t="shared" si="4"/>
        <v>3</v>
      </c>
      <c r="O11" s="324">
        <f t="shared" ref="O11" si="10">O10</f>
        <v>5</v>
      </c>
      <c r="P11" s="324">
        <f t="shared" ref="P11" si="11">P10</f>
        <v>4</v>
      </c>
      <c r="Q11" s="324">
        <v>1</v>
      </c>
      <c r="R11" s="329"/>
      <c r="S11" s="330"/>
    </row>
    <row r="12" spans="1:19" ht="17.399999999999999" thickBot="1" x14ac:dyDescent="0.35">
      <c r="A12" s="541" t="s">
        <v>324</v>
      </c>
      <c r="C12" s="52" t="s">
        <v>71</v>
      </c>
      <c r="M12" s="327">
        <v>10</v>
      </c>
      <c r="N12" s="328">
        <f t="shared" si="4"/>
        <v>3</v>
      </c>
      <c r="O12" s="324">
        <f t="shared" ref="O12" si="12">O11</f>
        <v>5</v>
      </c>
      <c r="P12" s="324">
        <f t="shared" ref="P12" si="13">P11</f>
        <v>4</v>
      </c>
      <c r="Q12" s="324">
        <f t="shared" ref="Q12:Q14" si="14">Q11+1</f>
        <v>2</v>
      </c>
      <c r="R12" s="329"/>
      <c r="S12" s="330"/>
    </row>
    <row r="13" spans="1:19" ht="18" thickTop="1" thickBot="1" x14ac:dyDescent="0.35">
      <c r="A13" s="541" t="s">
        <v>323</v>
      </c>
      <c r="M13" s="327">
        <v>11</v>
      </c>
      <c r="N13" s="328">
        <f t="shared" si="4"/>
        <v>3</v>
      </c>
      <c r="O13" s="324">
        <f t="shared" ref="O13" si="15">O12</f>
        <v>5</v>
      </c>
      <c r="P13" s="324">
        <f t="shared" ref="P13" si="16">P12</f>
        <v>4</v>
      </c>
      <c r="Q13" s="324">
        <f t="shared" si="14"/>
        <v>3</v>
      </c>
      <c r="R13" s="329"/>
      <c r="S13" s="330"/>
    </row>
    <row r="14" spans="1:19" ht="24" thickTop="1" thickBot="1" x14ac:dyDescent="0.35">
      <c r="A14" s="541" t="s">
        <v>212</v>
      </c>
      <c r="C14" s="527" t="s">
        <v>307</v>
      </c>
      <c r="D14" s="530">
        <f t="shared" ref="D14:D18" ca="1" si="17">RAND()</f>
        <v>0.884449420148954</v>
      </c>
      <c r="E14" s="528" t="s">
        <v>308</v>
      </c>
      <c r="M14" s="327">
        <v>12</v>
      </c>
      <c r="N14" s="328">
        <f t="shared" si="4"/>
        <v>3</v>
      </c>
      <c r="O14" s="324">
        <f t="shared" ref="O14" si="18">O13</f>
        <v>5</v>
      </c>
      <c r="P14" s="324">
        <f t="shared" ref="P14" si="19">P13</f>
        <v>4</v>
      </c>
      <c r="Q14" s="324">
        <f t="shared" si="14"/>
        <v>4</v>
      </c>
      <c r="R14" s="329"/>
      <c r="S14" s="330"/>
    </row>
    <row r="15" spans="1:19" x14ac:dyDescent="0.3">
      <c r="A15" s="541" t="s">
        <v>164</v>
      </c>
      <c r="B15" s="545">
        <v>1</v>
      </c>
      <c r="C15" s="529" t="s">
        <v>316</v>
      </c>
      <c r="D15" s="530">
        <f t="shared" ca="1" si="17"/>
        <v>0.25198281922839905</v>
      </c>
      <c r="E15" s="531" t="str">
        <f t="shared" ref="E15" ca="1" si="20">VLOOKUP(MATCH(LARGE($D$15:$D$18,1),$D$15:$D$18,0),$B$15:$C$18,2,FALSE)</f>
        <v>Tactical Strike</v>
      </c>
      <c r="G15" s="157" t="s">
        <v>309</v>
      </c>
      <c r="M15" s="327">
        <v>13</v>
      </c>
      <c r="N15" s="328">
        <f t="shared" si="4"/>
        <v>3</v>
      </c>
      <c r="O15" s="324">
        <f t="shared" ref="O15" si="21">O14</f>
        <v>5</v>
      </c>
      <c r="P15" s="324">
        <f t="shared" ref="P15:Q15" si="22">P14</f>
        <v>4</v>
      </c>
      <c r="Q15" s="324">
        <f t="shared" si="22"/>
        <v>4</v>
      </c>
      <c r="R15" s="324">
        <v>1</v>
      </c>
      <c r="S15" s="330"/>
    </row>
    <row r="16" spans="1:19" x14ac:dyDescent="0.3">
      <c r="A16" s="541" t="s">
        <v>284</v>
      </c>
      <c r="B16" s="545">
        <v>2</v>
      </c>
      <c r="C16" s="529" t="s">
        <v>318</v>
      </c>
      <c r="D16" s="530">
        <f t="shared" ca="1" si="17"/>
        <v>0.5975458379470252</v>
      </c>
      <c r="E16" s="531" t="str">
        <f ca="1">VLOOKUP(MATCH(LARGE($D$15:$D$18,2),$D$15:$D$18,0),$B$15:$C$18,2,FALSE)</f>
        <v>Leading the Attack</v>
      </c>
      <c r="G16" s="157" t="s">
        <v>310</v>
      </c>
      <c r="M16" s="327">
        <v>14</v>
      </c>
      <c r="N16" s="328">
        <f>N15</f>
        <v>3</v>
      </c>
      <c r="O16" s="324">
        <f>O15</f>
        <v>5</v>
      </c>
      <c r="P16" s="324">
        <f>P15</f>
        <v>4</v>
      </c>
      <c r="Q16" s="324">
        <f>Q15</f>
        <v>4</v>
      </c>
      <c r="R16" s="324">
        <f>R15+1</f>
        <v>2</v>
      </c>
      <c r="S16" s="330"/>
    </row>
    <row r="17" spans="1:19" ht="17.399999999999999" thickBot="1" x14ac:dyDescent="0.35">
      <c r="A17" s="542" t="s">
        <v>327</v>
      </c>
      <c r="B17" s="545">
        <v>3</v>
      </c>
      <c r="C17" s="529" t="s">
        <v>317</v>
      </c>
      <c r="D17" s="530">
        <f t="shared" ca="1" si="17"/>
        <v>5.0857970893372961E-2</v>
      </c>
      <c r="E17" s="533" t="str">
        <f ca="1">VLOOKUP(MATCH(LARGE($D$15:$D$18,3),$D$15:$D$18,0),$B$15:$C$18,2,FALSE)</f>
        <v>Douse the Flames</v>
      </c>
      <c r="G17" s="157" t="s">
        <v>311</v>
      </c>
      <c r="M17" s="534">
        <v>15</v>
      </c>
      <c r="N17" s="535">
        <f t="shared" si="4"/>
        <v>3</v>
      </c>
      <c r="O17" s="536">
        <f t="shared" ref="O17" si="23">O16</f>
        <v>5</v>
      </c>
      <c r="P17" s="536">
        <f t="shared" ref="P17:Q17" si="24">P16</f>
        <v>4</v>
      </c>
      <c r="Q17" s="536">
        <f t="shared" si="24"/>
        <v>4</v>
      </c>
      <c r="R17" s="536">
        <f t="shared" ref="R17" si="25">R16+1</f>
        <v>3</v>
      </c>
      <c r="S17" s="331"/>
    </row>
    <row r="18" spans="1:19" ht="18" thickTop="1" thickBot="1" x14ac:dyDescent="0.35">
      <c r="A18" s="12"/>
      <c r="B18" s="545">
        <v>4</v>
      </c>
      <c r="C18" s="532" t="s">
        <v>325</v>
      </c>
      <c r="D18" s="530">
        <f t="shared" ca="1" si="17"/>
        <v>0.7379757065180107</v>
      </c>
    </row>
    <row r="19" spans="1:19" ht="22.2" thickTop="1" thickBot="1" x14ac:dyDescent="0.35">
      <c r="A19" s="526" t="s">
        <v>303</v>
      </c>
    </row>
    <row r="20" spans="1:19" x14ac:dyDescent="0.3">
      <c r="A20" s="541" t="s">
        <v>306</v>
      </c>
    </row>
    <row r="21" spans="1:19" x14ac:dyDescent="0.3">
      <c r="A21" s="541" t="s">
        <v>304</v>
      </c>
    </row>
    <row r="22" spans="1:19" x14ac:dyDescent="0.3">
      <c r="A22" s="541" t="s">
        <v>305</v>
      </c>
    </row>
    <row r="23" spans="1:19" x14ac:dyDescent="0.3">
      <c r="A23" s="546" t="s">
        <v>322</v>
      </c>
    </row>
    <row r="24" spans="1:19" ht="17.399999999999999" thickBot="1" x14ac:dyDescent="0.35">
      <c r="A24" s="542" t="s">
        <v>321</v>
      </c>
    </row>
    <row r="25" spans="1:19" ht="17.399999999999999" thickTop="1" x14ac:dyDescent="0.3"/>
  </sheetData>
  <sortState xmlns:xlrd2="http://schemas.microsoft.com/office/spreadsheetml/2017/richdata2" ref="A2:A8">
    <sortCondition ref="A2:A8"/>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9"/>
  <sheetViews>
    <sheetView showGridLines="0" workbookViewId="0"/>
  </sheetViews>
  <sheetFormatPr defaultColWidth="13" defaultRowHeight="15.6" x14ac:dyDescent="0.3"/>
  <cols>
    <col min="1" max="1" width="26.296875" style="49" bestFit="1" customWidth="1"/>
    <col min="2" max="2" width="9.69921875" style="49" bestFit="1" customWidth="1"/>
    <col min="3" max="3" width="5.59765625" style="49" bestFit="1" customWidth="1"/>
    <col min="4" max="4" width="6.5" style="49" bestFit="1" customWidth="1"/>
    <col min="5" max="5" width="14.59765625" style="49" bestFit="1" customWidth="1"/>
    <col min="6" max="6" width="9.3984375" style="49" bestFit="1" customWidth="1"/>
    <col min="7" max="7" width="4.3984375" style="49" bestFit="1" customWidth="1"/>
    <col min="8" max="8" width="4.69921875" style="49" bestFit="1" customWidth="1"/>
    <col min="9" max="9" width="5.69921875" style="49" bestFit="1" customWidth="1"/>
    <col min="10" max="10" width="6.296875" style="49" bestFit="1" customWidth="1"/>
    <col min="11" max="11" width="12.59765625" style="49" bestFit="1" customWidth="1"/>
    <col min="12" max="12" width="2.8984375" style="10" customWidth="1"/>
    <col min="13" max="13" width="5.796875" style="10" bestFit="1" customWidth="1"/>
    <col min="14" max="16384" width="13" style="10"/>
  </cols>
  <sheetData>
    <row r="1" spans="1:13" ht="23.4" thickBot="1" x14ac:dyDescent="0.35">
      <c r="A1" s="53" t="s">
        <v>15</v>
      </c>
      <c r="B1" s="53"/>
      <c r="C1" s="53"/>
      <c r="D1" s="53"/>
      <c r="E1" s="53"/>
      <c r="F1" s="53"/>
      <c r="G1" s="53"/>
      <c r="H1" s="53"/>
      <c r="I1" s="53"/>
      <c r="J1" s="53"/>
      <c r="K1" s="53"/>
    </row>
    <row r="2" spans="1:13" ht="16.8" thickTop="1" thickBot="1" x14ac:dyDescent="0.35">
      <c r="A2" s="54" t="s">
        <v>1</v>
      </c>
      <c r="B2" s="55" t="s">
        <v>2</v>
      </c>
      <c r="C2" s="55" t="s">
        <v>18</v>
      </c>
      <c r="D2" s="55" t="s">
        <v>19</v>
      </c>
      <c r="E2" s="56" t="s">
        <v>52</v>
      </c>
      <c r="F2" s="55" t="s">
        <v>16</v>
      </c>
      <c r="G2" s="55" t="s">
        <v>20</v>
      </c>
      <c r="H2" s="57" t="s">
        <v>69</v>
      </c>
      <c r="I2" s="58" t="s">
        <v>76</v>
      </c>
      <c r="J2" s="57" t="s">
        <v>64</v>
      </c>
      <c r="K2" s="59" t="s">
        <v>0</v>
      </c>
      <c r="M2" s="60" t="s">
        <v>83</v>
      </c>
    </row>
    <row r="3" spans="1:13" x14ac:dyDescent="0.3">
      <c r="A3" s="140" t="s">
        <v>336</v>
      </c>
      <c r="B3" s="3" t="s">
        <v>247</v>
      </c>
      <c r="C3" s="4" t="str">
        <f>CONCATENATE('Personal File'!$C$10," +4")</f>
        <v>+4 +4</v>
      </c>
      <c r="D3" s="5" t="s">
        <v>340</v>
      </c>
      <c r="E3" s="5" t="s">
        <v>248</v>
      </c>
      <c r="F3" s="6" t="s">
        <v>74</v>
      </c>
      <c r="G3" s="7">
        <v>8</v>
      </c>
      <c r="H3" s="9" t="str">
        <f>CONCATENATE("+",'Personal File'!$B$8+'Personal File'!$C$10+D3)</f>
        <v>+25</v>
      </c>
      <c r="I3" s="8">
        <f t="shared" ref="I3:I17" ca="1" si="0">RANDBETWEEN(1,20)</f>
        <v>19</v>
      </c>
      <c r="J3" s="2">
        <f t="shared" ref="J3:J18" ca="1" si="1">I3+H3</f>
        <v>44</v>
      </c>
      <c r="K3" s="228"/>
      <c r="M3" s="153">
        <v>32300</v>
      </c>
    </row>
    <row r="4" spans="1:13" x14ac:dyDescent="0.3">
      <c r="A4" s="147" t="s">
        <v>337</v>
      </c>
      <c r="B4" s="148" t="s">
        <v>247</v>
      </c>
      <c r="C4" s="149" t="str">
        <f>CONCATENATE('Personal File'!$C$10," +4")</f>
        <v>+4 +4</v>
      </c>
      <c r="D4" s="150" t="s">
        <v>340</v>
      </c>
      <c r="E4" s="150" t="s">
        <v>248</v>
      </c>
      <c r="F4" s="6" t="s">
        <v>74</v>
      </c>
      <c r="G4" s="151" t="s">
        <v>85</v>
      </c>
      <c r="H4" s="9" t="str">
        <f>CONCATENATE("+",'Personal File'!$B$8+'Personal File'!$C$10+D4-5)</f>
        <v>+20</v>
      </c>
      <c r="I4" s="8">
        <f t="shared" ca="1" si="0"/>
        <v>13</v>
      </c>
      <c r="J4" s="2">
        <f t="shared" ref="J4" ca="1" si="2">I4+H4</f>
        <v>33</v>
      </c>
      <c r="K4" s="229"/>
      <c r="M4" s="155" t="s">
        <v>85</v>
      </c>
    </row>
    <row r="5" spans="1:13" x14ac:dyDescent="0.3">
      <c r="A5" s="147" t="s">
        <v>338</v>
      </c>
      <c r="B5" s="148" t="s">
        <v>247</v>
      </c>
      <c r="C5" s="149" t="str">
        <f>CONCATENATE('Personal File'!$C$10," +4")</f>
        <v>+4 +4</v>
      </c>
      <c r="D5" s="150" t="s">
        <v>340</v>
      </c>
      <c r="E5" s="150" t="s">
        <v>248</v>
      </c>
      <c r="F5" s="6" t="s">
        <v>74</v>
      </c>
      <c r="G5" s="151" t="s">
        <v>85</v>
      </c>
      <c r="H5" s="9" t="str">
        <f>CONCATENATE("+",'Personal File'!$B$8+'Personal File'!$C$10+D5-10)</f>
        <v>+15</v>
      </c>
      <c r="I5" s="8">
        <f t="shared" ca="1" si="0"/>
        <v>19</v>
      </c>
      <c r="J5" s="2">
        <f t="shared" ref="J5:J7" ca="1" si="3">I5+H5</f>
        <v>34</v>
      </c>
      <c r="K5" s="229"/>
      <c r="M5" s="155" t="s">
        <v>85</v>
      </c>
    </row>
    <row r="6" spans="1:13" x14ac:dyDescent="0.3">
      <c r="A6" s="147" t="s">
        <v>343</v>
      </c>
      <c r="B6" s="148" t="s">
        <v>247</v>
      </c>
      <c r="C6" s="149" t="str">
        <f>CONCATENATE('Personal File'!$C$10," +4")</f>
        <v>+4 +4</v>
      </c>
      <c r="D6" s="150" t="s">
        <v>340</v>
      </c>
      <c r="E6" s="150" t="s">
        <v>248</v>
      </c>
      <c r="F6" s="6" t="s">
        <v>74</v>
      </c>
      <c r="G6" s="151" t="s">
        <v>85</v>
      </c>
      <c r="H6" s="9" t="str">
        <f>CONCATENATE("+",'Personal File'!$B$8+'Personal File'!$C$10+D6-15)</f>
        <v>+10</v>
      </c>
      <c r="I6" s="8">
        <f t="shared" ca="1" si="0"/>
        <v>9</v>
      </c>
      <c r="J6" s="2">
        <f t="shared" ref="J6" ca="1" si="4">I6+H6</f>
        <v>19</v>
      </c>
      <c r="K6" s="229"/>
      <c r="M6" s="227"/>
    </row>
    <row r="7" spans="1:13" x14ac:dyDescent="0.3">
      <c r="A7" s="147" t="s">
        <v>339</v>
      </c>
      <c r="B7" s="3" t="s">
        <v>247</v>
      </c>
      <c r="C7" s="4" t="str">
        <f>CONCATENATE('Personal File'!$C$10," +4")</f>
        <v>+4 +4</v>
      </c>
      <c r="D7" s="5" t="s">
        <v>340</v>
      </c>
      <c r="E7" s="5" t="s">
        <v>248</v>
      </c>
      <c r="F7" s="6" t="s">
        <v>74</v>
      </c>
      <c r="G7" s="151" t="s">
        <v>85</v>
      </c>
      <c r="H7" s="9" t="str">
        <f>CONCATENATE("+",'Personal File'!$B$8+'Personal File'!$C$10+D7)</f>
        <v>+25</v>
      </c>
      <c r="I7" s="8">
        <f t="shared" ca="1" si="0"/>
        <v>8</v>
      </c>
      <c r="J7" s="2">
        <f t="shared" ca="1" si="3"/>
        <v>33</v>
      </c>
      <c r="K7" s="229"/>
      <c r="M7" s="227" t="s">
        <v>85</v>
      </c>
    </row>
    <row r="8" spans="1:13" ht="31.2" x14ac:dyDescent="0.3">
      <c r="A8" s="202" t="s">
        <v>271</v>
      </c>
      <c r="B8" s="204" t="s">
        <v>261</v>
      </c>
      <c r="C8" s="204">
        <v>1</v>
      </c>
      <c r="D8" s="204" t="s">
        <v>272</v>
      </c>
      <c r="E8" s="206" t="s">
        <v>85</v>
      </c>
      <c r="F8" s="206" t="s">
        <v>85</v>
      </c>
      <c r="G8" s="207" t="s">
        <v>85</v>
      </c>
      <c r="H8" s="207" t="s">
        <v>85</v>
      </c>
      <c r="I8" s="207" t="s">
        <v>85</v>
      </c>
      <c r="J8" s="207" t="s">
        <v>85</v>
      </c>
      <c r="K8" s="492" t="s">
        <v>273</v>
      </c>
      <c r="L8" s="157"/>
      <c r="M8" s="225">
        <v>6000</v>
      </c>
    </row>
    <row r="9" spans="1:13" x14ac:dyDescent="0.3">
      <c r="A9" s="220" t="s">
        <v>203</v>
      </c>
      <c r="B9" s="221" t="s">
        <v>177</v>
      </c>
      <c r="C9" s="222" t="str">
        <f>'Personal File'!$C$10</f>
        <v>+4</v>
      </c>
      <c r="D9" s="223" t="s">
        <v>50</v>
      </c>
      <c r="E9" s="223" t="s">
        <v>206</v>
      </c>
      <c r="F9" s="300" t="s">
        <v>207</v>
      </c>
      <c r="G9" s="183">
        <v>0.5</v>
      </c>
      <c r="H9" s="217" t="str">
        <f>CONCATENATE("+",'Personal File'!$B$8+'Personal File'!$C$10+D9)</f>
        <v>+21</v>
      </c>
      <c r="I9" s="218">
        <f t="shared" ca="1" si="0"/>
        <v>8</v>
      </c>
      <c r="J9" s="219">
        <f t="shared" ref="J9:J11" ca="1" si="5">I9+H9</f>
        <v>29</v>
      </c>
      <c r="K9" s="231"/>
      <c r="M9" s="299">
        <v>0</v>
      </c>
    </row>
    <row r="10" spans="1:13" x14ac:dyDescent="0.3">
      <c r="A10" s="140" t="s">
        <v>204</v>
      </c>
      <c r="B10" s="3" t="s">
        <v>177</v>
      </c>
      <c r="C10" s="4" t="str">
        <f>'Personal File'!$C$10</f>
        <v>+4</v>
      </c>
      <c r="D10" s="5" t="s">
        <v>50</v>
      </c>
      <c r="E10" s="5" t="s">
        <v>206</v>
      </c>
      <c r="F10" s="6" t="s">
        <v>207</v>
      </c>
      <c r="G10" s="224" t="s">
        <v>85</v>
      </c>
      <c r="H10" s="9" t="str">
        <f>CONCATENATE("+",'Personal File'!$B$8+'Personal File'!$C$10+D10-5)</f>
        <v>+16</v>
      </c>
      <c r="I10" s="8">
        <f t="shared" ca="1" si="0"/>
        <v>10</v>
      </c>
      <c r="J10" s="2">
        <f t="shared" ca="1" si="5"/>
        <v>26</v>
      </c>
      <c r="K10" s="232"/>
      <c r="M10" s="155" t="s">
        <v>85</v>
      </c>
    </row>
    <row r="11" spans="1:13" x14ac:dyDescent="0.3">
      <c r="A11" s="140" t="s">
        <v>205</v>
      </c>
      <c r="B11" s="3" t="s">
        <v>177</v>
      </c>
      <c r="C11" s="4" t="str">
        <f>'Personal File'!$C$10</f>
        <v>+4</v>
      </c>
      <c r="D11" s="5" t="s">
        <v>50</v>
      </c>
      <c r="E11" s="5" t="s">
        <v>206</v>
      </c>
      <c r="F11" s="6" t="s">
        <v>207</v>
      </c>
      <c r="G11" s="224" t="s">
        <v>85</v>
      </c>
      <c r="H11" s="9" t="str">
        <f>CONCATENATE("+",'Personal File'!$B$8+'Personal File'!$C$10+D11-10)</f>
        <v>+11</v>
      </c>
      <c r="I11" s="8">
        <f t="shared" ca="1" si="0"/>
        <v>18</v>
      </c>
      <c r="J11" s="2">
        <f t="shared" ca="1" si="5"/>
        <v>29</v>
      </c>
      <c r="K11" s="232"/>
      <c r="M11" s="155" t="s">
        <v>85</v>
      </c>
    </row>
    <row r="12" spans="1:13" x14ac:dyDescent="0.3">
      <c r="A12" s="147" t="s">
        <v>208</v>
      </c>
      <c r="B12" s="148" t="s">
        <v>177</v>
      </c>
      <c r="C12" s="149" t="str">
        <f>'Personal File'!$C$10</f>
        <v>+4</v>
      </c>
      <c r="D12" s="150" t="s">
        <v>50</v>
      </c>
      <c r="E12" s="150" t="s">
        <v>206</v>
      </c>
      <c r="F12" s="505" t="s">
        <v>207</v>
      </c>
      <c r="G12" s="151" t="s">
        <v>85</v>
      </c>
      <c r="H12" s="506" t="str">
        <f>CONCATENATE("+",'Personal File'!$B$8+'Personal File'!$C$10+D12)</f>
        <v>+21</v>
      </c>
      <c r="I12" s="507">
        <f t="shared" ca="1" si="0"/>
        <v>6</v>
      </c>
      <c r="J12" s="508">
        <f t="shared" ref="J12" ca="1" si="6">I12+H12</f>
        <v>27</v>
      </c>
      <c r="K12" s="509"/>
      <c r="M12" s="227" t="s">
        <v>85</v>
      </c>
    </row>
    <row r="13" spans="1:13" x14ac:dyDescent="0.3">
      <c r="A13" s="202" t="s">
        <v>278</v>
      </c>
      <c r="B13" s="203" t="s">
        <v>279</v>
      </c>
      <c r="C13" s="204" t="s">
        <v>280</v>
      </c>
      <c r="D13" s="205" t="s">
        <v>281</v>
      </c>
      <c r="E13" s="206" t="s">
        <v>85</v>
      </c>
      <c r="F13" s="206" t="s">
        <v>85</v>
      </c>
      <c r="G13" s="207" t="s">
        <v>85</v>
      </c>
      <c r="H13" s="207" t="s">
        <v>85</v>
      </c>
      <c r="I13" s="207" t="s">
        <v>85</v>
      </c>
      <c r="J13" s="207" t="s">
        <v>85</v>
      </c>
      <c r="K13" s="230"/>
      <c r="L13" s="157"/>
      <c r="M13" s="225">
        <v>10000</v>
      </c>
    </row>
    <row r="14" spans="1:13" x14ac:dyDescent="0.3">
      <c r="A14" s="220" t="s">
        <v>176</v>
      </c>
      <c r="B14" s="221" t="s">
        <v>177</v>
      </c>
      <c r="C14" s="222" t="str">
        <f>'Personal File'!$C$10</f>
        <v>+4</v>
      </c>
      <c r="D14" s="223" t="s">
        <v>50</v>
      </c>
      <c r="E14" s="223" t="s">
        <v>178</v>
      </c>
      <c r="F14" s="181" t="s">
        <v>179</v>
      </c>
      <c r="G14" s="216" t="s">
        <v>85</v>
      </c>
      <c r="H14" s="217" t="str">
        <f>CONCATENATE("+",'Personal File'!$B$8+'Personal File'!$C$10+D14)</f>
        <v>+21</v>
      </c>
      <c r="I14" s="218">
        <f t="shared" ca="1" si="0"/>
        <v>11</v>
      </c>
      <c r="J14" s="219">
        <f t="shared" ref="J14" ca="1" si="7">I14+H14</f>
        <v>32</v>
      </c>
      <c r="K14" s="231"/>
      <c r="M14" s="226" t="s">
        <v>85</v>
      </c>
    </row>
    <row r="15" spans="1:13" x14ac:dyDescent="0.3">
      <c r="A15" s="140" t="s">
        <v>181</v>
      </c>
      <c r="B15" s="3" t="s">
        <v>177</v>
      </c>
      <c r="C15" s="4" t="s">
        <v>180</v>
      </c>
      <c r="D15" s="5" t="s">
        <v>50</v>
      </c>
      <c r="E15" s="5" t="s">
        <v>178</v>
      </c>
      <c r="F15" s="188" t="s">
        <v>179</v>
      </c>
      <c r="G15" s="224" t="s">
        <v>85</v>
      </c>
      <c r="H15" s="9" t="str">
        <f>CONCATENATE("+",'Personal File'!$B$8+'Personal File'!$C$10+D15-5)</f>
        <v>+16</v>
      </c>
      <c r="I15" s="8">
        <f t="shared" ca="1" si="0"/>
        <v>4</v>
      </c>
      <c r="J15" s="2">
        <f t="shared" ref="J15" ca="1" si="8">I15+H15</f>
        <v>20</v>
      </c>
      <c r="K15" s="232"/>
      <c r="M15" s="155" t="s">
        <v>85</v>
      </c>
    </row>
    <row r="16" spans="1:13" x14ac:dyDescent="0.3">
      <c r="A16" s="140" t="s">
        <v>182</v>
      </c>
      <c r="B16" s="3" t="s">
        <v>177</v>
      </c>
      <c r="C16" s="4" t="str">
        <f>'Personal File'!$C$10</f>
        <v>+4</v>
      </c>
      <c r="D16" s="5" t="s">
        <v>50</v>
      </c>
      <c r="E16" s="5" t="s">
        <v>178</v>
      </c>
      <c r="F16" s="188" t="s">
        <v>179</v>
      </c>
      <c r="G16" s="224" t="s">
        <v>85</v>
      </c>
      <c r="H16" s="9" t="str">
        <f>CONCATENATE("+",'Personal File'!$B$8+'Personal File'!$C$10+D16-10)</f>
        <v>+11</v>
      </c>
      <c r="I16" s="8">
        <f t="shared" ca="1" si="0"/>
        <v>13</v>
      </c>
      <c r="J16" s="2">
        <f t="shared" ref="J16" ca="1" si="9">I16+H16</f>
        <v>24</v>
      </c>
      <c r="K16" s="232"/>
      <c r="M16" s="155" t="s">
        <v>85</v>
      </c>
    </row>
    <row r="17" spans="1:13" x14ac:dyDescent="0.3">
      <c r="A17" s="202" t="s">
        <v>183</v>
      </c>
      <c r="B17" s="203" t="s">
        <v>177</v>
      </c>
      <c r="C17" s="204" t="str">
        <f>'Personal File'!$C$10</f>
        <v>+4</v>
      </c>
      <c r="D17" s="205" t="s">
        <v>50</v>
      </c>
      <c r="E17" s="205" t="s">
        <v>178</v>
      </c>
      <c r="F17" s="213" t="s">
        <v>179</v>
      </c>
      <c r="G17" s="207" t="s">
        <v>85</v>
      </c>
      <c r="H17" s="214" t="str">
        <f>CONCATENATE("+",'Personal File'!$B$8+'Personal File'!$C$10+D17)</f>
        <v>+21</v>
      </c>
      <c r="I17" s="297">
        <f t="shared" ca="1" si="0"/>
        <v>12</v>
      </c>
      <c r="J17" s="298">
        <f t="shared" ref="J17" ca="1" si="10">I17+H17</f>
        <v>33</v>
      </c>
      <c r="K17" s="230"/>
      <c r="M17" s="225" t="s">
        <v>85</v>
      </c>
    </row>
    <row r="18" spans="1:13" ht="16.2" thickBot="1" x14ac:dyDescent="0.35">
      <c r="A18" s="141" t="s">
        <v>140</v>
      </c>
      <c r="B18" s="142" t="s">
        <v>140</v>
      </c>
      <c r="C18" s="208" t="str">
        <f>CONCATENATE('Personal File'!$C$10," +2")</f>
        <v>+4 +2</v>
      </c>
      <c r="D18" s="209" t="s">
        <v>50</v>
      </c>
      <c r="E18" s="209" t="s">
        <v>85</v>
      </c>
      <c r="F18" s="210" t="s">
        <v>85</v>
      </c>
      <c r="G18" s="143" t="s">
        <v>85</v>
      </c>
      <c r="H18" s="211" t="str">
        <f>CONCATENATE("+",'Personal File'!$B$8+'Personal File'!$C$10+D18)</f>
        <v>+21</v>
      </c>
      <c r="I18" s="144">
        <f ca="1">RANDBETWEEN(1,20)</f>
        <v>15</v>
      </c>
      <c r="J18" s="61">
        <f t="shared" ca="1" si="1"/>
        <v>36</v>
      </c>
      <c r="K18" s="212"/>
      <c r="M18" s="152" t="s">
        <v>85</v>
      </c>
    </row>
    <row r="19" spans="1:13" ht="6" customHeight="1" thickTop="1" thickBot="1" x14ac:dyDescent="0.35">
      <c r="I19" s="48"/>
      <c r="J19" s="48"/>
    </row>
    <row r="20" spans="1:13" ht="16.8" thickTop="1" thickBot="1" x14ac:dyDescent="0.35">
      <c r="A20" s="54" t="s">
        <v>4</v>
      </c>
      <c r="B20" s="55" t="s">
        <v>5</v>
      </c>
      <c r="C20" s="55" t="s">
        <v>18</v>
      </c>
      <c r="D20" s="55" t="s">
        <v>19</v>
      </c>
      <c r="E20" s="56" t="s">
        <v>52</v>
      </c>
      <c r="F20" s="55" t="s">
        <v>6</v>
      </c>
      <c r="G20" s="55" t="s">
        <v>20</v>
      </c>
      <c r="H20" s="57" t="s">
        <v>69</v>
      </c>
      <c r="I20" s="58" t="s">
        <v>76</v>
      </c>
      <c r="J20" s="57" t="s">
        <v>64</v>
      </c>
      <c r="K20" s="59" t="s">
        <v>0</v>
      </c>
      <c r="M20" s="60" t="s">
        <v>83</v>
      </c>
    </row>
    <row r="21" spans="1:13" x14ac:dyDescent="0.3">
      <c r="A21" s="273" t="s">
        <v>136</v>
      </c>
      <c r="B21" s="274" t="s">
        <v>137</v>
      </c>
      <c r="C21" s="275" t="s">
        <v>85</v>
      </c>
      <c r="D21" s="275" t="s">
        <v>50</v>
      </c>
      <c r="E21" s="275" t="s">
        <v>85</v>
      </c>
      <c r="F21" s="276" t="s">
        <v>85</v>
      </c>
      <c r="G21" s="277" t="s">
        <v>85</v>
      </c>
      <c r="H21" s="278" t="str">
        <f>CONCATENATE("+",'Personal File'!$B$8+'Personal File'!$C$11+D21)</f>
        <v>+17</v>
      </c>
      <c r="I21" s="145">
        <f t="shared" ref="I21:I24" ca="1" si="11">RANDBETWEEN(1,20)</f>
        <v>4</v>
      </c>
      <c r="J21" s="271">
        <f t="shared" ref="J21:J22" ca="1" si="12">I21+H21</f>
        <v>21</v>
      </c>
      <c r="K21" s="272"/>
      <c r="M21" s="269" t="s">
        <v>85</v>
      </c>
    </row>
    <row r="22" spans="1:13" x14ac:dyDescent="0.3">
      <c r="A22" s="273" t="s">
        <v>184</v>
      </c>
      <c r="B22" s="274" t="s">
        <v>85</v>
      </c>
      <c r="C22" s="275" t="s">
        <v>85</v>
      </c>
      <c r="D22" s="275" t="s">
        <v>72</v>
      </c>
      <c r="E22" s="275" t="s">
        <v>199</v>
      </c>
      <c r="F22" s="276" t="s">
        <v>85</v>
      </c>
      <c r="G22" s="277" t="s">
        <v>85</v>
      </c>
      <c r="H22" s="278" t="str">
        <f>CONCATENATE("+",'Personal File'!$E$3+D22)</f>
        <v>+17</v>
      </c>
      <c r="I22" s="8">
        <f t="shared" ca="1" si="11"/>
        <v>8</v>
      </c>
      <c r="J22" s="271">
        <f t="shared" ca="1" si="12"/>
        <v>25</v>
      </c>
      <c r="K22" s="272"/>
      <c r="M22" s="270" t="s">
        <v>85</v>
      </c>
    </row>
    <row r="23" spans="1:13" x14ac:dyDescent="0.3">
      <c r="A23" s="273" t="s">
        <v>198</v>
      </c>
      <c r="B23" s="274" t="s">
        <v>85</v>
      </c>
      <c r="C23" s="275" t="s">
        <v>85</v>
      </c>
      <c r="D23" s="279">
        <f>2+2</f>
        <v>4</v>
      </c>
      <c r="E23" s="275" t="s">
        <v>85</v>
      </c>
      <c r="F23" s="276" t="s">
        <v>85</v>
      </c>
      <c r="G23" s="277" t="s">
        <v>85</v>
      </c>
      <c r="H23" s="278" t="str">
        <f>CONCATENATE("+",'Personal File'!$E$3+D23)</f>
        <v>+19</v>
      </c>
      <c r="I23" s="8">
        <f t="shared" ca="1" si="11"/>
        <v>5</v>
      </c>
      <c r="J23" s="271">
        <f t="shared" ref="J23" ca="1" si="13">I23+H23</f>
        <v>24</v>
      </c>
      <c r="K23" s="272"/>
      <c r="M23" s="270" t="s">
        <v>85</v>
      </c>
    </row>
    <row r="24" spans="1:13" ht="16.2" thickBot="1" x14ac:dyDescent="0.35">
      <c r="A24" s="234"/>
      <c r="B24" s="235"/>
      <c r="C24" s="236"/>
      <c r="D24" s="236"/>
      <c r="E24" s="235"/>
      <c r="F24" s="236"/>
      <c r="G24" s="143"/>
      <c r="H24" s="237" t="str">
        <f>CONCATENATE("+",'Personal File'!$B$8+'Personal File'!$C$11+D24)</f>
        <v>+17</v>
      </c>
      <c r="I24" s="238">
        <f t="shared" ca="1" si="11"/>
        <v>3</v>
      </c>
      <c r="J24" s="239">
        <f t="shared" ref="J24" ca="1" si="14">I24+H24</f>
        <v>20</v>
      </c>
      <c r="K24" s="233"/>
      <c r="M24" s="152" t="s">
        <v>85</v>
      </c>
    </row>
    <row r="25" spans="1:13" ht="6" customHeight="1" thickTop="1" thickBot="1" x14ac:dyDescent="0.35">
      <c r="D25" s="62"/>
      <c r="E25" s="62"/>
      <c r="G25" s="63"/>
      <c r="H25" s="63"/>
      <c r="I25" s="63"/>
      <c r="J25" s="63"/>
    </row>
    <row r="26" spans="1:13" ht="16.8" thickTop="1" thickBot="1" x14ac:dyDescent="0.35">
      <c r="A26" s="54" t="s">
        <v>56</v>
      </c>
      <c r="B26" s="55" t="s">
        <v>9</v>
      </c>
      <c r="C26" s="55" t="s">
        <v>23</v>
      </c>
      <c r="D26" s="55" t="s">
        <v>64</v>
      </c>
      <c r="E26" s="55" t="s">
        <v>65</v>
      </c>
      <c r="F26" s="55" t="s">
        <v>66</v>
      </c>
      <c r="G26" s="55" t="s">
        <v>20</v>
      </c>
      <c r="H26" s="64" t="s">
        <v>0</v>
      </c>
      <c r="I26" s="65"/>
      <c r="J26" s="65"/>
      <c r="K26" s="66"/>
      <c r="M26" s="60" t="s">
        <v>83</v>
      </c>
    </row>
    <row r="27" spans="1:13" x14ac:dyDescent="0.3">
      <c r="A27" s="179" t="s">
        <v>268</v>
      </c>
      <c r="B27" s="180">
        <f>4+3</f>
        <v>7</v>
      </c>
      <c r="C27" s="181">
        <v>4</v>
      </c>
      <c r="D27" s="180">
        <v>-2</v>
      </c>
      <c r="E27" s="189">
        <v>0.1</v>
      </c>
      <c r="F27" s="182" t="s">
        <v>82</v>
      </c>
      <c r="G27" s="183">
        <v>12.5</v>
      </c>
      <c r="H27" s="184" t="s">
        <v>162</v>
      </c>
      <c r="I27" s="185"/>
      <c r="J27" s="185"/>
      <c r="K27" s="186"/>
      <c r="M27" s="493">
        <v>9000</v>
      </c>
    </row>
    <row r="28" spans="1:13" x14ac:dyDescent="0.3">
      <c r="A28" s="483" t="s">
        <v>269</v>
      </c>
      <c r="B28" s="484">
        <v>2</v>
      </c>
      <c r="C28" s="485" t="s">
        <v>85</v>
      </c>
      <c r="D28" s="484" t="s">
        <v>85</v>
      </c>
      <c r="E28" s="486" t="s">
        <v>85</v>
      </c>
      <c r="F28" s="487" t="s">
        <v>85</v>
      </c>
      <c r="G28" s="488">
        <v>0</v>
      </c>
      <c r="H28" s="489"/>
      <c r="I28" s="490"/>
      <c r="J28" s="490"/>
      <c r="K28" s="491"/>
      <c r="M28" s="494">
        <v>8000</v>
      </c>
    </row>
    <row r="29" spans="1:13" x14ac:dyDescent="0.3">
      <c r="A29" s="495" t="s">
        <v>274</v>
      </c>
      <c r="B29" s="496">
        <v>5</v>
      </c>
      <c r="C29" s="496" t="s">
        <v>85</v>
      </c>
      <c r="D29" s="497" t="s">
        <v>85</v>
      </c>
      <c r="E29" s="498" t="s">
        <v>85</v>
      </c>
      <c r="F29" s="497" t="s">
        <v>85</v>
      </c>
      <c r="G29" s="499">
        <v>0</v>
      </c>
      <c r="H29" s="500"/>
      <c r="I29" s="367"/>
      <c r="J29" s="367"/>
      <c r="K29" s="501"/>
      <c r="L29" s="157"/>
      <c r="M29" s="227">
        <v>25000</v>
      </c>
    </row>
    <row r="30" spans="1:13" x14ac:dyDescent="0.3">
      <c r="A30" s="187" t="s">
        <v>249</v>
      </c>
      <c r="B30" s="3" t="s">
        <v>85</v>
      </c>
      <c r="C30" s="336" t="s">
        <v>85</v>
      </c>
      <c r="D30" s="337" t="s">
        <v>85</v>
      </c>
      <c r="E30" s="338" t="s">
        <v>85</v>
      </c>
      <c r="F30" s="336" t="s">
        <v>85</v>
      </c>
      <c r="G30" s="339">
        <v>0</v>
      </c>
      <c r="H30" s="340"/>
      <c r="I30" s="341"/>
      <c r="J30" s="341"/>
      <c r="K30" s="342"/>
      <c r="L30" s="190"/>
      <c r="M30" s="155">
        <v>500</v>
      </c>
    </row>
    <row r="31" spans="1:13" x14ac:dyDescent="0.3">
      <c r="A31" s="365" t="s">
        <v>250</v>
      </c>
      <c r="B31" s="3" t="s">
        <v>85</v>
      </c>
      <c r="C31" s="336" t="s">
        <v>85</v>
      </c>
      <c r="D31" s="337" t="s">
        <v>85</v>
      </c>
      <c r="E31" s="338" t="s">
        <v>85</v>
      </c>
      <c r="F31" s="336" t="s">
        <v>85</v>
      </c>
      <c r="G31" s="339">
        <v>0</v>
      </c>
      <c r="H31" s="366"/>
      <c r="I31" s="367"/>
      <c r="J31" s="367"/>
      <c r="K31" s="368"/>
      <c r="L31" s="190"/>
      <c r="M31" s="227">
        <v>1400</v>
      </c>
    </row>
    <row r="32" spans="1:13" x14ac:dyDescent="0.3">
      <c r="A32" s="567" t="s">
        <v>333</v>
      </c>
      <c r="B32" s="568">
        <v>5</v>
      </c>
      <c r="C32" s="569" t="s">
        <v>85</v>
      </c>
      <c r="D32" s="570" t="s">
        <v>85</v>
      </c>
      <c r="E32" s="571" t="s">
        <v>85</v>
      </c>
      <c r="F32" s="569" t="s">
        <v>85</v>
      </c>
      <c r="G32" s="572" t="s">
        <v>85</v>
      </c>
      <c r="H32" s="573"/>
      <c r="I32" s="574"/>
      <c r="J32" s="574"/>
      <c r="K32" s="575"/>
      <c r="L32" s="190"/>
      <c r="M32" s="576" t="s">
        <v>85</v>
      </c>
    </row>
    <row r="33" spans="1:13" ht="16.2" thickBot="1" x14ac:dyDescent="0.35">
      <c r="A33" s="194" t="s">
        <v>171</v>
      </c>
      <c r="B33" s="195" t="s">
        <v>342</v>
      </c>
      <c r="C33" s="196" t="s">
        <v>85</v>
      </c>
      <c r="D33" s="195" t="s">
        <v>85</v>
      </c>
      <c r="E33" s="197" t="s">
        <v>85</v>
      </c>
      <c r="F33" s="196" t="s">
        <v>85</v>
      </c>
      <c r="G33" s="198" t="s">
        <v>85</v>
      </c>
      <c r="H33" s="199"/>
      <c r="I33" s="200"/>
      <c r="J33" s="200"/>
      <c r="K33" s="201"/>
      <c r="L33" s="190"/>
      <c r="M33" s="193" t="s">
        <v>85</v>
      </c>
    </row>
    <row r="34" spans="1:13" ht="6.75" customHeight="1" thickTop="1" thickBot="1" x14ac:dyDescent="0.35"/>
    <row r="35" spans="1:13" ht="16.8" thickTop="1" thickBot="1" x14ac:dyDescent="0.35">
      <c r="A35" s="48"/>
      <c r="B35" s="48"/>
      <c r="D35" s="112" t="s">
        <v>57</v>
      </c>
      <c r="E35" s="113"/>
      <c r="F35" s="113" t="s">
        <v>3</v>
      </c>
      <c r="G35" s="114" t="s">
        <v>20</v>
      </c>
      <c r="H35" s="114" t="s">
        <v>69</v>
      </c>
      <c r="I35" s="117" t="s">
        <v>0</v>
      </c>
      <c r="J35" s="118"/>
      <c r="K35" s="119"/>
      <c r="M35" s="60" t="s">
        <v>83</v>
      </c>
    </row>
    <row r="36" spans="1:13" ht="16.2" thickBot="1" x14ac:dyDescent="0.35">
      <c r="A36" s="48"/>
      <c r="B36" s="48"/>
      <c r="D36" s="334"/>
      <c r="E36" s="335"/>
      <c r="F36" s="115"/>
      <c r="G36" s="67"/>
      <c r="H36" s="116"/>
      <c r="I36" s="120"/>
      <c r="J36" s="121"/>
      <c r="K36" s="111"/>
      <c r="M36" s="154"/>
    </row>
    <row r="37" spans="1:13" ht="16.8" thickTop="1" thickBot="1" x14ac:dyDescent="0.35">
      <c r="A37" s="48"/>
      <c r="B37" s="48"/>
      <c r="M37" s="107"/>
    </row>
    <row r="38" spans="1:13" ht="16.8" thickTop="1" thickBot="1" x14ac:dyDescent="0.35">
      <c r="A38" s="48"/>
      <c r="B38" s="48"/>
      <c r="D38" s="280" t="s">
        <v>200</v>
      </c>
      <c r="E38" s="65"/>
      <c r="F38" s="65"/>
      <c r="G38" s="65"/>
      <c r="H38" s="281" t="s">
        <v>3</v>
      </c>
      <c r="I38" s="281" t="s">
        <v>84</v>
      </c>
      <c r="J38" s="281" t="s">
        <v>201</v>
      </c>
      <c r="K38" s="66" t="s">
        <v>62</v>
      </c>
      <c r="L38" s="157"/>
      <c r="M38" s="282" t="s">
        <v>83</v>
      </c>
    </row>
    <row r="39" spans="1:13" x14ac:dyDescent="0.3">
      <c r="A39" s="48"/>
      <c r="B39" s="48"/>
      <c r="D39" s="283"/>
      <c r="E39" s="284"/>
      <c r="F39" s="284"/>
      <c r="G39" s="285"/>
      <c r="H39" s="286"/>
      <c r="I39" s="287"/>
      <c r="J39" s="287"/>
      <c r="K39" s="288"/>
      <c r="L39" s="157"/>
      <c r="M39" s="289"/>
    </row>
    <row r="40" spans="1:13" ht="16.2" thickBot="1" x14ac:dyDescent="0.35">
      <c r="A40" s="48"/>
      <c r="B40" s="48"/>
      <c r="D40" s="290"/>
      <c r="E40" s="291"/>
      <c r="F40" s="291"/>
      <c r="G40" s="292"/>
      <c r="H40" s="293"/>
      <c r="I40" s="294"/>
      <c r="J40" s="294"/>
      <c r="K40" s="295"/>
      <c r="L40" s="157"/>
      <c r="M40" s="296"/>
    </row>
    <row r="41" spans="1:13" ht="16.2" thickTop="1" x14ac:dyDescent="0.3">
      <c r="A41" s="48"/>
      <c r="B41" s="48"/>
      <c r="M41" s="107"/>
    </row>
    <row r="42" spans="1:13" x14ac:dyDescent="0.3">
      <c r="M42" s="107"/>
    </row>
    <row r="43" spans="1:13" x14ac:dyDescent="0.3">
      <c r="M43" s="107"/>
    </row>
    <row r="44" spans="1:13" x14ac:dyDescent="0.3">
      <c r="M44" s="107"/>
    </row>
    <row r="45" spans="1:13" x14ac:dyDescent="0.3">
      <c r="M45" s="107"/>
    </row>
    <row r="46" spans="1:13" x14ac:dyDescent="0.3">
      <c r="M46" s="107"/>
    </row>
    <row r="47" spans="1:13" x14ac:dyDescent="0.3">
      <c r="M47" s="107"/>
    </row>
    <row r="48" spans="1:13" x14ac:dyDescent="0.3">
      <c r="M48" s="107"/>
    </row>
    <row r="49" spans="13:13" x14ac:dyDescent="0.3">
      <c r="M49" s="107"/>
    </row>
  </sheetData>
  <sortState xmlns:xlrd2="http://schemas.microsoft.com/office/spreadsheetml/2017/richdata2" ref="A11:H12">
    <sortCondition ref="A11:A12"/>
  </sortState>
  <phoneticPr fontId="0" type="noConversion"/>
  <conditionalFormatting sqref="I18">
    <cfRule type="cellIs" dxfId="34" priority="61" operator="equal">
      <formula>20</formula>
    </cfRule>
    <cfRule type="cellIs" dxfId="33" priority="62" operator="equal">
      <formula>1</formula>
    </cfRule>
  </conditionalFormatting>
  <conditionalFormatting sqref="I21">
    <cfRule type="cellIs" dxfId="32" priority="51" operator="equal">
      <formula>20</formula>
    </cfRule>
    <cfRule type="cellIs" dxfId="31" priority="52" operator="equal">
      <formula>1</formula>
    </cfRule>
  </conditionalFormatting>
  <conditionalFormatting sqref="I14:I15">
    <cfRule type="cellIs" dxfId="30" priority="46" operator="equal">
      <formula>20</formula>
    </cfRule>
    <cfRule type="cellIs" dxfId="29" priority="47" operator="equal">
      <formula>1</formula>
    </cfRule>
  </conditionalFormatting>
  <conditionalFormatting sqref="I16">
    <cfRule type="cellIs" dxfId="28" priority="44" operator="equal">
      <formula>20</formula>
    </cfRule>
    <cfRule type="cellIs" dxfId="27" priority="45" operator="equal">
      <formula>1</formula>
    </cfRule>
  </conditionalFormatting>
  <conditionalFormatting sqref="B33">
    <cfRule type="cellIs" dxfId="26" priority="43" operator="greaterThan">
      <formula>0</formula>
    </cfRule>
  </conditionalFormatting>
  <conditionalFormatting sqref="I16">
    <cfRule type="cellIs" dxfId="25" priority="39" operator="equal">
      <formula>20</formula>
    </cfRule>
    <cfRule type="cellIs" dxfId="24" priority="40" operator="equal">
      <formula>1</formula>
    </cfRule>
  </conditionalFormatting>
  <conditionalFormatting sqref="I17">
    <cfRule type="cellIs" dxfId="23" priority="35" operator="equal">
      <formula>20</formula>
    </cfRule>
    <cfRule type="cellIs" dxfId="22" priority="36" operator="equal">
      <formula>1</formula>
    </cfRule>
  </conditionalFormatting>
  <conditionalFormatting sqref="I17">
    <cfRule type="cellIs" dxfId="21" priority="33" operator="equal">
      <formula>20</formula>
    </cfRule>
    <cfRule type="cellIs" dxfId="20" priority="34" operator="equal">
      <formula>1</formula>
    </cfRule>
  </conditionalFormatting>
  <conditionalFormatting sqref="I24">
    <cfRule type="cellIs" dxfId="19" priority="31" operator="equal">
      <formula>20</formula>
    </cfRule>
    <cfRule type="cellIs" dxfId="18" priority="32" operator="equal">
      <formula>1</formula>
    </cfRule>
  </conditionalFormatting>
  <conditionalFormatting sqref="I22">
    <cfRule type="cellIs" dxfId="17" priority="21" operator="equal">
      <formula>20</formula>
    </cfRule>
    <cfRule type="cellIs" dxfId="16" priority="22" operator="equal">
      <formula>1</formula>
    </cfRule>
  </conditionalFormatting>
  <conditionalFormatting sqref="I22">
    <cfRule type="cellIs" dxfId="15" priority="19" operator="equal">
      <formula>20</formula>
    </cfRule>
    <cfRule type="cellIs" dxfId="14" priority="20" operator="equal">
      <formula>1</formula>
    </cfRule>
  </conditionalFormatting>
  <conditionalFormatting sqref="I3:I5 I7">
    <cfRule type="cellIs" dxfId="13" priority="17" operator="greaterThan">
      <formula>17</formula>
    </cfRule>
    <cfRule type="cellIs" dxfId="12" priority="18" operator="equal">
      <formula>1</formula>
    </cfRule>
  </conditionalFormatting>
  <conditionalFormatting sqref="I23">
    <cfRule type="cellIs" dxfId="11" priority="15" operator="equal">
      <formula>20</formula>
    </cfRule>
    <cfRule type="cellIs" dxfId="10" priority="16" operator="equal">
      <formula>1</formula>
    </cfRule>
  </conditionalFormatting>
  <conditionalFormatting sqref="I23">
    <cfRule type="cellIs" dxfId="9" priority="13" operator="equal">
      <formula>20</formula>
    </cfRule>
    <cfRule type="cellIs" dxfId="8" priority="14" operator="equal">
      <formula>1</formula>
    </cfRule>
  </conditionalFormatting>
  <conditionalFormatting sqref="A3:A5 A7">
    <cfRule type="cellIs" dxfId="7" priority="12" operator="notEqual">
      <formula>0</formula>
    </cfRule>
  </conditionalFormatting>
  <conditionalFormatting sqref="I9:I12">
    <cfRule type="cellIs" dxfId="6" priority="10" operator="greaterThan">
      <formula>17</formula>
    </cfRule>
    <cfRule type="cellIs" dxfId="5" priority="11" operator="equal">
      <formula>1</formula>
    </cfRule>
  </conditionalFormatting>
  <conditionalFormatting sqref="I6">
    <cfRule type="cellIs" dxfId="2" priority="2" operator="greaterThan">
      <formula>17</formula>
    </cfRule>
    <cfRule type="cellIs" dxfId="1" priority="3" operator="equal">
      <formula>1</formula>
    </cfRule>
  </conditionalFormatting>
  <conditionalFormatting sqref="A6">
    <cfRule type="cellIs" dxfId="0" priority="1" operator="notEqual">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5"/>
  <sheetViews>
    <sheetView showGridLines="0" workbookViewId="0"/>
  </sheetViews>
  <sheetFormatPr defaultColWidth="13" defaultRowHeight="15.6" x14ac:dyDescent="0.3"/>
  <cols>
    <col min="1" max="1" width="38.19921875" style="49" bestFit="1" customWidth="1"/>
    <col min="2" max="2" width="4.69921875" style="49" bestFit="1" customWidth="1"/>
    <col min="3" max="3" width="4.69921875" style="63" bestFit="1" customWidth="1"/>
    <col min="4" max="5" width="26.59765625" style="10" customWidth="1"/>
    <col min="6" max="6" width="2.09765625" style="49" customWidth="1"/>
    <col min="7" max="7" width="9.296875" style="10" bestFit="1" customWidth="1"/>
    <col min="8" max="16384" width="13" style="10"/>
  </cols>
  <sheetData>
    <row r="1" spans="1:7" ht="23.4" thickBot="1" x14ac:dyDescent="0.35">
      <c r="A1" s="53" t="s">
        <v>59</v>
      </c>
      <c r="B1" s="53"/>
      <c r="C1" s="68"/>
      <c r="D1" s="53"/>
      <c r="E1" s="53"/>
    </row>
    <row r="2" spans="1:7" s="49" customFormat="1" ht="16.8" thickTop="1" thickBot="1" x14ac:dyDescent="0.35">
      <c r="A2" s="69" t="s">
        <v>60</v>
      </c>
      <c r="B2" s="69" t="s">
        <v>3</v>
      </c>
      <c r="C2" s="70" t="s">
        <v>20</v>
      </c>
      <c r="D2" s="71" t="s">
        <v>61</v>
      </c>
      <c r="E2" s="72" t="s">
        <v>62</v>
      </c>
      <c r="G2" s="73" t="s">
        <v>83</v>
      </c>
    </row>
    <row r="3" spans="1:7" x14ac:dyDescent="0.3">
      <c r="A3" s="74" t="s">
        <v>75</v>
      </c>
      <c r="B3" s="75">
        <v>2</v>
      </c>
      <c r="C3" s="76">
        <v>2</v>
      </c>
      <c r="D3" s="77"/>
      <c r="E3" s="78"/>
      <c r="F3" s="48"/>
      <c r="G3" s="168">
        <v>0</v>
      </c>
    </row>
    <row r="4" spans="1:7" x14ac:dyDescent="0.3">
      <c r="A4" s="74" t="s">
        <v>80</v>
      </c>
      <c r="B4" s="79">
        <v>1</v>
      </c>
      <c r="C4" s="80">
        <v>0.5</v>
      </c>
      <c r="D4" s="77"/>
      <c r="E4" s="78"/>
      <c r="G4" s="169">
        <v>0</v>
      </c>
    </row>
    <row r="5" spans="1:7" x14ac:dyDescent="0.3">
      <c r="A5" s="175" t="s">
        <v>161</v>
      </c>
      <c r="B5" s="176">
        <v>1</v>
      </c>
      <c r="C5" s="76">
        <v>1</v>
      </c>
      <c r="D5" s="177"/>
      <c r="E5" s="178"/>
      <c r="F5" s="48"/>
      <c r="G5" s="170">
        <v>750</v>
      </c>
    </row>
    <row r="6" spans="1:7" x14ac:dyDescent="0.3">
      <c r="A6" s="518" t="s">
        <v>300</v>
      </c>
      <c r="B6" s="519">
        <v>1</v>
      </c>
      <c r="C6" s="520">
        <v>0</v>
      </c>
      <c r="D6" s="521"/>
      <c r="E6" s="516"/>
      <c r="F6" s="517"/>
      <c r="G6" s="510">
        <v>2100</v>
      </c>
    </row>
    <row r="7" spans="1:7" x14ac:dyDescent="0.3">
      <c r="A7" s="512" t="s">
        <v>299</v>
      </c>
      <c r="B7" s="513">
        <v>1</v>
      </c>
      <c r="C7" s="514">
        <v>0</v>
      </c>
      <c r="D7" s="515"/>
      <c r="E7" s="516"/>
      <c r="F7" s="517"/>
      <c r="G7" s="170">
        <v>3400</v>
      </c>
    </row>
    <row r="8" spans="1:7" x14ac:dyDescent="0.3">
      <c r="A8" s="74" t="s">
        <v>270</v>
      </c>
      <c r="B8" s="176">
        <v>1</v>
      </c>
      <c r="C8" s="76">
        <v>0</v>
      </c>
      <c r="D8" s="177"/>
      <c r="E8" s="178"/>
      <c r="F8" s="48"/>
      <c r="G8" s="170">
        <v>3200</v>
      </c>
    </row>
    <row r="9" spans="1:7" x14ac:dyDescent="0.3">
      <c r="A9" s="88" t="s">
        <v>276</v>
      </c>
      <c r="B9" s="503">
        <v>1</v>
      </c>
      <c r="C9" s="90">
        <v>1</v>
      </c>
      <c r="D9" s="504"/>
      <c r="E9" s="241"/>
      <c r="F9" s="48"/>
      <c r="G9" s="169">
        <v>600</v>
      </c>
    </row>
    <row r="10" spans="1:7" x14ac:dyDescent="0.3">
      <c r="A10" s="175" t="s">
        <v>341</v>
      </c>
      <c r="B10" s="564">
        <v>1</v>
      </c>
      <c r="C10" s="76">
        <v>0</v>
      </c>
      <c r="D10" s="565"/>
      <c r="E10" s="178"/>
      <c r="F10" s="566"/>
      <c r="G10" s="170">
        <v>180000</v>
      </c>
    </row>
    <row r="11" spans="1:7" x14ac:dyDescent="0.3">
      <c r="A11" s="502" t="s">
        <v>275</v>
      </c>
      <c r="B11" s="503">
        <v>1</v>
      </c>
      <c r="C11" s="90">
        <v>0</v>
      </c>
      <c r="D11" s="240"/>
      <c r="E11" s="241"/>
      <c r="F11" s="48"/>
      <c r="G11" s="169">
        <v>2200</v>
      </c>
    </row>
    <row r="12" spans="1:7" x14ac:dyDescent="0.3">
      <c r="A12" s="74" t="s">
        <v>79</v>
      </c>
      <c r="B12" s="75">
        <v>1</v>
      </c>
      <c r="C12" s="76" t="s">
        <v>81</v>
      </c>
      <c r="D12" s="77"/>
      <c r="E12" s="78"/>
      <c r="G12" s="170">
        <v>0</v>
      </c>
    </row>
    <row r="13" spans="1:7" x14ac:dyDescent="0.3">
      <c r="A13" s="88" t="s">
        <v>282</v>
      </c>
      <c r="B13" s="89">
        <v>1</v>
      </c>
      <c r="C13" s="90">
        <v>1</v>
      </c>
      <c r="D13" s="91"/>
      <c r="E13" s="93"/>
      <c r="G13" s="510">
        <v>24000</v>
      </c>
    </row>
    <row r="14" spans="1:7" ht="16.2" thickBot="1" x14ac:dyDescent="0.35">
      <c r="A14" s="81" t="s">
        <v>277</v>
      </c>
      <c r="B14" s="82">
        <v>1</v>
      </c>
      <c r="C14" s="83">
        <v>1</v>
      </c>
      <c r="D14" s="84"/>
      <c r="E14" s="85"/>
      <c r="G14" s="171">
        <v>1000</v>
      </c>
    </row>
    <row r="15" spans="1:7" ht="24" thickTop="1" thickBot="1" x14ac:dyDescent="0.35">
      <c r="A15" s="53" t="s">
        <v>63</v>
      </c>
      <c r="B15" s="86"/>
      <c r="C15" s="86"/>
      <c r="D15" s="53"/>
      <c r="E15" s="87"/>
    </row>
    <row r="16" spans="1:7" ht="16.8" thickTop="1" thickBot="1" x14ac:dyDescent="0.35">
      <c r="A16" s="69" t="s">
        <v>60</v>
      </c>
      <c r="B16" s="69" t="s">
        <v>3</v>
      </c>
      <c r="C16" s="70" t="s">
        <v>20</v>
      </c>
      <c r="D16" s="71" t="s">
        <v>61</v>
      </c>
      <c r="E16" s="72" t="s">
        <v>62</v>
      </c>
      <c r="G16" s="73" t="s">
        <v>83</v>
      </c>
    </row>
    <row r="17" spans="1:7" x14ac:dyDescent="0.3">
      <c r="A17" s="88"/>
      <c r="B17" s="89"/>
      <c r="C17" s="90"/>
      <c r="D17" s="240"/>
      <c r="E17" s="241"/>
      <c r="F17" s="48"/>
      <c r="G17" s="169"/>
    </row>
    <row r="18" spans="1:7" x14ac:dyDescent="0.3">
      <c r="A18" s="88"/>
      <c r="B18" s="89"/>
      <c r="C18" s="90"/>
      <c r="D18" s="92"/>
      <c r="E18" s="93"/>
      <c r="F18" s="48"/>
      <c r="G18" s="170"/>
    </row>
    <row r="19" spans="1:7" x14ac:dyDescent="0.3">
      <c r="A19" s="88"/>
      <c r="B19" s="89"/>
      <c r="C19" s="90"/>
      <c r="D19" s="92"/>
      <c r="E19" s="93"/>
      <c r="F19" s="48"/>
      <c r="G19" s="170"/>
    </row>
    <row r="20" spans="1:7" x14ac:dyDescent="0.3">
      <c r="A20" s="88"/>
      <c r="B20" s="89"/>
      <c r="C20" s="90"/>
      <c r="D20" s="92"/>
      <c r="E20" s="93"/>
      <c r="F20" s="48"/>
      <c r="G20" s="170"/>
    </row>
    <row r="21" spans="1:7" ht="16.2" thickBot="1" x14ac:dyDescent="0.35">
      <c r="A21" s="81"/>
      <c r="B21" s="82"/>
      <c r="C21" s="83"/>
      <c r="D21" s="94"/>
      <c r="E21" s="85"/>
      <c r="F21" s="48"/>
      <c r="G21" s="171"/>
    </row>
    <row r="22" spans="1:7" ht="22.8" thickTop="1" thickBot="1" x14ac:dyDescent="0.35">
      <c r="A22" s="172"/>
      <c r="B22" s="172"/>
      <c r="C22" s="172"/>
      <c r="D22" s="173" t="s">
        <v>160</v>
      </c>
      <c r="E22" s="174"/>
      <c r="F22" s="48"/>
      <c r="G22" s="48">
        <v>2000</v>
      </c>
    </row>
    <row r="23" spans="1:7" ht="16.8" thickTop="1" thickBot="1" x14ac:dyDescent="0.35">
      <c r="A23" s="69" t="s">
        <v>60</v>
      </c>
      <c r="B23" s="69" t="s">
        <v>3</v>
      </c>
      <c r="C23" s="70" t="s">
        <v>20</v>
      </c>
      <c r="D23" s="71" t="s">
        <v>61</v>
      </c>
      <c r="E23" s="72" t="s">
        <v>62</v>
      </c>
      <c r="F23" s="48"/>
      <c r="G23" s="73" t="s">
        <v>83</v>
      </c>
    </row>
    <row r="24" spans="1:7" x14ac:dyDescent="0.3">
      <c r="A24" s="192" t="s">
        <v>285</v>
      </c>
      <c r="B24" s="100">
        <v>1</v>
      </c>
      <c r="C24" s="101">
        <v>5</v>
      </c>
      <c r="D24" s="102"/>
      <c r="E24" s="103"/>
      <c r="G24" s="169">
        <v>0</v>
      </c>
    </row>
    <row r="25" spans="1:7" x14ac:dyDescent="0.3">
      <c r="A25" s="88" t="s">
        <v>286</v>
      </c>
      <c r="B25" s="89">
        <v>1</v>
      </c>
      <c r="C25" s="90">
        <v>0</v>
      </c>
      <c r="D25" s="91"/>
      <c r="E25" s="78"/>
      <c r="F25" s="48"/>
      <c r="G25" s="169">
        <v>0</v>
      </c>
    </row>
    <row r="26" spans="1:7" x14ac:dyDescent="0.3">
      <c r="A26" s="88" t="s">
        <v>294</v>
      </c>
      <c r="B26" s="89">
        <v>10</v>
      </c>
      <c r="C26" s="90">
        <f>B26</f>
        <v>10</v>
      </c>
      <c r="D26" s="92"/>
      <c r="E26" s="93"/>
      <c r="F26" s="48"/>
      <c r="G26" s="170">
        <v>0</v>
      </c>
    </row>
    <row r="27" spans="1:7" x14ac:dyDescent="0.3">
      <c r="A27" s="88" t="s">
        <v>291</v>
      </c>
      <c r="B27" s="89">
        <v>1</v>
      </c>
      <c r="C27" s="90">
        <v>5</v>
      </c>
      <c r="D27" s="92"/>
      <c r="E27" s="93"/>
      <c r="F27" s="48"/>
      <c r="G27" s="170">
        <v>0</v>
      </c>
    </row>
    <row r="28" spans="1:7" x14ac:dyDescent="0.3">
      <c r="A28" s="88" t="s">
        <v>295</v>
      </c>
      <c r="B28" s="89">
        <v>10</v>
      </c>
      <c r="C28" s="90">
        <f>B28/2</f>
        <v>5</v>
      </c>
      <c r="D28" s="92"/>
      <c r="E28" s="93"/>
      <c r="F28" s="48"/>
      <c r="G28" s="170">
        <v>0</v>
      </c>
    </row>
    <row r="29" spans="1:7" x14ac:dyDescent="0.3">
      <c r="A29" s="88" t="s">
        <v>296</v>
      </c>
      <c r="B29" s="89">
        <v>1</v>
      </c>
      <c r="C29" s="90">
        <v>5</v>
      </c>
      <c r="D29" s="92"/>
      <c r="E29" s="93"/>
      <c r="F29" s="48"/>
      <c r="G29" s="170">
        <v>0</v>
      </c>
    </row>
    <row r="30" spans="1:7" x14ac:dyDescent="0.3">
      <c r="A30" s="88" t="s">
        <v>287</v>
      </c>
      <c r="B30" s="89">
        <v>1</v>
      </c>
      <c r="C30" s="90">
        <v>5</v>
      </c>
      <c r="D30" s="92"/>
      <c r="E30" s="93"/>
      <c r="F30" s="48"/>
      <c r="G30" s="170">
        <v>0</v>
      </c>
    </row>
    <row r="31" spans="1:7" x14ac:dyDescent="0.3">
      <c r="A31" s="88" t="s">
        <v>292</v>
      </c>
      <c r="B31" s="89">
        <v>1</v>
      </c>
      <c r="C31" s="90">
        <v>8</v>
      </c>
      <c r="D31" s="92"/>
      <c r="E31" s="93"/>
      <c r="F31" s="48"/>
      <c r="G31" s="170">
        <v>0</v>
      </c>
    </row>
    <row r="32" spans="1:7" x14ac:dyDescent="0.3">
      <c r="A32" s="88" t="s">
        <v>289</v>
      </c>
      <c r="B32" s="89">
        <v>1</v>
      </c>
      <c r="C32" s="90">
        <v>4</v>
      </c>
      <c r="D32" s="92" t="s">
        <v>290</v>
      </c>
      <c r="E32" s="93"/>
      <c r="F32" s="48"/>
      <c r="G32" s="510">
        <v>0</v>
      </c>
    </row>
    <row r="33" spans="1:7" x14ac:dyDescent="0.3">
      <c r="A33" s="88" t="s">
        <v>288</v>
      </c>
      <c r="B33" s="89">
        <v>1</v>
      </c>
      <c r="C33" s="90">
        <v>0.5</v>
      </c>
      <c r="D33" s="92"/>
      <c r="E33" s="93"/>
      <c r="F33" s="48"/>
      <c r="G33" s="510">
        <v>0</v>
      </c>
    </row>
    <row r="34" spans="1:7" ht="16.2" thickBot="1" x14ac:dyDescent="0.35">
      <c r="A34" s="81"/>
      <c r="B34" s="82"/>
      <c r="C34" s="83"/>
      <c r="D34" s="94"/>
      <c r="E34" s="85"/>
      <c r="F34" s="48"/>
      <c r="G34" s="171"/>
    </row>
    <row r="35" spans="1:7" ht="24" thickTop="1" thickBot="1" x14ac:dyDescent="0.35">
      <c r="A35" s="46"/>
      <c r="B35" s="105"/>
      <c r="D35" s="95" t="s">
        <v>186</v>
      </c>
      <c r="E35" s="87"/>
    </row>
    <row r="36" spans="1:7" s="49" customFormat="1" ht="16.8" thickTop="1" thickBot="1" x14ac:dyDescent="0.35">
      <c r="A36" s="69" t="s">
        <v>60</v>
      </c>
      <c r="B36" s="96" t="s">
        <v>3</v>
      </c>
      <c r="C36" s="70" t="s">
        <v>20</v>
      </c>
      <c r="D36" s="69" t="s">
        <v>61</v>
      </c>
      <c r="E36" s="72" t="s">
        <v>62</v>
      </c>
      <c r="G36" s="73" t="s">
        <v>83</v>
      </c>
    </row>
    <row r="37" spans="1:7" x14ac:dyDescent="0.3">
      <c r="A37" s="97"/>
      <c r="B37" s="98"/>
      <c r="C37" s="99"/>
      <c r="D37" s="362"/>
      <c r="E37" s="178"/>
      <c r="G37" s="168"/>
    </row>
    <row r="38" spans="1:7" x14ac:dyDescent="0.3">
      <c r="A38" s="97"/>
      <c r="B38" s="100"/>
      <c r="C38" s="101"/>
      <c r="D38" s="362"/>
      <c r="E38" s="178"/>
      <c r="G38" s="169"/>
    </row>
    <row r="39" spans="1:7" x14ac:dyDescent="0.3">
      <c r="A39" s="106"/>
      <c r="B39" s="79"/>
      <c r="C39" s="80"/>
      <c r="D39" s="362"/>
      <c r="E39" s="178"/>
      <c r="G39" s="169"/>
    </row>
    <row r="40" spans="1:7" x14ac:dyDescent="0.3">
      <c r="A40" s="97"/>
      <c r="B40" s="100"/>
      <c r="C40" s="101"/>
      <c r="D40" s="363"/>
      <c r="E40" s="103"/>
      <c r="G40" s="170"/>
    </row>
    <row r="41" spans="1:7" x14ac:dyDescent="0.3">
      <c r="A41" s="97"/>
      <c r="B41" s="100"/>
      <c r="C41" s="101"/>
      <c r="D41" s="363"/>
      <c r="E41" s="103"/>
      <c r="G41" s="169"/>
    </row>
    <row r="42" spans="1:7" x14ac:dyDescent="0.3">
      <c r="A42" s="97"/>
      <c r="B42" s="100"/>
      <c r="C42" s="101"/>
      <c r="D42" s="363"/>
      <c r="E42" s="103"/>
      <c r="G42" s="169"/>
    </row>
    <row r="43" spans="1:7" x14ac:dyDescent="0.3">
      <c r="A43" s="97"/>
      <c r="B43" s="100"/>
      <c r="C43" s="101"/>
      <c r="D43" s="363"/>
      <c r="E43" s="103"/>
      <c r="G43" s="169"/>
    </row>
    <row r="44" spans="1:7" x14ac:dyDescent="0.3">
      <c r="A44" s="97"/>
      <c r="B44" s="100"/>
      <c r="C44" s="101"/>
      <c r="D44" s="363"/>
      <c r="E44" s="103"/>
      <c r="G44" s="169"/>
    </row>
    <row r="45" spans="1:7" x14ac:dyDescent="0.3">
      <c r="A45" s="97"/>
      <c r="B45" s="100"/>
      <c r="C45" s="101"/>
      <c r="D45" s="363"/>
      <c r="E45" s="103"/>
      <c r="G45" s="170"/>
    </row>
    <row r="46" spans="1:7" ht="16.2" thickBot="1" x14ac:dyDescent="0.35">
      <c r="A46" s="104"/>
      <c r="B46" s="82"/>
      <c r="C46" s="83"/>
      <c r="D46" s="364"/>
      <c r="E46" s="85"/>
      <c r="G46" s="171"/>
    </row>
    <row r="47" spans="1:7" ht="16.2" thickTop="1" x14ac:dyDescent="0.3">
      <c r="B47" s="105"/>
    </row>
    <row r="48" spans="1:7" x14ac:dyDescent="0.3">
      <c r="B48" s="105"/>
      <c r="E48" s="46" t="s">
        <v>145</v>
      </c>
      <c r="F48" s="48"/>
      <c r="G48" s="156">
        <f>SUM(Martial!M3:M40,Equipment!G3:G46)</f>
        <v>311450</v>
      </c>
    </row>
    <row r="49" spans="2:7" x14ac:dyDescent="0.3">
      <c r="B49" s="105"/>
      <c r="E49" s="46" t="s">
        <v>326</v>
      </c>
      <c r="G49" s="156">
        <v>340000</v>
      </c>
    </row>
    <row r="50" spans="2:7" x14ac:dyDescent="0.3">
      <c r="B50" s="105"/>
    </row>
    <row r="51" spans="2:7" x14ac:dyDescent="0.3">
      <c r="B51" s="105"/>
    </row>
    <row r="52" spans="2:7" x14ac:dyDescent="0.3">
      <c r="B52" s="105"/>
    </row>
    <row r="53" spans="2:7" x14ac:dyDescent="0.3">
      <c r="B53" s="105"/>
    </row>
    <row r="54" spans="2:7" x14ac:dyDescent="0.3">
      <c r="B54" s="105"/>
    </row>
    <row r="55" spans="2:7" x14ac:dyDescent="0.3">
      <c r="B55" s="105"/>
    </row>
  </sheetData>
  <sortState xmlns:xlrd2="http://schemas.microsoft.com/office/spreadsheetml/2017/richdata2" ref="A3:D8">
    <sortCondition ref="A3:A8"/>
  </sortState>
  <phoneticPr fontId="0" type="noConversion"/>
  <conditionalFormatting sqref="G48">
    <cfRule type="cellIs" dxfId="4" priority="3" operator="lessThan">
      <formula>0</formula>
    </cfRule>
  </conditionalFormatting>
  <conditionalFormatting sqref="G49">
    <cfRule type="cellIs" dxfId="3"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2012-10-12T16:15:15Z</cp:lastPrinted>
  <dcterms:created xsi:type="dcterms:W3CDTF">2000-10-24T15:39:59Z</dcterms:created>
  <dcterms:modified xsi:type="dcterms:W3CDTF">2022-06-21T07:58:13Z</dcterms:modified>
</cp:coreProperties>
</file>