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C:\A\Juegos\NLM\PCs\"/>
    </mc:Choice>
  </mc:AlternateContent>
  <xr:revisionPtr revIDLastSave="0" documentId="13_ncr:1_{68EE79F1-71B1-425B-B664-C6484A546484}" xr6:coauthVersionLast="47" xr6:coauthVersionMax="47" xr10:uidLastSave="{00000000-0000-0000-0000-000000000000}"/>
  <bookViews>
    <workbookView xWindow="-108" yWindow="-108" windowWidth="23256" windowHeight="13176" tabRatio="638" xr2:uid="{00000000-000D-0000-FFFF-FFFF00000000}"/>
  </bookViews>
  <sheets>
    <sheet name="Personal File" sheetId="4" r:id="rId1"/>
    <sheet name="Skills" sheetId="15" r:id="rId2"/>
    <sheet name="Spells" sheetId="25" r:id="rId3"/>
    <sheet name="Feats" sheetId="20" r:id="rId4"/>
    <sheet name="Martial" sheetId="6" r:id="rId5"/>
    <sheet name="Equipment" sheetId="19" r:id="rId6"/>
    <sheet name="XP Awards" sheetId="26" r:id="rId7"/>
  </sheets>
  <definedNames>
    <definedName name="OLE_LINK1" localSheetId="3">Feats!#REF!</definedName>
    <definedName name="_xlnm.Print_Area" localSheetId="5">Equipment!#REF!</definedName>
    <definedName name="_xlnm.Print_Area" localSheetId="3">Feats!#REF!</definedName>
    <definedName name="_xlnm.Print_Area" localSheetId="4">Martial!#REF!</definedName>
    <definedName name="_xlnm.Print_Area" localSheetId="0">'Personal File'!$A$1:$H$61</definedName>
    <definedName name="_xlnm.Print_Area" localSheetId="1">Skills!$A$1:$K$32</definedName>
    <definedName name="_xlnm.Print_Area" localSheetId="2">Spells!$A$1:$I$8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5" i="4" l="1"/>
  <c r="C45" i="19"/>
  <c r="B45" i="19"/>
  <c r="G8" i="19" l="1"/>
  <c r="B16" i="4" l="1"/>
  <c r="B5" i="15"/>
  <c r="B3" i="15"/>
  <c r="B18" i="4"/>
  <c r="B17" i="4"/>
  <c r="B14" i="4"/>
  <c r="B13" i="4"/>
  <c r="D3" i="6"/>
  <c r="D4" i="6"/>
  <c r="D5" i="6"/>
  <c r="D6" i="6"/>
  <c r="D7" i="6"/>
  <c r="J7" i="6" l="1"/>
  <c r="E7" i="6"/>
  <c r="J6" i="6"/>
  <c r="E6" i="6"/>
  <c r="J5" i="6"/>
  <c r="E5" i="6"/>
  <c r="J4" i="6"/>
  <c r="E4" i="6"/>
  <c r="J3" i="6"/>
  <c r="E3" i="6"/>
  <c r="B10" i="4" l="1"/>
  <c r="G5" i="20"/>
  <c r="N43" i="6"/>
  <c r="B43" i="6"/>
  <c r="J36" i="6"/>
  <c r="J37" i="6"/>
  <c r="J38" i="6"/>
  <c r="J39" i="6"/>
  <c r="H44" i="15" l="1"/>
  <c r="B47" i="15"/>
  <c r="H31" i="15"/>
  <c r="H16" i="15"/>
  <c r="B4" i="15"/>
  <c r="J12" i="6" l="1"/>
  <c r="J17" i="6"/>
  <c r="J23" i="6"/>
  <c r="N56" i="6" l="1"/>
  <c r="J28" i="6" l="1"/>
  <c r="G44" i="19"/>
  <c r="C44" i="19"/>
  <c r="G23" i="19"/>
  <c r="C23" i="19"/>
  <c r="E14" i="4" s="1"/>
  <c r="B11" i="26"/>
  <c r="G46" i="19" l="1"/>
  <c r="E12" i="4" l="1"/>
  <c r="F41" i="15" l="1"/>
  <c r="J25" i="6" l="1"/>
  <c r="J27" i="6"/>
  <c r="J26" i="6"/>
  <c r="C35" i="19" l="1"/>
  <c r="I35" i="6" l="1"/>
  <c r="J35" i="6"/>
  <c r="K35" i="6" l="1"/>
  <c r="J9" i="6" l="1"/>
  <c r="J10" i="6"/>
  <c r="J11" i="6"/>
  <c r="J13" i="6"/>
  <c r="J14" i="6"/>
  <c r="J15" i="6"/>
  <c r="J16" i="6"/>
  <c r="J18" i="6"/>
  <c r="J20" i="6"/>
  <c r="J21" i="6"/>
  <c r="J22" i="6"/>
  <c r="J24" i="6"/>
  <c r="J29" i="6"/>
  <c r="N55" i="6" l="1"/>
  <c r="N57" i="6"/>
  <c r="N58" i="6" l="1"/>
  <c r="N59" i="6" l="1"/>
  <c r="C40" i="19" l="1"/>
  <c r="J5" i="20" l="1"/>
  <c r="K5" i="20"/>
  <c r="H22" i="15"/>
  <c r="C3" i="20" l="1"/>
  <c r="H45" i="15" l="1"/>
  <c r="H23" i="15"/>
  <c r="H7" i="15" l="1"/>
  <c r="H42" i="15"/>
  <c r="H41" i="15"/>
  <c r="C7" i="26" l="1"/>
  <c r="B13" i="26" s="1"/>
  <c r="B15" i="26" s="1"/>
  <c r="B46" i="6" l="1"/>
  <c r="H13" i="15" l="1"/>
  <c r="H18" i="15" l="1"/>
  <c r="H3" i="15" l="1"/>
  <c r="H4" i="15"/>
  <c r="H5" i="15"/>
  <c r="G47" i="19" l="1"/>
  <c r="D34" i="6" l="1"/>
  <c r="I34" i="6" s="1"/>
  <c r="J34" i="6"/>
  <c r="K34" i="6" l="1"/>
  <c r="H10" i="20"/>
  <c r="F10" i="20"/>
  <c r="I5" i="20"/>
  <c r="H5" i="20"/>
  <c r="F5" i="20"/>
  <c r="J33" i="6" l="1"/>
  <c r="I33" i="6"/>
  <c r="K33" i="6" l="1"/>
  <c r="J40" i="6" l="1"/>
  <c r="J32" i="6" l="1"/>
  <c r="H34" i="15" l="1"/>
  <c r="H46" i="15" l="1"/>
  <c r="H43" i="15"/>
  <c r="H40" i="15"/>
  <c r="H39" i="15"/>
  <c r="H38" i="15"/>
  <c r="H37" i="15"/>
  <c r="H36" i="15"/>
  <c r="H35" i="15"/>
  <c r="H33" i="15"/>
  <c r="H32" i="15"/>
  <c r="H30" i="15"/>
  <c r="H29" i="15"/>
  <c r="H28" i="15"/>
  <c r="H27" i="15"/>
  <c r="H26" i="15"/>
  <c r="H25" i="15"/>
  <c r="H24" i="15"/>
  <c r="H21" i="15"/>
  <c r="H20" i="15"/>
  <c r="H19" i="15"/>
  <c r="H17" i="15"/>
  <c r="H15" i="15"/>
  <c r="H14" i="15"/>
  <c r="H12" i="15"/>
  <c r="H11" i="15"/>
  <c r="H10" i="15"/>
  <c r="H9" i="15"/>
  <c r="H8" i="15"/>
  <c r="H6" i="15" l="1"/>
  <c r="C13" i="4" l="1"/>
  <c r="I6" i="6" l="1"/>
  <c r="K6" i="6" s="1"/>
  <c r="C6" i="6"/>
  <c r="I5" i="6"/>
  <c r="K5" i="6" s="1"/>
  <c r="C5" i="6"/>
  <c r="I4" i="6"/>
  <c r="K4" i="6" s="1"/>
  <c r="C4" i="6"/>
  <c r="I7" i="6"/>
  <c r="K7" i="6" s="1"/>
  <c r="I3" i="6"/>
  <c r="K3" i="6" s="1"/>
  <c r="C7" i="6"/>
  <c r="C3" i="6"/>
  <c r="I23" i="6"/>
  <c r="K23" i="6" s="1"/>
  <c r="C17" i="6"/>
  <c r="I17" i="6"/>
  <c r="K17" i="6" s="1"/>
  <c r="I12" i="6"/>
  <c r="K12" i="6" s="1"/>
  <c r="C12" i="6"/>
  <c r="C23" i="6"/>
  <c r="C27" i="6"/>
  <c r="C25" i="6"/>
  <c r="I26" i="6"/>
  <c r="K26" i="6" s="1"/>
  <c r="I27" i="6"/>
  <c r="K27" i="6" s="1"/>
  <c r="I25" i="6"/>
  <c r="K25" i="6" s="1"/>
  <c r="D9" i="15"/>
  <c r="E9" i="15" s="1"/>
  <c r="D23" i="15"/>
  <c r="E23" i="15" s="1"/>
  <c r="D43" i="15"/>
  <c r="E43" i="15" s="1"/>
  <c r="C15" i="6"/>
  <c r="I16" i="6"/>
  <c r="K16" i="6" s="1"/>
  <c r="C16" i="6"/>
  <c r="I15" i="6"/>
  <c r="K15" i="6" s="1"/>
  <c r="C18" i="6"/>
  <c r="I14" i="6"/>
  <c r="K14" i="6" s="1"/>
  <c r="C14" i="6"/>
  <c r="I18" i="6"/>
  <c r="K18" i="6" s="1"/>
  <c r="C10" i="6"/>
  <c r="I11" i="6"/>
  <c r="K11" i="6" s="1"/>
  <c r="C11" i="6"/>
  <c r="I10" i="6"/>
  <c r="K10" i="6" s="1"/>
  <c r="C13" i="6"/>
  <c r="I9" i="6"/>
  <c r="K9" i="6" s="1"/>
  <c r="C9" i="6"/>
  <c r="I13" i="6"/>
  <c r="K13" i="6" s="1"/>
  <c r="I24" i="6"/>
  <c r="K24" i="6" s="1"/>
  <c r="C24" i="6"/>
  <c r="I22" i="6"/>
  <c r="K22" i="6" s="1"/>
  <c r="I21" i="6"/>
  <c r="K21" i="6" s="1"/>
  <c r="C22" i="6"/>
  <c r="I20" i="6"/>
  <c r="K20" i="6" s="1"/>
  <c r="C20" i="6"/>
  <c r="I29" i="6"/>
  <c r="C29" i="6"/>
  <c r="K29" i="6" l="1"/>
  <c r="G23" i="15"/>
  <c r="I23" i="15" s="1"/>
  <c r="G9" i="15"/>
  <c r="I9" i="15" s="1"/>
  <c r="C18" i="4"/>
  <c r="C17" i="4"/>
  <c r="C16" i="4"/>
  <c r="E66" i="15" s="1"/>
  <c r="C15" i="4"/>
  <c r="E15" i="4" s="1"/>
  <c r="C14" i="4"/>
  <c r="E16" i="4" s="1"/>
  <c r="I28" i="6" l="1"/>
  <c r="K28" i="6" s="1"/>
  <c r="E65" i="15"/>
  <c r="I38" i="6"/>
  <c r="K38" i="6" s="1"/>
  <c r="I39" i="6"/>
  <c r="K39" i="6" s="1"/>
  <c r="I37" i="6"/>
  <c r="K37" i="6" s="1"/>
  <c r="I36" i="6"/>
  <c r="K36" i="6" s="1"/>
  <c r="E64" i="15"/>
  <c r="E63" i="15"/>
  <c r="E62" i="15"/>
  <c r="E61" i="15"/>
  <c r="D8" i="15"/>
  <c r="E8" i="15" s="1"/>
  <c r="D19" i="15"/>
  <c r="E19" i="15" s="1"/>
  <c r="D45" i="15"/>
  <c r="E45" i="15" s="1"/>
  <c r="D13" i="15"/>
  <c r="E13" i="15" s="1"/>
  <c r="D22" i="15"/>
  <c r="E22" i="15" s="1"/>
  <c r="D15" i="15"/>
  <c r="E15" i="15" s="1"/>
  <c r="D33" i="15"/>
  <c r="E33" i="15" s="1"/>
  <c r="D18" i="15"/>
  <c r="E18" i="15" s="1"/>
  <c r="D5" i="15"/>
  <c r="D42" i="15"/>
  <c r="E42" i="15" s="1"/>
  <c r="D30" i="15"/>
  <c r="E30" i="15" s="1"/>
  <c r="D20" i="15"/>
  <c r="E20" i="15" s="1"/>
  <c r="D34" i="15"/>
  <c r="E34" i="15" s="1"/>
  <c r="D37" i="15"/>
  <c r="E37" i="15" s="1"/>
  <c r="D41" i="15"/>
  <c r="E41" i="15" s="1"/>
  <c r="D12" i="15"/>
  <c r="E12" i="15" s="1"/>
  <c r="D17" i="15"/>
  <c r="E17" i="15" s="1"/>
  <c r="D27" i="15"/>
  <c r="E27" i="15" s="1"/>
  <c r="D39" i="15"/>
  <c r="E39" i="15" s="1"/>
  <c r="D6" i="15"/>
  <c r="E6" i="15" s="1"/>
  <c r="D24" i="15"/>
  <c r="E24" i="15" s="1"/>
  <c r="D28" i="15"/>
  <c r="E28" i="15" s="1"/>
  <c r="D40" i="15"/>
  <c r="E40" i="15" s="1"/>
  <c r="D11" i="15"/>
  <c r="E11" i="15" s="1"/>
  <c r="D26" i="15"/>
  <c r="E26" i="15" s="1"/>
  <c r="D14" i="15"/>
  <c r="E14" i="15" s="1"/>
  <c r="D25" i="15"/>
  <c r="E25" i="15" s="1"/>
  <c r="D29" i="15"/>
  <c r="E29" i="15" s="1"/>
  <c r="D36" i="15"/>
  <c r="E36" i="15" s="1"/>
  <c r="E60" i="15"/>
  <c r="I6" i="20"/>
  <c r="F6" i="20"/>
  <c r="J6" i="20"/>
  <c r="G6" i="20"/>
  <c r="K6" i="20"/>
  <c r="L28" i="6" s="1"/>
  <c r="H6" i="20"/>
  <c r="E59" i="15"/>
  <c r="E58" i="15"/>
  <c r="E57" i="15"/>
  <c r="E56" i="15"/>
  <c r="F14" i="20"/>
  <c r="F15" i="20" s="1"/>
  <c r="F16" i="20" s="1"/>
  <c r="F18" i="20" s="1"/>
  <c r="E55" i="15"/>
  <c r="E54" i="15"/>
  <c r="E53" i="15"/>
  <c r="E52" i="15"/>
  <c r="E48" i="15"/>
  <c r="E51" i="15"/>
  <c r="E50" i="15"/>
  <c r="E49" i="15"/>
  <c r="D3" i="15"/>
  <c r="D10" i="15"/>
  <c r="E10" i="15" s="1"/>
  <c r="E18" i="4"/>
  <c r="E17" i="4" s="1"/>
  <c r="D7" i="15"/>
  <c r="E7" i="15" s="1"/>
  <c r="D16" i="15"/>
  <c r="E16" i="15" s="1"/>
  <c r="D46" i="15"/>
  <c r="E46" i="15" s="1"/>
  <c r="D32" i="15"/>
  <c r="E32" i="15" s="1"/>
  <c r="D4" i="15"/>
  <c r="D21" i="15"/>
  <c r="E21" i="15" s="1"/>
  <c r="D38" i="15"/>
  <c r="E38" i="15" s="1"/>
  <c r="D31" i="15"/>
  <c r="E31" i="15" s="1"/>
  <c r="D35" i="15"/>
  <c r="E35" i="15" s="1"/>
  <c r="D44" i="15"/>
  <c r="E44" i="15" s="1"/>
  <c r="I32" i="6"/>
  <c r="K32" i="6" s="1"/>
  <c r="I40" i="6"/>
  <c r="K40" i="6" s="1"/>
  <c r="B11" i="4"/>
  <c r="E47" i="15" l="1"/>
  <c r="G24" i="15"/>
  <c r="I24" i="15" s="1"/>
  <c r="F19" i="20"/>
  <c r="G18" i="20"/>
  <c r="E5" i="15"/>
  <c r="G5" i="15"/>
  <c r="I5" i="15" s="1"/>
  <c r="E3" i="15"/>
  <c r="G3" i="15"/>
  <c r="I3" i="15" s="1"/>
  <c r="E4" i="15"/>
  <c r="G4" i="15"/>
  <c r="I4" i="15" s="1"/>
  <c r="G25" i="15"/>
  <c r="I25" i="15" s="1"/>
  <c r="G28" i="15"/>
  <c r="I28" i="15" s="1"/>
  <c r="G26" i="15"/>
  <c r="I26" i="15" s="1"/>
  <c r="G27" i="15"/>
  <c r="I27" i="15" s="1"/>
  <c r="G18" i="15"/>
  <c r="I18" i="15" s="1"/>
  <c r="G21" i="15"/>
  <c r="I21" i="15" s="1"/>
  <c r="G22" i="15"/>
  <c r="I22" i="15" s="1"/>
  <c r="G15" i="15"/>
  <c r="I15" i="15" s="1"/>
  <c r="G20" i="15"/>
  <c r="I20" i="15" s="1"/>
  <c r="G39" i="15"/>
  <c r="I39" i="15" s="1"/>
  <c r="G14" i="15"/>
  <c r="I14" i="15" s="1"/>
  <c r="G10" i="15"/>
  <c r="I10" i="15" s="1"/>
  <c r="G13" i="15"/>
  <c r="I13" i="15" s="1"/>
  <c r="G8" i="15"/>
  <c r="I8" i="15" s="1"/>
  <c r="G7" i="15"/>
  <c r="I7" i="15" s="1"/>
  <c r="G17" i="15"/>
  <c r="I17" i="15" s="1"/>
  <c r="G19" i="15"/>
  <c r="I19" i="15" s="1"/>
  <c r="G16" i="15"/>
  <c r="I16" i="15" s="1"/>
  <c r="G12" i="15"/>
  <c r="I12" i="15" s="1"/>
  <c r="G11" i="15"/>
  <c r="I11" i="15" s="1"/>
  <c r="G6" i="15"/>
  <c r="I6" i="15" s="1"/>
  <c r="F20" i="20" l="1"/>
  <c r="G19" i="20"/>
  <c r="G34" i="15"/>
  <c r="G40" i="15"/>
  <c r="I40" i="15" s="1"/>
  <c r="G45" i="15"/>
  <c r="I45" i="15" s="1"/>
  <c r="G29" i="15"/>
  <c r="I29" i="15" s="1"/>
  <c r="F21" i="20" l="1"/>
  <c r="G20" i="20"/>
  <c r="I34" i="15"/>
  <c r="G30" i="15"/>
  <c r="G33" i="15"/>
  <c r="G37" i="15"/>
  <c r="G32" i="15"/>
  <c r="G36" i="15"/>
  <c r="G41" i="15"/>
  <c r="G42" i="15"/>
  <c r="G31" i="15"/>
  <c r="G35" i="15"/>
  <c r="G46" i="15"/>
  <c r="G38" i="15"/>
  <c r="G43" i="15"/>
  <c r="G44" i="15"/>
  <c r="F22" i="20" l="1"/>
  <c r="G21" i="20"/>
  <c r="H21" i="20" s="1"/>
  <c r="I44" i="15"/>
  <c r="I43" i="15"/>
  <c r="I38" i="15"/>
  <c r="I46" i="15"/>
  <c r="I35" i="15"/>
  <c r="I31" i="15"/>
  <c r="I42" i="15"/>
  <c r="I41" i="15"/>
  <c r="I36" i="15"/>
  <c r="I32" i="15"/>
  <c r="I37" i="15"/>
  <c r="I33" i="15"/>
  <c r="I30" i="15"/>
  <c r="F23" i="20" l="1"/>
  <c r="G22" i="20"/>
  <c r="H22" i="20" s="1"/>
  <c r="F24" i="20" l="1"/>
  <c r="G23" i="20"/>
  <c r="H23" i="20" s="1"/>
  <c r="F25" i="20" l="1"/>
  <c r="G24" i="20"/>
  <c r="H24" i="20" s="1"/>
  <c r="F26" i="20" l="1"/>
  <c r="G25" i="20"/>
  <c r="H25" i="20" s="1"/>
  <c r="I25" i="20" s="1"/>
  <c r="F27" i="20" l="1"/>
  <c r="G26" i="20"/>
  <c r="H26" i="20" s="1"/>
  <c r="I26" i="20" s="1"/>
  <c r="G27" i="20" l="1"/>
  <c r="H27" i="20" s="1"/>
  <c r="I27" i="20" s="1"/>
  <c r="F28" i="20"/>
  <c r="F33" i="20"/>
  <c r="G33" i="20" s="1"/>
  <c r="H33" i="20" s="1"/>
  <c r="I33" i="20" s="1"/>
  <c r="J33" i="20" s="1"/>
  <c r="K33" i="20" s="1"/>
  <c r="F29" i="20" l="1"/>
  <c r="F30" i="20" s="1"/>
  <c r="G30" i="20" s="1"/>
  <c r="H30" i="20" s="1"/>
  <c r="I30" i="20" s="1"/>
  <c r="J30" i="20" s="1"/>
  <c r="G28" i="20"/>
  <c r="H28" i="20" s="1"/>
  <c r="I28" i="20" s="1"/>
  <c r="G29" i="20" l="1"/>
  <c r="H29" i="20" s="1"/>
  <c r="I29" i="20" s="1"/>
  <c r="J29" i="20" s="1"/>
  <c r="F31" i="20" l="1"/>
  <c r="F32" i="20" l="1"/>
  <c r="G32" i="20" s="1"/>
  <c r="H32" i="20" s="1"/>
  <c r="I32" i="20" s="1"/>
  <c r="J32" i="20" s="1"/>
  <c r="G31" i="20"/>
  <c r="H31" i="20" s="1"/>
  <c r="I31" i="20" s="1"/>
  <c r="J3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C10" authorId="0" shapeId="0" xr:uid="{00000000-0006-0000-0000-000001000000}">
      <text>
        <r>
          <rPr>
            <i/>
            <sz val="12"/>
            <color indexed="81"/>
            <rFont val="Times New Roman"/>
            <family val="1"/>
          </rPr>
          <t>aid +1
bless +1     haste +1
inspire courage +2
greater heroism +4
Chaav’s laugh +2
lion’s roar +1</t>
        </r>
      </text>
    </comment>
    <comment ref="C11" authorId="0" shapeId="0" xr:uid="{00000000-0006-0000-0000-000002000000}">
      <text>
        <r>
          <rPr>
            <i/>
            <sz val="12"/>
            <color indexed="81"/>
            <rFont val="Times New Roman"/>
            <family val="1"/>
          </rPr>
          <t>Improved Initiative +4</t>
        </r>
      </text>
    </comment>
    <comment ref="C12" authorId="0" shapeId="0" xr:uid="{26864398-917C-4C01-A6E5-61F47B723152}">
      <text>
        <r>
          <rPr>
            <sz val="12"/>
            <color indexed="81"/>
            <rFont val="Times New Roman"/>
            <family val="1"/>
          </rPr>
          <t>Next level at 171,000 XPs</t>
        </r>
      </text>
    </comment>
    <comment ref="B13" authorId="0" shapeId="0" xr:uid="{00000000-0006-0000-0000-000005000000}">
      <text>
        <r>
          <rPr>
            <i/>
            <sz val="12"/>
            <color indexed="81"/>
            <rFont val="Times New Roman"/>
            <family val="1"/>
          </rPr>
          <t>bull’s strength +4</t>
        </r>
      </text>
    </comment>
    <comment ref="E13" authorId="0" shapeId="0" xr:uid="{8669F954-BC03-4725-9F73-D1ABB999AB3C}">
      <text>
        <r>
          <rPr>
            <sz val="12"/>
            <color indexed="81"/>
            <rFont val="Times New Roman"/>
            <family val="1"/>
          </rPr>
          <t>See PHB 162</t>
        </r>
      </text>
    </comment>
    <comment ref="B14" authorId="0" shapeId="0" xr:uid="{00000000-0006-0000-0000-000007000000}">
      <text>
        <r>
          <rPr>
            <i/>
            <sz val="12"/>
            <color indexed="81"/>
            <rFont val="Times New Roman"/>
            <family val="1"/>
          </rPr>
          <t>Gloves of Dexterity +4</t>
        </r>
      </text>
    </comment>
    <comment ref="E15" authorId="0" shapeId="0" xr:uid="{00000000-0006-0000-0000-000009000000}">
      <text>
        <r>
          <rPr>
            <sz val="12"/>
            <color indexed="81"/>
            <rFont val="Times New Roman"/>
            <family val="1"/>
          </rPr>
          <t>[(19 * 8 Duskblade) * 75%]
+[(X * X Warblade) * 75%]
+ (19 * 3 Con)</t>
        </r>
      </text>
    </comment>
    <comment ref="E16" authorId="0" shapeId="0" xr:uid="{00000000-0006-0000-0000-00000B000000}">
      <text>
        <r>
          <rPr>
            <i/>
            <sz val="12"/>
            <color indexed="81"/>
            <rFont val="Times New Roman"/>
            <family val="1"/>
          </rPr>
          <t xml:space="preserve">Shield of Faith </t>
        </r>
        <r>
          <rPr>
            <sz val="12"/>
            <color indexed="81"/>
            <rFont val="Times New Roman"/>
            <family val="1"/>
          </rPr>
          <t xml:space="preserve">[Deflection] +3
</t>
        </r>
        <r>
          <rPr>
            <i/>
            <sz val="12"/>
            <color indexed="81"/>
            <rFont val="Times New Roman"/>
            <family val="1"/>
          </rPr>
          <t>haste +1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F3" authorId="0" shapeId="0" xr:uid="{5AC6A58E-65A2-4E3F-8592-F6228FD3F415}">
      <text>
        <r>
          <rPr>
            <sz val="12"/>
            <color indexed="81"/>
            <rFont val="Times New Roman"/>
            <family val="1"/>
          </rPr>
          <t xml:space="preserve">Cloak of Resistance +3
</t>
        </r>
        <r>
          <rPr>
            <i/>
            <sz val="12"/>
            <color indexed="81"/>
            <rFont val="Times New Roman"/>
            <family val="1"/>
          </rPr>
          <t>mass conviction +3</t>
        </r>
      </text>
    </comment>
    <comment ref="F4" authorId="0" shapeId="0" xr:uid="{E5B70C20-7626-4CD3-AEE4-C6C13D0C6181}">
      <text>
        <r>
          <rPr>
            <sz val="12"/>
            <color indexed="81"/>
            <rFont val="Times New Roman"/>
            <family val="1"/>
          </rPr>
          <t xml:space="preserve">Cloak of Resistance +3
</t>
        </r>
        <r>
          <rPr>
            <i/>
            <sz val="12"/>
            <color indexed="81"/>
            <rFont val="Times New Roman"/>
            <family val="1"/>
          </rPr>
          <t>mass conviction +3</t>
        </r>
      </text>
    </comment>
    <comment ref="F5" authorId="0" shapeId="0" xr:uid="{00000000-0006-0000-0100-000003000000}">
      <text>
        <r>
          <rPr>
            <sz val="12"/>
            <color indexed="81"/>
            <rFont val="Times New Roman"/>
            <family val="1"/>
          </rPr>
          <t xml:space="preserve">Cloak of Resistance +3
</t>
        </r>
        <r>
          <rPr>
            <i/>
            <sz val="12"/>
            <color indexed="81"/>
            <rFont val="Times New Roman"/>
            <family val="1"/>
          </rPr>
          <t>mass conviction +3</t>
        </r>
      </text>
    </comment>
    <comment ref="F7" authorId="0" shapeId="0" xr:uid="{00000000-0006-0000-0100-000004000000}">
      <text>
        <r>
          <rPr>
            <sz val="12"/>
            <color indexed="81"/>
            <rFont val="Times New Roman"/>
            <family val="1"/>
          </rPr>
          <t>-1 Chain Shirt +1</t>
        </r>
      </text>
    </comment>
    <comment ref="F9" authorId="0" shapeId="0" xr:uid="{00000000-0006-0000-0100-000005000000}">
      <text>
        <r>
          <rPr>
            <sz val="12"/>
            <color indexed="81"/>
            <rFont val="Times New Roman"/>
            <family val="1"/>
          </rPr>
          <t>-1 Chain Shirt +1</t>
        </r>
      </text>
    </comment>
    <comment ref="F13" authorId="0" shapeId="0" xr:uid="{00000000-0006-0000-0100-000006000000}">
      <text>
        <r>
          <rPr>
            <sz val="12"/>
            <color indexed="81"/>
            <rFont val="Times New Roman"/>
            <family val="1"/>
          </rPr>
          <t>+2 ½-drow</t>
        </r>
      </text>
    </comment>
    <comment ref="F16" authorId="0" shapeId="0" xr:uid="{00000000-0006-0000-0100-000007000000}">
      <text>
        <r>
          <rPr>
            <sz val="12"/>
            <color indexed="81"/>
            <rFont val="Times New Roman"/>
            <family val="1"/>
          </rPr>
          <t>-1 Chain Shirt +1</t>
        </r>
      </text>
    </comment>
    <comment ref="F18" authorId="0" shapeId="0" xr:uid="{00000000-0006-0000-0100-000008000000}">
      <text>
        <r>
          <rPr>
            <sz val="12"/>
            <color indexed="81"/>
            <rFont val="Times New Roman"/>
            <family val="1"/>
          </rPr>
          <t>+2 ½-drow</t>
        </r>
      </text>
    </comment>
    <comment ref="F21" authorId="0" shapeId="0" xr:uid="{00000000-0006-0000-0100-000009000000}">
      <text>
        <r>
          <rPr>
            <sz val="12"/>
            <color indexed="81"/>
            <rFont val="Times New Roman"/>
            <family val="1"/>
          </rPr>
          <t>-1 Chain Shirt +1</t>
        </r>
      </text>
    </comment>
    <comment ref="F22" authorId="0" shapeId="0" xr:uid="{010D46BB-903B-4B7E-85B6-B80ED4E18F9F}">
      <text>
        <r>
          <rPr>
            <sz val="12"/>
            <color indexed="81"/>
            <rFont val="Times New Roman"/>
            <family val="1"/>
          </rPr>
          <t>Draconic +2</t>
        </r>
      </text>
    </comment>
    <comment ref="F23" authorId="0" shapeId="0" xr:uid="{00000000-0006-0000-0100-00000A000000}">
      <text>
        <r>
          <rPr>
            <sz val="12"/>
            <color indexed="81"/>
            <rFont val="Times New Roman"/>
            <family val="1"/>
          </rPr>
          <t>-1 Chain Shirt +1</t>
        </r>
      </text>
    </comment>
    <comment ref="F30" authorId="0" shapeId="0" xr:uid="{00000000-0006-0000-0100-00000B000000}">
      <text>
        <r>
          <rPr>
            <sz val="12"/>
            <color indexed="81"/>
            <rFont val="Times New Roman"/>
            <family val="1"/>
          </rPr>
          <t>+1 ½-drow</t>
        </r>
      </text>
    </comment>
    <comment ref="F31" authorId="0" shapeId="0" xr:uid="{00000000-0006-0000-0100-00000C000000}">
      <text>
        <r>
          <rPr>
            <sz val="12"/>
            <color indexed="81"/>
            <rFont val="Times New Roman"/>
            <family val="1"/>
          </rPr>
          <t>-1 Chain Shirt +1</t>
        </r>
      </text>
    </comment>
    <comment ref="F36" authorId="0" shapeId="0" xr:uid="{00000000-0006-0000-0100-00000D000000}">
      <text>
        <r>
          <rPr>
            <sz val="12"/>
            <color indexed="81"/>
            <rFont val="Times New Roman"/>
            <family val="1"/>
          </rPr>
          <t>+1 ½-drow</t>
        </r>
      </text>
    </comment>
    <comment ref="F38" authorId="0" shapeId="0" xr:uid="{00000000-0006-0000-0100-00000E000000}">
      <text>
        <r>
          <rPr>
            <sz val="12"/>
            <color indexed="81"/>
            <rFont val="Times New Roman"/>
            <family val="1"/>
          </rPr>
          <t>-1 Chain Shirt +1</t>
        </r>
      </text>
    </comment>
    <comment ref="F41" authorId="0" shapeId="0" xr:uid="{00000000-0006-0000-0100-00000F000000}">
      <text>
        <r>
          <rPr>
            <sz val="12"/>
            <color indexed="81"/>
            <rFont val="Times New Roman"/>
            <family val="1"/>
          </rPr>
          <t>½-drow +1
Draconic +2</t>
        </r>
      </text>
    </comment>
    <comment ref="F44" authorId="0" shapeId="0" xr:uid="{00000000-0006-0000-0100-000010000000}">
      <text>
        <r>
          <rPr>
            <sz val="12"/>
            <color indexed="81"/>
            <rFont val="Times New Roman"/>
            <family val="1"/>
          </rPr>
          <t>-1 Chain Shirt +1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D4" authorId="0" shapeId="0" xr:uid="{00000000-0006-0000-0200-000001000000}">
      <text>
        <r>
          <rPr>
            <sz val="12"/>
            <color indexed="81"/>
            <rFont val="Times New Roman"/>
            <family val="1"/>
          </rPr>
          <t>Wool or fur</t>
        </r>
      </text>
    </comment>
    <comment ref="D7" authorId="0" shapeId="0" xr:uid="{00000000-0006-0000-0200-000002000000}">
      <text>
        <r>
          <rPr>
            <sz val="12"/>
            <color indexed="81"/>
            <rFont val="Times New Roman"/>
            <family val="1"/>
          </rPr>
          <t>Drop of sweat</t>
        </r>
      </text>
    </comment>
    <comment ref="D13" authorId="0" shapeId="0" xr:uid="{00000000-0006-0000-0200-000003000000}">
      <text>
        <r>
          <rPr>
            <sz val="12"/>
            <color indexed="81"/>
            <rFont val="Times New Roman"/>
            <family val="1"/>
          </rPr>
          <t>Sand, rose petals, or live cricket</t>
        </r>
      </text>
    </comment>
    <comment ref="D18" authorId="0" shapeId="0" xr:uid="{00000000-0006-0000-0200-000004000000}">
      <text>
        <r>
          <rPr>
            <sz val="12"/>
            <color indexed="81"/>
            <rFont val="Times New Roman"/>
            <family val="1"/>
          </rPr>
          <t>Bull-shit or bull-hair</t>
        </r>
      </text>
    </comment>
    <comment ref="D25" authorId="0" shapeId="0" xr:uid="{00000000-0006-0000-0200-000005000000}">
      <text>
        <r>
          <rPr>
            <sz val="12"/>
            <color indexed="81"/>
            <rFont val="Times New Roman"/>
            <family val="1"/>
          </rPr>
          <t>Roots</t>
        </r>
      </text>
    </comment>
    <comment ref="D30" authorId="0" shapeId="0" xr:uid="{00000000-0006-0000-0200-000006000000}">
      <text>
        <r>
          <rPr>
            <sz val="12"/>
            <color indexed="81"/>
            <rFont val="Times New Roman"/>
            <family val="1"/>
          </rPr>
          <t>dragon scale</t>
        </r>
      </text>
    </comment>
    <comment ref="D36" authorId="0" shapeId="0" xr:uid="{00000000-0006-0000-0200-000007000000}">
      <text>
        <r>
          <rPr>
            <sz val="12"/>
            <color indexed="81"/>
            <rFont val="Times New Roman"/>
            <family val="1"/>
          </rPr>
          <t>phosphorous (warm) or glowworm (chill)</t>
        </r>
      </text>
    </comment>
    <comment ref="D38" authorId="0" shapeId="0" xr:uid="{3D4E755B-3C7C-46F3-8A85-AA06CC824D84}">
      <text>
        <r>
          <rPr>
            <sz val="12"/>
            <color indexed="81"/>
            <rFont val="Times New Roman"/>
            <family val="1"/>
          </rPr>
          <t>Leather glove</t>
        </r>
      </text>
    </comment>
    <comment ref="D39" authorId="0" shapeId="0" xr:uid="{50A6A241-BBE0-4DD2-9614-093BFB9D55FF}">
      <text>
        <r>
          <rPr>
            <sz val="12"/>
            <color indexed="81"/>
            <rFont val="Times New Roman"/>
            <family val="1"/>
          </rPr>
          <t>metal bar or rod, which can be as small as a three-penny nail</t>
        </r>
      </text>
    </comment>
    <comment ref="D43" authorId="0" shapeId="0" xr:uid="{00000000-0006-0000-0200-000008000000}">
      <text>
        <r>
          <rPr>
            <sz val="12"/>
            <rFont val="Times New Roman"/>
            <family val="1"/>
          </rPr>
          <t>lodestone and dust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A2" authorId="0" shapeId="0" xr:uid="{00000000-0006-0000-0300-000001000000}">
      <text>
        <r>
          <rPr>
            <sz val="12"/>
            <color indexed="81"/>
            <rFont val="Times New Roman"/>
            <family val="1"/>
          </rPr>
          <t xml:space="preserve">You can use your knowledge to exploit your foes’ weaknesses and overcome their strengths.
</t>
        </r>
        <r>
          <rPr>
            <b/>
            <sz val="12"/>
            <color indexed="81"/>
            <rFont val="Times New Roman"/>
            <family val="1"/>
          </rPr>
          <t xml:space="preserve">Prerequisite:  </t>
        </r>
        <r>
          <rPr>
            <sz val="12"/>
            <color indexed="81"/>
            <rFont val="Times New Roman"/>
            <family val="1"/>
          </rPr>
          <t xml:space="preserve">Knowledge (any) 5 ranks.
</t>
        </r>
        <r>
          <rPr>
            <b/>
            <sz val="12"/>
            <color indexed="81"/>
            <rFont val="Times New Roman"/>
            <family val="1"/>
          </rPr>
          <t xml:space="preserve">Benefit:  </t>
        </r>
        <r>
          <rPr>
            <sz val="12"/>
            <color indexed="81"/>
            <rFont val="Times New Roman"/>
            <family val="1"/>
          </rPr>
          <t xml:space="preserve">Upon selecting this feat, you immediately add one Knowledge skill of your choice to your list of class skills.  Thereafter, you treat that skill as a class skill, regardless of which class you are advancing in.  Whenever you fight a creature, you can make a Knowledge check based on its type, as described on page 78 of the Player’s Handbook, provided that you have at least one rank in the appropriate Knowledge skill.
You then receive an insight bonus on attack rolls and damage rolls against that creature type for the remainder of the combat.  The amount of the bonus depends on your Knowledge check result, as given on the following table.
</t>
        </r>
        <r>
          <rPr>
            <b/>
            <sz val="12"/>
            <color indexed="81"/>
            <rFont val="Times New Roman"/>
            <family val="1"/>
          </rPr>
          <t>Die Roll        Bonus</t>
        </r>
        <r>
          <rPr>
            <sz val="12"/>
            <color indexed="81"/>
            <rFont val="Times New Roman"/>
            <family val="1"/>
          </rPr>
          <t xml:space="preserve">
15 or below    +1
16-25              +2
26-30              +3
31-35              +4
36 or higher    +5
You can make only one Knowledge check per creature type per combat.  If you fight creatures of multiple types during the same combat, you can make one Knowledge check per type, thereby possibly gaining different bonuses against different opponents.
</t>
        </r>
        <r>
          <rPr>
            <b/>
            <sz val="12"/>
            <color indexed="81"/>
            <rFont val="Times New Roman"/>
            <family val="1"/>
          </rPr>
          <t xml:space="preserve">Example:  </t>
        </r>
        <r>
          <rPr>
            <sz val="12"/>
            <color indexed="81"/>
            <rFont val="Times New Roman"/>
            <family val="1"/>
          </rPr>
          <t>Alhandra faces a black dragon, a vampire, and a beholder.  She has the Knowledge Devotion feat and ranks in both Knowledge (arcana) and Knowledge (religion).  At the beginning of the battle, she makes checks to gain bonuses against the dragon and the vampire, but since she possess no ranks in Knowledge (dungeoneering), she has no chance to gain a bonus against the beholder (an aberration).
Alhandra’s Knowledge (arcana) check grants her a +3 insight bonus on attack rolls and damage rolls against the black dragon.  Later, a half-dragon enters the fray.  Alhandra cannot make another check since she has already checked for the dragon type this combat, but she can apply the +3 insight bonus to her attack rolls and damage rolls against the half-dragon as well.  This benefit is an extraordinary ability.
Complete Champion 60</t>
        </r>
      </text>
    </comment>
    <comment ref="A3" authorId="0" shapeId="0" xr:uid="{00000000-0006-0000-0300-000002000000}">
      <text>
        <r>
          <rPr>
            <sz val="12"/>
            <color indexed="81"/>
            <rFont val="Times New Roman"/>
            <family val="1"/>
          </rPr>
          <t xml:space="preserve">You can make exceptionally powerful melee attacks.
Prerequisite:  Str 13.
</t>
        </r>
        <r>
          <rPr>
            <b/>
            <sz val="12"/>
            <color indexed="81"/>
            <rFont val="Times New Roman"/>
            <family val="1"/>
          </rPr>
          <t xml:space="preserve">Benefit:  </t>
        </r>
        <r>
          <rPr>
            <sz val="12"/>
            <color indexed="81"/>
            <rFont val="Times New Roman"/>
            <family val="1"/>
          </rPr>
          <t xml:space="preserve">On your action, before making attack rolls for a round, you may choose to subtract a number from all melee attack rolls and add the same number to all melee damage rolls. This number may not exceed your base attack bonus. The penalty on attacks and bonus on damage apply until your next turn.
</t>
        </r>
        <r>
          <rPr>
            <b/>
            <sz val="12"/>
            <color indexed="81"/>
            <rFont val="Times New Roman"/>
            <family val="1"/>
          </rPr>
          <t xml:space="preserve">Special:  </t>
        </r>
        <r>
          <rPr>
            <sz val="12"/>
            <color indexed="81"/>
            <rFont val="Times New Roman"/>
            <family val="1"/>
          </rPr>
          <t>If you attack with a two-handed weapon, or with a one-handed weapon wielded in two hands, instead add twice the number subtracted from your attack rolls. You can’t add the bonus from Power Attack to the damage dealt with a light weapon (except with unarmed strikes or natural weapon attacks), even though the penalty on attack rolls still applies. (Normally, you treat a double weapon as a one-handed weapon and a light weapon. If you choose to use a double weapon like a two-handed weapon, attacking with only one end of it in a round, you treat it as a two-handed weapon.)
A fighter may select Power Attack as one of his fighter bonus feats (see page 38).
PHB 98</t>
        </r>
      </text>
    </comment>
    <comment ref="A4" authorId="0" shapeId="0" xr:uid="{00000000-0006-0000-0300-000003000000}">
      <text>
        <r>
          <rPr>
            <sz val="12"/>
            <color indexed="81"/>
            <rFont val="Times New Roman"/>
            <family val="1"/>
          </rPr>
          <t xml:space="preserve">You can react more quickly than normal in a fight.
</t>
        </r>
        <r>
          <rPr>
            <b/>
            <sz val="12"/>
            <color indexed="81"/>
            <rFont val="Times New Roman"/>
            <family val="1"/>
          </rPr>
          <t xml:space="preserve">Benefit:  </t>
        </r>
        <r>
          <rPr>
            <sz val="12"/>
            <color indexed="81"/>
            <rFont val="Times New Roman"/>
            <family val="1"/>
          </rPr>
          <t xml:space="preserve">You get a +4 bonus on initiative checks.
</t>
        </r>
        <r>
          <rPr>
            <b/>
            <sz val="12"/>
            <color indexed="81"/>
            <rFont val="Times New Roman"/>
            <family val="1"/>
          </rPr>
          <t xml:space="preserve">Special:  </t>
        </r>
        <r>
          <rPr>
            <sz val="12"/>
            <color indexed="81"/>
            <rFont val="Times New Roman"/>
            <family val="1"/>
          </rPr>
          <t>A fighter may select Improved Initiative as one of his
fighter bonus feats (see page 38).
PHB 96</t>
        </r>
      </text>
    </comment>
    <comment ref="A5" authorId="0" shapeId="0" xr:uid="{00000000-0006-0000-0300-000004000000}">
      <text>
        <r>
          <rPr>
            <sz val="12"/>
            <rFont val="Times New Roman"/>
            <family val="1"/>
          </rPr>
          <t xml:space="preserve">You can cast spells to maximum effect.
</t>
        </r>
        <r>
          <rPr>
            <b/>
            <sz val="12"/>
            <color indexed="81"/>
            <rFont val="Times New Roman"/>
            <family val="1"/>
          </rPr>
          <t xml:space="preserve">Benefit:  </t>
        </r>
        <r>
          <rPr>
            <sz val="12"/>
            <rFont val="Times New Roman"/>
            <family val="1"/>
          </rPr>
          <t xml:space="preserve">All variable, numeric effects of a spell modified by this feat are maximized.  A maximized spell deals maximum damage, cures the maximum number of hit points, affects the maximum number of targets, etc., as appropriate.  For example, a maximized fireball deals 6 points of damage per caster level (up to a maximum of 60 points of damage at 10th caster level).  Saving throws and opposed rolls (such as the one you make when you cast </t>
        </r>
        <r>
          <rPr>
            <i/>
            <sz val="12"/>
            <color indexed="81"/>
            <rFont val="Times New Roman"/>
            <family val="1"/>
          </rPr>
          <t>dispel magic</t>
        </r>
        <r>
          <rPr>
            <sz val="12"/>
            <rFont val="Times New Roman"/>
            <family val="1"/>
          </rPr>
          <t>) are not affected, nor are spells without random variables.  A maximized spell uses up a spell slot three levels higher than the spell’s actual level.
An empowered, maximized spell gains the separate benefits of each feat: the maximum result plus one-half the normally rolled result.  An empowered, maximized fireball cast by a 15th-level wizard deals points of damage equal to 60 plus one half of 10d6.
PHB 97</t>
        </r>
      </text>
    </comment>
    <comment ref="G5" authorId="0" shapeId="0" xr:uid="{785B48DC-EA3F-4CC3-852D-4961F314D4E4}">
      <text>
        <r>
          <rPr>
            <i/>
            <sz val="12"/>
            <color indexed="81"/>
            <rFont val="Times New Roman"/>
            <family val="1"/>
          </rPr>
          <t>Ring of Wizardry I</t>
        </r>
      </text>
    </comment>
    <comment ref="A6" authorId="0" shapeId="0" xr:uid="{00000000-0006-0000-0300-000005000000}">
      <text>
        <r>
          <rPr>
            <sz val="12"/>
            <rFont val="Times New Roman"/>
            <family val="1"/>
          </rPr>
          <t xml:space="preserve">Your spells are especially potent, breaking through spell resistance more readily than normal.
</t>
        </r>
        <r>
          <rPr>
            <b/>
            <sz val="12"/>
            <color indexed="81"/>
            <rFont val="Times New Roman"/>
            <family val="1"/>
          </rPr>
          <t xml:space="preserve">Benefit:  </t>
        </r>
        <r>
          <rPr>
            <sz val="12"/>
            <rFont val="Times New Roman"/>
            <family val="1"/>
          </rPr>
          <t>You get a +2 bonus on caster level checks (1d20 + caster level) made to overcome a creature’s spell resistance.
PHB 97</t>
        </r>
      </text>
    </comment>
    <comment ref="A7" authorId="0" shapeId="0" xr:uid="{2FDA314A-AD0A-4409-A26C-18F82124BA31}">
      <text>
        <r>
          <rPr>
            <sz val="12"/>
            <rFont val="Times New Roman"/>
            <family val="1"/>
          </rPr>
          <t xml:space="preserve">You can chennel arcane energy into your melee attacks.
</t>
        </r>
        <r>
          <rPr>
            <b/>
            <sz val="12"/>
            <color indexed="81"/>
            <rFont val="Times New Roman"/>
            <family val="1"/>
          </rPr>
          <t xml:space="preserve">Prerequisitites:  </t>
        </r>
        <r>
          <rPr>
            <sz val="12"/>
            <rFont val="Times New Roman"/>
            <family val="1"/>
          </rPr>
          <t xml:space="preserve">Ability to cast 3rd-level arcane spells, base attack bonus +4.
</t>
        </r>
        <r>
          <rPr>
            <b/>
            <sz val="12"/>
            <color indexed="81"/>
            <rFont val="Times New Roman"/>
            <family val="1"/>
          </rPr>
          <t xml:space="preserve">Benefit:  </t>
        </r>
        <r>
          <rPr>
            <sz val="12"/>
            <rFont val="Times New Roman"/>
            <family val="1"/>
          </rPr>
          <t>When you activate this feat (a free action that does not provoke an attack of opportunity), you can channel arcane energy into a melee weapon, your unarmed strike, or natural weapons.  You must sacrifice one of your spells for the day (of 1st level or higher) to do this, but you gain a bonus on all your attack rolls for 1 round equal to the level of the spell sacrificed, as well as extra damage equal to 1d4 points x the level of the spell sacrificed.  The bonus you add to your attack rolls from this feat cannot be greater than your base attack bonus.
For example, Yarren the badesinger has a BAB of +11 and the ability to cast 4th-level spells for the day, marking it off as if he had cast it.  until his next turn, yarren gaines an extra +4 bonus on his attack rolls and an extra 4d4 points of damage with a single melee weapon of his choice (his rapier).
??? 96</t>
        </r>
      </text>
    </comment>
    <comment ref="A8" authorId="0" shapeId="0" xr:uid="{AE17CF6C-6FF9-430B-8B9A-6CB72C80E3A1}">
      <text>
        <r>
          <rPr>
            <sz val="12"/>
            <rFont val="Times New Roman"/>
            <family val="1"/>
          </rPr>
          <t xml:space="preserve">You are skilled at fighting at close range and resisting grapple attempts.
</t>
        </r>
        <r>
          <rPr>
            <b/>
            <sz val="12"/>
            <color indexed="81"/>
            <rFont val="Times New Roman"/>
            <family val="1"/>
          </rPr>
          <t xml:space="preserve">Prerequisites: </t>
        </r>
        <r>
          <rPr>
            <sz val="12"/>
            <rFont val="Times New Roman"/>
            <family val="1"/>
          </rPr>
          <t xml:space="preserve">Base attack bonus +3.
</t>
        </r>
        <r>
          <rPr>
            <b/>
            <sz val="12"/>
            <color indexed="81"/>
            <rFont val="Times New Roman"/>
            <family val="1"/>
          </rPr>
          <t xml:space="preserve">Benefit: </t>
        </r>
        <r>
          <rPr>
            <sz val="12"/>
            <rFont val="Times New Roman"/>
            <family val="1"/>
          </rPr>
          <t xml:space="preserve">You gain an attack of opportunity whenever an enemy attempts to grapple you, even if the enemy has a feat or special ability that would normally bypass the attack.  If you deal damage with this attack, the enemy fails to start the grapple unless it has the Improved Grapple feat or a special ability such as improved grab.  If the enemy has such an ability, you may add the damage you deal as a bonus on your opposed check to resist being grappled.  This feat does not give you extra attacks of opportunity during a round or allow you to make an attack of opportunity when you would be denied one for being surprised, helpless, or in a similar situation.
For example, an ogre attempts to grapple Tordek.  Tordek gains an attack of opportunity, hits, and causes damage.  Since the ogre does not have any sort of grappling special ability or feat, it fails to start a grapple.  Then an ankheg—a creature with the improved grab special ability—attempts to grapple Tordek.  He takes an attack of opportunity, hits, and deals 10 points of damage to the creature.  Tordek then adds +10 to his opposed check to resist being grappled.
</t>
        </r>
        <r>
          <rPr>
            <b/>
            <sz val="12"/>
            <color indexed="81"/>
            <rFont val="Times New Roman"/>
            <family val="1"/>
          </rPr>
          <t xml:space="preserve">Normal: </t>
        </r>
        <r>
          <rPr>
            <sz val="12"/>
            <rFont val="Times New Roman"/>
            <family val="1"/>
          </rPr>
          <t xml:space="preserve">Creatures with Improved Grapple, improved grab, or similar feats or special abilities do not provoke attacks of opportunity when they attempt to start a grapple.
</t>
        </r>
        <r>
          <rPr>
            <b/>
            <sz val="12"/>
            <color indexed="81"/>
            <rFont val="Times New Roman"/>
            <family val="1"/>
          </rPr>
          <t xml:space="preserve">Special: </t>
        </r>
        <r>
          <rPr>
            <sz val="12"/>
            <rFont val="Times New Roman"/>
            <family val="1"/>
          </rPr>
          <t>A fighter may select Close-Quarters Fighting as one of his fighter bonus feats.
Complete Warrior 97</t>
        </r>
      </text>
    </comment>
    <comment ref="A11" authorId="0" shapeId="0" xr:uid="{00000000-0006-0000-0300-000008000000}">
      <text>
        <r>
          <rPr>
            <sz val="12"/>
            <color indexed="81"/>
            <rFont val="Times New Roman"/>
            <family val="1"/>
          </rPr>
          <t>Dancing Lights, Detect Magic, Flare, Ghost Sound, Read Magic a combined total of times per day equal to 3 + Int modifier.  These do not count against your total of spells known or spells per day.</t>
        </r>
      </text>
    </comment>
    <comment ref="A13" authorId="0" shapeId="0" xr:uid="{00000000-0006-0000-0300-000009000000}">
      <text>
        <r>
          <rPr>
            <sz val="12"/>
            <color indexed="81"/>
            <rFont val="Times New Roman"/>
            <family val="1"/>
          </rPr>
          <t>Avoid arcane spell failure so long as you stick to medium armor and light shields.</t>
        </r>
      </text>
    </comment>
    <comment ref="A14" authorId="0" shapeId="0" xr:uid="{00000000-0006-0000-0300-00000A000000}">
      <text>
        <r>
          <rPr>
            <sz val="12"/>
            <color indexed="81"/>
            <rFont val="Times New Roman"/>
            <family val="1"/>
          </rPr>
          <t>Avoid arcane spell failure so long as you stick to medium armor and light shields.</t>
        </r>
      </text>
    </comment>
    <comment ref="A15" authorId="0" shapeId="0" xr:uid="{00000000-0006-0000-0300-00000B000000}">
      <text>
        <r>
          <rPr>
            <sz val="12"/>
            <color indexed="81"/>
            <rFont val="Times New Roman"/>
            <family val="1"/>
          </rPr>
          <t>You can use a standard action to cast any touch spell you know and deliver the spell through your weapon with a melee attack.  Casting a spell in this manner does not provoke attacks of opportunity.  The spell must have a casting time of 1 standard action or less.  If the melee attack is successful, the attack deals damage normally; then the effect of the spell is resolved.</t>
        </r>
      </text>
    </comment>
    <comment ref="A16" authorId="0" shapeId="0" xr:uid="{00000000-0006-0000-0300-00000C000000}">
      <text>
        <r>
          <rPr>
            <sz val="12"/>
            <color indexed="81"/>
            <rFont val="Times New Roman"/>
            <family val="1"/>
          </rPr>
          <t xml:space="preserve">You are adept at casting spells in combat.
</t>
        </r>
        <r>
          <rPr>
            <b/>
            <sz val="12"/>
            <color indexed="81"/>
            <rFont val="Times New Roman"/>
            <family val="1"/>
          </rPr>
          <t xml:space="preserve">Benefit:  </t>
        </r>
        <r>
          <rPr>
            <sz val="12"/>
            <color indexed="81"/>
            <rFont val="Times New Roman"/>
            <family val="1"/>
          </rPr>
          <t>You get a +4 bonus on Concentration checks made to cast a spell or use a spell-like ability while on the defensive (see Casting on the Defensive, page 140) or while you are grappling or pinned.
PHB 92</t>
        </r>
      </text>
    </comment>
    <comment ref="A17" authorId="0" shapeId="0" xr:uid="{00000000-0006-0000-0300-00000D000000}">
      <text>
        <r>
          <rPr>
            <sz val="12"/>
            <color indexed="81"/>
            <rFont val="Times New Roman"/>
            <family val="1"/>
          </rPr>
          <t>Starting at 6th level, you can more easily overcome the spell resistance of any opponent you successfully injure
with a melee attack.
If you have injured an opponent with a melee attack, you gain a +2 bonus on your caster level check to overcome spell resistance for the remainder of the encounter.  This bonus increases to +3 at 11th level, to +4 at 16th level, and to +5 at 18th level.
PHB II 20</t>
        </r>
      </text>
    </comment>
    <comment ref="A18" authorId="0" shapeId="0" xr:uid="{00000000-0006-0000-0300-00000E000000}">
      <text>
        <r>
          <rPr>
            <sz val="12"/>
            <color indexed="81"/>
            <rFont val="Times New Roman"/>
            <family val="1"/>
          </rPr>
          <t>You can cast one spell as a swift action, so long as the casting time of the spell is 1 standard action or less.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A3" authorId="0" shapeId="0" xr:uid="{B2E10A39-E509-462C-8F17-49749C5B71C1}">
      <text>
        <r>
          <rPr>
            <b/>
            <sz val="12"/>
            <color indexed="81"/>
            <rFont val="Times New Roman"/>
            <family val="1"/>
          </rPr>
          <t xml:space="preserve">Price:  </t>
        </r>
        <r>
          <rPr>
            <sz val="12"/>
            <color indexed="81"/>
            <rFont val="Times New Roman"/>
            <family val="1"/>
          </rPr>
          <t xml:space="preserve">+1 bonus.
A shattermantle weapon damages an opponent’s spell resistance.  Each time the weapon strikes a foe with spell resistance, the value of that spell resistance is reduced by 2 for 1 round.  The penalties for multiple hits during the same round stack. For example, if the wielder succeeds on three attacks in the same round against the same foe with spell resistance, that foe’s spell resistance is reduced by 6 until the beginning of the wielder’s next turn.  This weapon property does not grant the bearer the ability to determine how much spell resistance (if any) a target might have.
Waterdeep 146
</t>
        </r>
        <r>
          <rPr>
            <b/>
            <sz val="12"/>
            <color indexed="81"/>
            <rFont val="Times New Roman"/>
            <family val="1"/>
          </rPr>
          <t xml:space="preserve">Price: </t>
        </r>
        <r>
          <rPr>
            <sz val="12"/>
            <color indexed="81"/>
            <rFont val="Times New Roman"/>
            <family val="1"/>
          </rPr>
          <t xml:space="preserve">+1 bonus
</t>
        </r>
        <r>
          <rPr>
            <b/>
            <sz val="12"/>
            <color indexed="81"/>
            <rFont val="Times New Roman"/>
            <family val="1"/>
          </rPr>
          <t xml:space="preserve">Property: </t>
        </r>
        <r>
          <rPr>
            <sz val="12"/>
            <color indexed="81"/>
            <rFont val="Times New Roman"/>
            <family val="1"/>
          </rPr>
          <t xml:space="preserve">Melee weapon
</t>
        </r>
        <r>
          <rPr>
            <b/>
            <sz val="12"/>
            <color indexed="81"/>
            <rFont val="Times New Roman"/>
            <family val="1"/>
          </rPr>
          <t xml:space="preserve">Caster Level: </t>
        </r>
        <r>
          <rPr>
            <sz val="12"/>
            <color indexed="81"/>
            <rFont val="Times New Roman"/>
            <family val="1"/>
          </rPr>
          <t xml:space="preserve">10th
</t>
        </r>
        <r>
          <rPr>
            <b/>
            <sz val="12"/>
            <color indexed="81"/>
            <rFont val="Times New Roman"/>
            <family val="1"/>
          </rPr>
          <t xml:space="preserve">Aura: </t>
        </r>
        <r>
          <rPr>
            <sz val="12"/>
            <color indexed="81"/>
            <rFont val="Times New Roman"/>
            <family val="1"/>
          </rPr>
          <t xml:space="preserve">Moderate; (DC 20) necromancy
</t>
        </r>
        <r>
          <rPr>
            <b/>
            <sz val="12"/>
            <color indexed="81"/>
            <rFont val="Times New Roman"/>
            <family val="1"/>
          </rPr>
          <t xml:space="preserve">Activation: </t>
        </r>
        <r>
          <rPr>
            <sz val="12"/>
            <color indexed="81"/>
            <rFont val="Times New Roman"/>
            <family val="1"/>
          </rPr>
          <t>Free (command)
The blade of this weapon bears red crystals carefully inlaid in intricate designs.
A bloodstone weapon can store and cast a vampiric touch spell against a creature it strikes, just as if it were a spell storing weapon (DMG 225).  Any such spell cast from a bloodstone weapon is automatically empowered (as if by the Empower Spell feat).  A bloodstone weapon can store no more than one such spell at any time, and it cannot store a spell other than vampiric touch.
MIC 29.</t>
        </r>
      </text>
    </comment>
    <comment ref="D3" authorId="0" shapeId="0" xr:uid="{63C69168-E6F0-4A3E-9B0E-801FCD7E2DB7}">
      <text>
        <r>
          <rPr>
            <i/>
            <sz val="12"/>
            <color indexed="81"/>
            <rFont val="Times New Roman"/>
            <family val="1"/>
          </rPr>
          <t>Greater Magic Weapon +2</t>
        </r>
      </text>
    </comment>
    <comment ref="E3" authorId="0" shapeId="0" xr:uid="{1D41FCEC-AFF2-47D8-82BD-FD3B6433CD23}">
      <text>
        <r>
          <rPr>
            <sz val="12"/>
            <color indexed="81"/>
            <rFont val="Times New Roman"/>
            <family val="1"/>
          </rPr>
          <t>Keen Edge -3</t>
        </r>
      </text>
    </comment>
    <comment ref="E4" authorId="0" shapeId="0" xr:uid="{872FF7DE-51D7-44E9-A201-1D8D37112964}">
      <text>
        <r>
          <rPr>
            <sz val="12"/>
            <color indexed="81"/>
            <rFont val="Times New Roman"/>
            <family val="1"/>
          </rPr>
          <t>Keen Edge -3</t>
        </r>
      </text>
    </comment>
    <comment ref="E5" authorId="0" shapeId="0" xr:uid="{FB64C7C0-17C9-41C9-83E7-FAD03F32DA1F}">
      <text>
        <r>
          <rPr>
            <sz val="12"/>
            <color indexed="81"/>
            <rFont val="Times New Roman"/>
            <family val="1"/>
          </rPr>
          <t>Keen Edge -3</t>
        </r>
      </text>
    </comment>
    <comment ref="E6" authorId="0" shapeId="0" xr:uid="{98548313-1390-48C8-85A3-331D6B63772C}">
      <text>
        <r>
          <rPr>
            <sz val="12"/>
            <color indexed="81"/>
            <rFont val="Times New Roman"/>
            <family val="1"/>
          </rPr>
          <t>Keen Edge -3</t>
        </r>
      </text>
    </comment>
    <comment ref="E7" authorId="0" shapeId="0" xr:uid="{8A8FA6A9-6FCA-43E7-86C0-83E7F0803C4D}">
      <text>
        <r>
          <rPr>
            <sz val="12"/>
            <color indexed="81"/>
            <rFont val="Times New Roman"/>
            <family val="1"/>
          </rPr>
          <t>Keen Edge -3</t>
        </r>
      </text>
    </comment>
    <comment ref="A8" authorId="0" shapeId="0" xr:uid="{00000000-0006-0000-0400-000001000000}">
      <text>
        <r>
          <rPr>
            <b/>
            <sz val="12"/>
            <color indexed="81"/>
            <rFont val="Times New Roman"/>
            <family val="1"/>
          </rPr>
          <t xml:space="preserve">Price (Item Level):  </t>
        </r>
        <r>
          <rPr>
            <sz val="12"/>
            <color indexed="81"/>
            <rFont val="Times New Roman"/>
            <family val="1"/>
          </rPr>
          <t xml:space="preserve">6,000 gp
</t>
        </r>
        <r>
          <rPr>
            <b/>
            <sz val="12"/>
            <color indexed="81"/>
            <rFont val="Times New Roman"/>
            <family val="1"/>
          </rPr>
          <t xml:space="preserve">Body Slot:  </t>
        </r>
        <r>
          <rPr>
            <sz val="12"/>
            <color indexed="81"/>
            <rFont val="Times New Roman"/>
            <family val="1"/>
          </rPr>
          <t xml:space="preserve">— (weapon)
</t>
        </r>
        <r>
          <rPr>
            <b/>
            <sz val="12"/>
            <color indexed="81"/>
            <rFont val="Times New Roman"/>
            <family val="1"/>
          </rPr>
          <t xml:space="preserve">Activation:  </t>
        </r>
        <r>
          <rPr>
            <sz val="12"/>
            <color indexed="81"/>
            <rFont val="Times New Roman"/>
            <family val="1"/>
          </rPr>
          <t xml:space="preserve">—
</t>
        </r>
        <r>
          <rPr>
            <b/>
            <sz val="12"/>
            <color indexed="81"/>
            <rFont val="Times New Roman"/>
            <family val="1"/>
          </rPr>
          <t xml:space="preserve">Weight:  </t>
        </r>
        <r>
          <rPr>
            <sz val="12"/>
            <color indexed="81"/>
            <rFont val="Times New Roman"/>
            <family val="1"/>
          </rPr>
          <t xml:space="preserve">—
</t>
        </r>
        <r>
          <rPr>
            <b/>
            <sz val="12"/>
            <color indexed="81"/>
            <rFont val="Times New Roman"/>
            <family val="1"/>
          </rPr>
          <t xml:space="preserve">Caster Level:  </t>
        </r>
        <r>
          <rPr>
            <sz val="12"/>
            <color indexed="81"/>
            <rFont val="Times New Roman"/>
            <family val="1"/>
          </rPr>
          <t xml:space="preserve">5th
</t>
        </r>
        <r>
          <rPr>
            <b/>
            <sz val="12"/>
            <color indexed="81"/>
            <rFont val="Times New Roman"/>
            <family val="1"/>
          </rPr>
          <t xml:space="preserve">Aura:  </t>
        </r>
        <r>
          <rPr>
            <sz val="12"/>
            <color indexed="81"/>
            <rFont val="Times New Roman"/>
            <family val="1"/>
          </rPr>
          <t xml:space="preserve">Moderate; (DC 17 ) Transmutation
A crystal of arcane steel is designed for those who can blend magical and martial arts into a single strike.  It functions only when attached to a melee weapon.
</t>
        </r>
        <r>
          <rPr>
            <b/>
            <sz val="12"/>
            <color indexed="81"/>
            <rFont val="Times New Roman"/>
            <family val="1"/>
          </rPr>
          <t xml:space="preserve">Least:  </t>
        </r>
        <r>
          <rPr>
            <sz val="12"/>
            <color indexed="81"/>
            <rFont val="Times New Roman"/>
            <family val="1"/>
          </rPr>
          <t xml:space="preserve">This crystal grants a +1 insight bonus on your weapon damage roll when delivering a spell or spell-like ability through a melee attack with the weapon.
</t>
        </r>
        <r>
          <rPr>
            <b/>
            <sz val="12"/>
            <color indexed="81"/>
            <rFont val="Times New Roman"/>
            <family val="1"/>
          </rPr>
          <t xml:space="preserve">Lesser:  </t>
        </r>
        <r>
          <rPr>
            <sz val="12"/>
            <color indexed="81"/>
            <rFont val="Times New Roman"/>
            <family val="1"/>
          </rPr>
          <t xml:space="preserve">As the least crystal, and it also grants you a +1 insight bonus on the attack roll.
</t>
        </r>
        <r>
          <rPr>
            <b/>
            <sz val="12"/>
            <color indexed="81"/>
            <rFont val="Times New Roman"/>
            <family val="1"/>
          </rPr>
          <t xml:space="preserve">Greater:  </t>
        </r>
        <r>
          <rPr>
            <sz val="12"/>
            <color indexed="81"/>
            <rFont val="Times New Roman"/>
            <family val="1"/>
          </rPr>
          <t>As the lesser crystal, and it also increases the save DC of the spell or spell-like ability by 1.
MIC 64</t>
        </r>
      </text>
    </comment>
    <comment ref="A19" authorId="0" shapeId="0" xr:uid="{7D55C8EB-13CE-4C0A-88FB-36B93171CA29}">
      <text>
        <r>
          <rPr>
            <b/>
            <sz val="12"/>
            <color indexed="81"/>
            <rFont val="Times New Roman"/>
            <family val="1"/>
          </rPr>
          <t xml:space="preserve">Price (Item Level):  </t>
        </r>
        <r>
          <rPr>
            <sz val="12"/>
            <color indexed="81"/>
            <rFont val="Times New Roman"/>
            <family val="1"/>
          </rPr>
          <t xml:space="preserve">1,000 gp (4th) (least); 5,000 gp (9th) (lesser); 10,000 gp (12th) (greater)
</t>
        </r>
        <r>
          <rPr>
            <b/>
            <sz val="12"/>
            <color indexed="81"/>
            <rFont val="Times New Roman"/>
            <family val="1"/>
          </rPr>
          <t xml:space="preserve">Body Slot:  </t>
        </r>
        <r>
          <rPr>
            <sz val="12"/>
            <color indexed="81"/>
            <rFont val="Times New Roman"/>
            <family val="1"/>
          </rPr>
          <t xml:space="preserve">— (weapon crystal)
</t>
        </r>
        <r>
          <rPr>
            <b/>
            <sz val="12"/>
            <color indexed="81"/>
            <rFont val="Times New Roman"/>
            <family val="1"/>
          </rPr>
          <t xml:space="preserve">Caster Level:  </t>
        </r>
        <r>
          <rPr>
            <sz val="12"/>
            <color indexed="81"/>
            <rFont val="Times New Roman"/>
            <family val="1"/>
          </rPr>
          <t xml:space="preserve">5th
</t>
        </r>
        <r>
          <rPr>
            <b/>
            <sz val="12"/>
            <color indexed="81"/>
            <rFont val="Times New Roman"/>
            <family val="1"/>
          </rPr>
          <t xml:space="preserve">Aura:  </t>
        </r>
        <r>
          <rPr>
            <sz val="12"/>
            <color indexed="81"/>
            <rFont val="Times New Roman"/>
            <family val="1"/>
          </rPr>
          <t xml:space="preserve">Faint; (DC 17) evocation
</t>
        </r>
        <r>
          <rPr>
            <b/>
            <sz val="12"/>
            <color indexed="81"/>
            <rFont val="Times New Roman"/>
            <family val="1"/>
          </rPr>
          <t xml:space="preserve">Activation:  </t>
        </r>
        <r>
          <rPr>
            <sz val="12"/>
            <color indexed="81"/>
            <rFont val="Times New Roman"/>
            <family val="1"/>
          </rPr>
          <t xml:space="preserve">—
</t>
        </r>
        <r>
          <rPr>
            <b/>
            <sz val="12"/>
            <color indexed="81"/>
            <rFont val="Times New Roman"/>
            <family val="1"/>
          </rPr>
          <t xml:space="preserve">Weight:  </t>
        </r>
        <r>
          <rPr>
            <sz val="12"/>
            <color indexed="81"/>
            <rFont val="Times New Roman"/>
            <family val="1"/>
          </rPr>
          <t>—
This amethyst is carved in the shape of a humanoid skull.
Clerics craft truedeath crystals to aid themselves and others in sending undead to their final rest.
Least: A weapon with this crystal attached deals an extra 1d6 points of damage to undead.
Lesser: As the least crystal, and the weapon also functions as a ghost touch weapon (DMG 224).
Greater: As the lesser crystal, and the weapon can deliver sneak attacks and critical hits against undead as if they were living creatures.
MIC 66</t>
        </r>
      </text>
    </comment>
    <comment ref="D33" authorId="0" shapeId="0" xr:uid="{00000000-0006-0000-0400-000002000000}">
      <text>
        <r>
          <rPr>
            <sz val="12"/>
            <rFont val="Times New Roman"/>
            <family val="1"/>
          </rPr>
          <t xml:space="preserve">Your spells are especially potent, breaking through spell resistance more readily than normal.
</t>
        </r>
        <r>
          <rPr>
            <b/>
            <sz val="12"/>
            <color indexed="81"/>
            <rFont val="Times New Roman"/>
            <family val="1"/>
          </rPr>
          <t xml:space="preserve">Benefit:  </t>
        </r>
        <r>
          <rPr>
            <sz val="12"/>
            <rFont val="Times New Roman"/>
            <family val="1"/>
          </rPr>
          <t>You get a +2 bonus on caster level checks (1d20 + caster level) made to overcome a creature’s spell resistance.
PHB 97</t>
        </r>
      </text>
    </comment>
    <comment ref="D34" authorId="0" shapeId="0" xr:uid="{00000000-0006-0000-0400-000003000000}">
      <text>
        <r>
          <rPr>
            <sz val="12"/>
            <color indexed="81"/>
            <rFont val="Times New Roman"/>
            <family val="1"/>
          </rPr>
          <t>Starting at 6th level, you can more easily overcome the spell resistance of any opponent you successfully injure
with a melee attack.
If you have injured an opponent with a melee attack, you gain a +2 bonus on your caster level check to overcome spell resistance for the remainder of the encounter.  This
bonus increases to +3 at 11th level, to +4 at 16th level, and to +5 at 18th level.
PHB II 20</t>
        </r>
      </text>
    </comment>
    <comment ref="D42" authorId="0" shapeId="0" xr:uid="{00000000-0006-0000-0400-000004000000}">
      <text>
        <r>
          <rPr>
            <sz val="12"/>
            <color indexed="81"/>
            <rFont val="Times New Roman"/>
            <family val="1"/>
          </rPr>
          <t>Balance, Climb, Escape Artist, Hide, Jump, Move Silently, Sleight of Hand, Tumble.</t>
        </r>
      </text>
    </comment>
    <comment ref="A43" authorId="0" shapeId="0" xr:uid="{B52F1B6C-8B67-48C3-8DB6-B12349338D98}">
      <text>
        <r>
          <rPr>
            <b/>
            <sz val="12"/>
            <color indexed="81"/>
            <rFont val="Times New Roman"/>
            <family val="1"/>
          </rPr>
          <t xml:space="preserve">Mindarmor
Price: </t>
        </r>
        <r>
          <rPr>
            <sz val="12"/>
            <color indexed="81"/>
            <rFont val="Times New Roman"/>
            <family val="1"/>
          </rPr>
          <t xml:space="preserve">+3,000 gp
</t>
        </r>
        <r>
          <rPr>
            <b/>
            <sz val="12"/>
            <color indexed="81"/>
            <rFont val="Times New Roman"/>
            <family val="1"/>
          </rPr>
          <t xml:space="preserve">Property: </t>
        </r>
        <r>
          <rPr>
            <sz val="12"/>
            <color indexed="81"/>
            <rFont val="Times New Roman"/>
            <family val="1"/>
          </rPr>
          <t xml:space="preserve">Armor or shield
</t>
        </r>
        <r>
          <rPr>
            <b/>
            <sz val="12"/>
            <color indexed="81"/>
            <rFont val="Times New Roman"/>
            <family val="1"/>
          </rPr>
          <t xml:space="preserve">Caster Level: </t>
        </r>
        <r>
          <rPr>
            <sz val="12"/>
            <color indexed="81"/>
            <rFont val="Times New Roman"/>
            <family val="1"/>
          </rPr>
          <t xml:space="preserve">5th
</t>
        </r>
        <r>
          <rPr>
            <b/>
            <sz val="12"/>
            <color indexed="81"/>
            <rFont val="Times New Roman"/>
            <family val="1"/>
          </rPr>
          <t xml:space="preserve">Aura: </t>
        </r>
        <r>
          <rPr>
            <sz val="12"/>
            <color indexed="81"/>
            <rFont val="Times New Roman"/>
            <family val="1"/>
          </rPr>
          <t xml:space="preserve">Faint; (DC 17) enchantment
</t>
        </r>
        <r>
          <rPr>
            <b/>
            <sz val="12"/>
            <color indexed="81"/>
            <rFont val="Times New Roman"/>
            <family val="1"/>
          </rPr>
          <t xml:space="preserve">Activation: </t>
        </r>
        <r>
          <rPr>
            <sz val="12"/>
            <color indexed="81"/>
            <rFont val="Times New Roman"/>
            <family val="1"/>
          </rPr>
          <t xml:space="preserve">Immediate (mental)
Constructed of seamless and tightly bound layers, this item steadies your thoughts when worn.
When activated, a suit of armor or a shield that has this property grants you a +5 bonus on Will saves to resist mind-affecting spells and abilities until the start of your next turn.
The mindarmor property functions three times per day.
MIC 13
</t>
        </r>
        <r>
          <rPr>
            <b/>
            <sz val="12"/>
            <color indexed="81"/>
            <rFont val="Times New Roman"/>
            <family val="1"/>
          </rPr>
          <t xml:space="preserve">Soulfire:  </t>
        </r>
        <r>
          <rPr>
            <sz val="12"/>
            <color indexed="81"/>
            <rFont val="Times New Roman"/>
            <family val="1"/>
          </rPr>
          <t>This armor’s wearer is immune to all death spells, magical death effects, and energy drain, and any negative energy effects (such as from chill touch or inflict spells).
BoED 112</t>
        </r>
      </text>
    </comment>
    <comment ref="L43" authorId="0" shapeId="0" xr:uid="{00000000-0006-0000-0400-000005000000}">
      <text>
        <r>
          <rPr>
            <b/>
            <sz val="12"/>
            <color indexed="81"/>
            <rFont val="Times New Roman"/>
            <family val="1"/>
          </rPr>
          <t xml:space="preserve">Price (Item Level):  </t>
        </r>
        <r>
          <rPr>
            <sz val="12"/>
            <color indexed="81"/>
            <rFont val="Times New Roman"/>
            <family val="1"/>
          </rPr>
          <t xml:space="preserve">250 gp (2nd) (least), 1,000 gp (4th) (lesser), or 3,000 gp (7th) (greater)
</t>
        </r>
        <r>
          <rPr>
            <b/>
            <sz val="12"/>
            <color indexed="81"/>
            <rFont val="Times New Roman"/>
            <family val="1"/>
          </rPr>
          <t xml:space="preserve">Body Slot:  </t>
        </r>
        <r>
          <rPr>
            <sz val="12"/>
            <color indexed="81"/>
            <rFont val="Times New Roman"/>
            <family val="1"/>
          </rPr>
          <t xml:space="preserve">— (armor crystal)
</t>
        </r>
        <r>
          <rPr>
            <b/>
            <sz val="12"/>
            <color indexed="81"/>
            <rFont val="Times New Roman"/>
            <family val="1"/>
          </rPr>
          <t xml:space="preserve">Caster Level:  </t>
        </r>
        <r>
          <rPr>
            <sz val="12"/>
            <color indexed="81"/>
            <rFont val="Times New Roman"/>
            <family val="1"/>
          </rPr>
          <t xml:space="preserve">5th
</t>
        </r>
        <r>
          <rPr>
            <b/>
            <sz val="12"/>
            <color indexed="81"/>
            <rFont val="Times New Roman"/>
            <family val="1"/>
          </rPr>
          <t xml:space="preserve">Aura:  </t>
        </r>
        <r>
          <rPr>
            <sz val="12"/>
            <color indexed="81"/>
            <rFont val="Times New Roman"/>
            <family val="1"/>
          </rPr>
          <t xml:space="preserve">Faint; (DC 17) transmutation
</t>
        </r>
        <r>
          <rPr>
            <b/>
            <sz val="12"/>
            <color indexed="81"/>
            <rFont val="Times New Roman"/>
            <family val="1"/>
          </rPr>
          <t xml:space="preserve">Activation:  </t>
        </r>
        <r>
          <rPr>
            <sz val="12"/>
            <color indexed="81"/>
            <rFont val="Times New Roman"/>
            <family val="1"/>
          </rPr>
          <t xml:space="preserve">—
</t>
        </r>
        <r>
          <rPr>
            <b/>
            <sz val="12"/>
            <color indexed="81"/>
            <rFont val="Times New Roman"/>
            <family val="1"/>
          </rPr>
          <t xml:space="preserve">Weight:  </t>
        </r>
        <r>
          <rPr>
            <sz val="12"/>
            <color indexed="81"/>
            <rFont val="Times New Roman"/>
            <family val="1"/>
          </rPr>
          <t xml:space="preserve">—
This sea-green crystal always feels moist to the touch.
A crystal of aquatic action aids the wearer while underwater.
</t>
        </r>
        <r>
          <rPr>
            <b/>
            <sz val="12"/>
            <color indexed="81"/>
            <rFont val="Times New Roman"/>
            <family val="1"/>
          </rPr>
          <t xml:space="preserve">Least:  </t>
        </r>
        <r>
          <rPr>
            <sz val="12"/>
            <color indexed="81"/>
            <rFont val="Times New Roman"/>
            <family val="1"/>
          </rPr>
          <t xml:space="preserve">Any armor bearing this augment crystal does not impose an armor check penalty on your Swim checks.
</t>
        </r>
        <r>
          <rPr>
            <b/>
            <sz val="12"/>
            <color indexed="81"/>
            <rFont val="Times New Roman"/>
            <family val="1"/>
          </rPr>
          <t xml:space="preserve">Lesser:  </t>
        </r>
        <r>
          <rPr>
            <sz val="12"/>
            <color indexed="81"/>
            <rFont val="Times New Roman"/>
            <family val="1"/>
          </rPr>
          <t xml:space="preserve">As the least crystal, and you also gain a Swim speed equal to one-half your land speed (round down to the next 5-foot increment).
</t>
        </r>
        <r>
          <rPr>
            <b/>
            <sz val="12"/>
            <color indexed="81"/>
            <rFont val="Times New Roman"/>
            <family val="1"/>
          </rPr>
          <t xml:space="preserve">Greater:  </t>
        </r>
        <r>
          <rPr>
            <sz val="12"/>
            <color indexed="81"/>
            <rFont val="Times New Roman"/>
            <family val="1"/>
          </rPr>
          <t xml:space="preserve">As the lesser crystal, and you also take no penalties on attacks or movement while underwater (as if under the effect of freedom of movement) and you can breathe water as easily as air.
</t>
        </r>
        <r>
          <rPr>
            <b/>
            <sz val="12"/>
            <color indexed="81"/>
            <rFont val="Times New Roman"/>
            <family val="1"/>
          </rPr>
          <t xml:space="preserve">Prerequisites:  </t>
        </r>
        <r>
          <rPr>
            <sz val="12"/>
            <color indexed="81"/>
            <rFont val="Times New Roman"/>
            <family val="1"/>
          </rPr>
          <t xml:space="preserve">Craft Magic Arms and Armor, freedom of movement, water breathing.
</t>
        </r>
        <r>
          <rPr>
            <b/>
            <sz val="12"/>
            <color indexed="81"/>
            <rFont val="Times New Roman"/>
            <family val="1"/>
          </rPr>
          <t xml:space="preserve">Cost to Create:  </t>
        </r>
        <r>
          <rPr>
            <sz val="12"/>
            <color indexed="81"/>
            <rFont val="Times New Roman"/>
            <family val="1"/>
          </rPr>
          <t>125 gp, 10 XP, 1 day (least); 500 gp, 40 XP, 1 day (lesser); 1,500 gp, 120 XP, 3 days (greater).
MIC 77 - 78</t>
        </r>
      </text>
    </comment>
    <comment ref="A44" authorId="0" shapeId="0" xr:uid="{00000000-0006-0000-0400-000006000000}">
      <text>
        <r>
          <rPr>
            <sz val="12"/>
            <color indexed="81"/>
            <rFont val="Times New Roman"/>
            <family val="1"/>
          </rPr>
          <t>A restful crystal is a great boon to any warrior who must stay always at the ready.
Sleeping in armor that has this augment crystal attached does not make you fatigued.
MIC 25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A6" authorId="0" shapeId="0" xr:uid="{30790EDF-00EB-4CC9-A51F-2F700EC55951}">
      <text>
        <r>
          <rPr>
            <sz val="12"/>
            <color indexed="81"/>
            <rFont val="Times New Roman"/>
            <family val="1"/>
          </rPr>
          <t>The wearer’s arcane spells per day are doubled for one specific spell level.  A ring of wizardry I doubles 1st-level spells, a ring of wizardry II doubles 2nd-level spells, a ring of wizardry III doubles 3rd-level spells, and a ring of wizardry IV doubles 4th-level spells.  Bonus spells from high ability scores or school specialization are not doubled.
DMG 233</t>
        </r>
      </text>
    </comment>
    <comment ref="A7" authorId="0" shapeId="0" xr:uid="{457CBEDA-6E1E-46F0-BEBF-CE2DFAB68886}">
      <text>
        <r>
          <rPr>
            <b/>
            <sz val="12"/>
            <color indexed="81"/>
            <rFont val="Times New Roman"/>
            <family val="1"/>
          </rPr>
          <t xml:space="preserve">Price (Item Level): </t>
        </r>
        <r>
          <rPr>
            <sz val="12"/>
            <color indexed="81"/>
            <rFont val="Times New Roman"/>
            <family val="1"/>
          </rPr>
          <t xml:space="preserve">60,000 gp (18th) (minor); 120,000 gp (21st) (major); 180,000 gp (24th) (greater)
</t>
        </r>
        <r>
          <rPr>
            <b/>
            <sz val="12"/>
            <color indexed="81"/>
            <rFont val="Times New Roman"/>
            <family val="1"/>
          </rPr>
          <t xml:space="preserve">Body Slot: </t>
        </r>
        <r>
          <rPr>
            <sz val="12"/>
            <color indexed="81"/>
            <rFont val="Times New Roman"/>
            <family val="1"/>
          </rPr>
          <t xml:space="preserve">Ring
</t>
        </r>
        <r>
          <rPr>
            <b/>
            <sz val="12"/>
            <color indexed="81"/>
            <rFont val="Times New Roman"/>
            <family val="1"/>
          </rPr>
          <t xml:space="preserve">Caster Level: </t>
        </r>
        <r>
          <rPr>
            <sz val="12"/>
            <color indexed="81"/>
            <rFont val="Times New Roman"/>
            <family val="1"/>
          </rPr>
          <t xml:space="preserve">15th
</t>
        </r>
        <r>
          <rPr>
            <b/>
            <sz val="12"/>
            <color indexed="81"/>
            <rFont val="Times New Roman"/>
            <family val="1"/>
          </rPr>
          <t xml:space="preserve">Aura: </t>
        </r>
        <r>
          <rPr>
            <sz val="12"/>
            <color indexed="81"/>
            <rFont val="Times New Roman"/>
            <family val="1"/>
          </rPr>
          <t xml:space="preserve">Strong; (DC 22) abjuration
</t>
        </r>
        <r>
          <rPr>
            <b/>
            <sz val="12"/>
            <color indexed="81"/>
            <rFont val="Times New Roman"/>
            <family val="1"/>
          </rPr>
          <t xml:space="preserve">Activation: </t>
        </r>
        <r>
          <rPr>
            <sz val="12"/>
            <color indexed="81"/>
            <rFont val="Times New Roman"/>
            <family val="1"/>
          </rPr>
          <t xml:space="preserve">—
</t>
        </r>
        <r>
          <rPr>
            <b/>
            <sz val="12"/>
            <color indexed="81"/>
            <rFont val="Times New Roman"/>
            <family val="1"/>
          </rPr>
          <t xml:space="preserve">Weight: </t>
        </r>
        <r>
          <rPr>
            <sz val="12"/>
            <color indexed="81"/>
            <rFont val="Times New Roman"/>
            <family val="1"/>
          </rPr>
          <t>—
This gold ring is imprinted with symbols representing the five energy types.
A ring of universal energy resistance functions as a ring of energy resistance (DMG 232) for all types of energy: fire, cold, electricity, acid, and sonic. A minor ring provides resistance 10, a major ring resistance 20, and a greater ring resistance 30.
MIC 128</t>
        </r>
      </text>
    </comment>
    <comment ref="A8" authorId="0" shapeId="0" xr:uid="{ADF80FDC-6975-4058-9C48-3A3C47DAF901}">
      <text>
        <r>
          <rPr>
            <b/>
            <sz val="12"/>
            <color indexed="81"/>
            <rFont val="Times New Roman"/>
            <family val="1"/>
          </rPr>
          <t xml:space="preserve">Flying </t>
        </r>
        <r>
          <rPr>
            <sz val="12"/>
            <color indexed="81"/>
            <rFont val="Times New Roman"/>
            <family val="1"/>
          </rPr>
          <t xml:space="preserve">property as Winged Boots (DMG) but with twice the duration on each activation (i.e., 10 minutes).
</t>
        </r>
        <r>
          <rPr>
            <b/>
            <sz val="12"/>
            <color indexed="81"/>
            <rFont val="Times New Roman"/>
            <family val="1"/>
          </rPr>
          <t>Greater Agility</t>
        </r>
        <r>
          <rPr>
            <sz val="12"/>
            <color indexed="81"/>
            <rFont val="Times New Roman"/>
            <family val="1"/>
          </rPr>
          <t xml:space="preserve">
</t>
        </r>
        <r>
          <rPr>
            <b/>
            <sz val="12"/>
            <color indexed="81"/>
            <rFont val="Times New Roman"/>
            <family val="1"/>
          </rPr>
          <t xml:space="preserve">Price: </t>
        </r>
        <r>
          <rPr>
            <sz val="12"/>
            <color indexed="81"/>
            <rFont val="Times New Roman"/>
            <family val="1"/>
          </rPr>
          <t xml:space="preserve">+8,000 gp
</t>
        </r>
        <r>
          <rPr>
            <b/>
            <sz val="12"/>
            <color indexed="81"/>
            <rFont val="Times New Roman"/>
            <family val="1"/>
          </rPr>
          <t xml:space="preserve">Caster Level: </t>
        </r>
        <r>
          <rPr>
            <sz val="12"/>
            <color indexed="81"/>
            <rFont val="Times New Roman"/>
            <family val="1"/>
          </rPr>
          <t xml:space="preserve">15th
</t>
        </r>
        <r>
          <rPr>
            <b/>
            <sz val="12"/>
            <color indexed="81"/>
            <rFont val="Times New Roman"/>
            <family val="1"/>
          </rPr>
          <t xml:space="preserve">Aura: </t>
        </r>
        <r>
          <rPr>
            <sz val="12"/>
            <color indexed="81"/>
            <rFont val="Times New Roman"/>
            <family val="1"/>
          </rPr>
          <t xml:space="preserve">Strong; (DC 22) transmutation
</t>
        </r>
        <r>
          <rPr>
            <b/>
            <sz val="12"/>
            <color indexed="81"/>
            <rFont val="Times New Roman"/>
            <family val="1"/>
          </rPr>
          <t xml:space="preserve">Synergy Prerequisite: </t>
        </r>
        <r>
          <rPr>
            <sz val="12"/>
            <color indexed="81"/>
            <rFont val="Times New Roman"/>
            <family val="1"/>
          </rPr>
          <t>Improved agility
As agility, except the armor grants a +5 resistance bonus on Refl ex saving throws.
MIC 6</t>
        </r>
      </text>
    </comment>
    <comment ref="A9" authorId="0" shapeId="0" xr:uid="{00000000-0006-0000-0500-000002000000}">
      <text>
        <r>
          <rPr>
            <sz val="12"/>
            <color indexed="81"/>
            <rFont val="Times New Roman"/>
            <family val="1"/>
          </rPr>
          <t xml:space="preserve">+2 competence bonus on Heal skill checks, 3 charges touch or self
</t>
        </r>
        <r>
          <rPr>
            <b/>
            <sz val="12"/>
            <color indexed="81"/>
            <rFont val="Times New Roman"/>
            <family val="1"/>
          </rPr>
          <t xml:space="preserve">1 charge:   </t>
        </r>
        <r>
          <rPr>
            <sz val="12"/>
            <color indexed="81"/>
            <rFont val="Times New Roman"/>
            <family val="1"/>
          </rPr>
          <t xml:space="preserve">heal 2d8 (positive energy)
</t>
        </r>
        <r>
          <rPr>
            <b/>
            <sz val="12"/>
            <color indexed="81"/>
            <rFont val="Times New Roman"/>
            <family val="1"/>
          </rPr>
          <t xml:space="preserve">2 charges:  </t>
        </r>
        <r>
          <rPr>
            <sz val="12"/>
            <color indexed="81"/>
            <rFont val="Times New Roman"/>
            <family val="1"/>
          </rPr>
          <t xml:space="preserve">heal 3d8
</t>
        </r>
        <r>
          <rPr>
            <b/>
            <sz val="12"/>
            <color indexed="81"/>
            <rFont val="Times New Roman"/>
            <family val="1"/>
          </rPr>
          <t xml:space="preserve">3 charges:  </t>
        </r>
        <r>
          <rPr>
            <sz val="12"/>
            <color indexed="81"/>
            <rFont val="Times New Roman"/>
            <family val="1"/>
          </rPr>
          <t>heal 4d8
Magic Item Compendium 110</t>
        </r>
      </text>
    </comment>
    <comment ref="A12" authorId="0" shapeId="0" xr:uid="{00000000-0006-0000-0500-000003000000}">
      <text>
        <r>
          <rPr>
            <sz val="12"/>
            <color indexed="81"/>
            <rFont val="Times New Roman"/>
            <family val="1"/>
          </rPr>
          <t>This item appears to be a normal cloak, but when worn by a character its magical properties distort and warp light waves.  This displacement works similar to the displacement spell except that it only grants a 20% miss chance on attacks against the wearer.  It functions continually.
DMG 253</t>
        </r>
      </text>
    </comment>
    <comment ref="A13" authorId="0" shapeId="0" xr:uid="{00000000-0006-0000-0500-000004000000}">
      <text>
        <r>
          <rPr>
            <b/>
            <sz val="12"/>
            <color indexed="81"/>
            <rFont val="Times New Roman"/>
            <family val="1"/>
          </rPr>
          <t xml:space="preserve">Price (Item Level):  </t>
        </r>
        <r>
          <rPr>
            <sz val="12"/>
            <color indexed="81"/>
            <rFont val="Times New Roman"/>
            <family val="1"/>
          </rPr>
          <t xml:space="preserve">2,300 gp (6th)
</t>
        </r>
        <r>
          <rPr>
            <b/>
            <sz val="12"/>
            <color indexed="81"/>
            <rFont val="Times New Roman"/>
            <family val="1"/>
          </rPr>
          <t xml:space="preserve">Body Slot:  </t>
        </r>
        <r>
          <rPr>
            <sz val="12"/>
            <color indexed="81"/>
            <rFont val="Times New Roman"/>
            <family val="1"/>
          </rPr>
          <t xml:space="preserve">Throat
</t>
        </r>
        <r>
          <rPr>
            <b/>
            <sz val="12"/>
            <color indexed="81"/>
            <rFont val="Times New Roman"/>
            <family val="1"/>
          </rPr>
          <t xml:space="preserve">Caster Level:  </t>
        </r>
        <r>
          <rPr>
            <sz val="12"/>
            <color indexed="81"/>
            <rFont val="Times New Roman"/>
            <family val="1"/>
          </rPr>
          <t xml:space="preserve">4th
</t>
        </r>
        <r>
          <rPr>
            <b/>
            <sz val="12"/>
            <color indexed="81"/>
            <rFont val="Times New Roman"/>
            <family val="1"/>
          </rPr>
          <t xml:space="preserve">Aura:  </t>
        </r>
        <r>
          <rPr>
            <sz val="12"/>
            <color indexed="81"/>
            <rFont val="Times New Roman"/>
            <family val="1"/>
          </rPr>
          <t xml:space="preserve">Faint; (DC 17) enchantment
</t>
        </r>
        <r>
          <rPr>
            <b/>
            <sz val="12"/>
            <color indexed="81"/>
            <rFont val="Times New Roman"/>
            <family val="1"/>
          </rPr>
          <t xml:space="preserve">Activation:  </t>
        </r>
        <r>
          <rPr>
            <sz val="12"/>
            <color indexed="81"/>
            <rFont val="Times New Roman"/>
            <family val="1"/>
          </rPr>
          <t xml:space="preserve">Swift (command)
</t>
        </r>
        <r>
          <rPr>
            <b/>
            <sz val="12"/>
            <color indexed="81"/>
            <rFont val="Times New Roman"/>
            <family val="1"/>
          </rPr>
          <t xml:space="preserve">Weight:  </t>
        </r>
        <r>
          <rPr>
            <sz val="12"/>
            <color indexed="81"/>
            <rFont val="Times New Roman"/>
            <family val="1"/>
          </rPr>
          <t xml:space="preserve">—
Adorning a glossy silver chain, a spiral of pearl teardrops circles a colorless crystal sphere.
An amulet of tears has 3 charges, which are renewed each day at dawn.  Spending 1 or more charges when you activate the amulet grants you temporary hit points, as described below.  These hit points last for up to 10 minutes; they don’t stack with any other temporary hit points.
</t>
        </r>
        <r>
          <rPr>
            <b/>
            <sz val="12"/>
            <color indexed="81"/>
            <rFont val="Times New Roman"/>
            <family val="1"/>
          </rPr>
          <t xml:space="preserve">1 charge:  </t>
        </r>
        <r>
          <rPr>
            <sz val="12"/>
            <color indexed="81"/>
            <rFont val="Times New Roman"/>
            <family val="1"/>
          </rPr>
          <t xml:space="preserve">12 temporary hit points.
</t>
        </r>
        <r>
          <rPr>
            <b/>
            <sz val="12"/>
            <color indexed="81"/>
            <rFont val="Times New Roman"/>
            <family val="1"/>
          </rPr>
          <t xml:space="preserve">2 charges:  </t>
        </r>
        <r>
          <rPr>
            <sz val="12"/>
            <color indexed="81"/>
            <rFont val="Times New Roman"/>
            <family val="1"/>
          </rPr>
          <t xml:space="preserve">18 temporary hit points.
</t>
        </r>
        <r>
          <rPr>
            <b/>
            <sz val="12"/>
            <color indexed="81"/>
            <rFont val="Times New Roman"/>
            <family val="1"/>
          </rPr>
          <t xml:space="preserve">3 charges:  </t>
        </r>
        <r>
          <rPr>
            <sz val="12"/>
            <color indexed="81"/>
            <rFont val="Times New Roman"/>
            <family val="1"/>
          </rPr>
          <t>24 temporary hit points.
MIC 70</t>
        </r>
      </text>
    </comment>
    <comment ref="A14" authorId="0" shapeId="0" xr:uid="{7D25AB22-D412-4C0D-98DF-7067FC47BE1B}">
      <text>
        <r>
          <rPr>
            <b/>
            <sz val="12"/>
            <color indexed="81"/>
            <rFont val="Times New Roman"/>
            <family val="1"/>
          </rPr>
          <t xml:space="preserve">Price (Item Level):  </t>
        </r>
        <r>
          <rPr>
            <sz val="12"/>
            <color indexed="81"/>
            <rFont val="Times New Roman"/>
            <family val="1"/>
          </rPr>
          <t xml:space="preserve">3,400 gp (8th)
</t>
        </r>
        <r>
          <rPr>
            <b/>
            <sz val="12"/>
            <color indexed="81"/>
            <rFont val="Times New Roman"/>
            <family val="1"/>
          </rPr>
          <t xml:space="preserve">Body Slot:  </t>
        </r>
        <r>
          <rPr>
            <sz val="12"/>
            <color indexed="81"/>
            <rFont val="Times New Roman"/>
            <family val="1"/>
          </rPr>
          <t xml:space="preserve">Head
</t>
        </r>
        <r>
          <rPr>
            <b/>
            <sz val="12"/>
            <color indexed="81"/>
            <rFont val="Times New Roman"/>
            <family val="1"/>
          </rPr>
          <t xml:space="preserve">Caster Level:  </t>
        </r>
        <r>
          <rPr>
            <sz val="12"/>
            <color indexed="81"/>
            <rFont val="Times New Roman"/>
            <family val="1"/>
          </rPr>
          <t xml:space="preserve">9th
</t>
        </r>
        <r>
          <rPr>
            <b/>
            <sz val="12"/>
            <color indexed="81"/>
            <rFont val="Times New Roman"/>
            <family val="1"/>
          </rPr>
          <t xml:space="preserve">Aura:  </t>
        </r>
        <r>
          <rPr>
            <sz val="12"/>
            <color indexed="81"/>
            <rFont val="Times New Roman"/>
            <family val="1"/>
          </rPr>
          <t xml:space="preserve">Moderate; (DC 19) divination
</t>
        </r>
        <r>
          <rPr>
            <b/>
            <sz val="12"/>
            <color indexed="81"/>
            <rFont val="Times New Roman"/>
            <family val="1"/>
          </rPr>
          <t xml:space="preserve">Activation:  </t>
        </r>
        <r>
          <rPr>
            <sz val="12"/>
            <color indexed="81"/>
            <rFont val="Times New Roman"/>
            <family val="1"/>
          </rPr>
          <t xml:space="preserve">— and standard (command)
</t>
        </r>
        <r>
          <rPr>
            <b/>
            <sz val="12"/>
            <color indexed="81"/>
            <rFont val="Times New Roman"/>
            <family val="1"/>
          </rPr>
          <t xml:space="preserve">Weight:  </t>
        </r>
        <r>
          <rPr>
            <sz val="12"/>
            <color indexed="81"/>
            <rFont val="Times New Roman"/>
            <family val="1"/>
          </rPr>
          <t xml:space="preserve">—
This tattered strip of cloth is strangely resilient, and when you hold it, elven runes appear along its length.
A scout’s headband grants you a +2 competence bonus on Spot checks.  This is a continuous effect and requires no activation.
In addition, this circlet has 3 charges, which are renewed each day at dawn.  Spending 1 or more charges enhances your visual acuity as described below.
</t>
        </r>
        <r>
          <rPr>
            <b/>
            <sz val="12"/>
            <color indexed="81"/>
            <rFont val="Times New Roman"/>
            <family val="1"/>
          </rPr>
          <t xml:space="preserve">1 charge: </t>
        </r>
        <r>
          <rPr>
            <sz val="12"/>
            <color indexed="81"/>
            <rFont val="Times New Roman"/>
            <family val="1"/>
          </rPr>
          <t xml:space="preserve">You gain Darkvision out to 60 feet for 1 hour.
</t>
        </r>
        <r>
          <rPr>
            <b/>
            <sz val="12"/>
            <color indexed="81"/>
            <rFont val="Times New Roman"/>
            <family val="1"/>
          </rPr>
          <t xml:space="preserve">2 charges: </t>
        </r>
        <r>
          <rPr>
            <sz val="12"/>
            <color indexed="81"/>
            <rFont val="Times New Roman"/>
            <family val="1"/>
          </rPr>
          <t xml:space="preserve">You can </t>
        </r>
        <r>
          <rPr>
            <i/>
            <sz val="12"/>
            <color indexed="81"/>
            <rFont val="Times New Roman"/>
            <family val="1"/>
          </rPr>
          <t xml:space="preserve">see invisible </t>
        </r>
        <r>
          <rPr>
            <sz val="12"/>
            <color indexed="81"/>
            <rFont val="Times New Roman"/>
            <family val="1"/>
          </rPr>
          <t xml:space="preserve">creatures and objects (as see invisibility) for 10 minutes.
</t>
        </r>
        <r>
          <rPr>
            <b/>
            <sz val="12"/>
            <color indexed="81"/>
            <rFont val="Times New Roman"/>
            <family val="1"/>
          </rPr>
          <t xml:space="preserve">3 charges: </t>
        </r>
        <r>
          <rPr>
            <sz val="12"/>
            <color indexed="81"/>
            <rFont val="Times New Roman"/>
            <family val="1"/>
          </rPr>
          <t xml:space="preserve">You gain </t>
        </r>
        <r>
          <rPr>
            <i/>
            <sz val="12"/>
            <color indexed="81"/>
            <rFont val="Times New Roman"/>
            <family val="1"/>
          </rPr>
          <t xml:space="preserve">true seeing </t>
        </r>
        <r>
          <rPr>
            <sz val="12"/>
            <color indexed="81"/>
            <rFont val="Times New Roman"/>
            <family val="1"/>
          </rPr>
          <t xml:space="preserve">(as the spell) for 1 minute.
</t>
        </r>
        <r>
          <rPr>
            <b/>
            <sz val="12"/>
            <color indexed="81"/>
            <rFont val="Times New Roman"/>
            <family val="1"/>
          </rPr>
          <t xml:space="preserve">Lore: </t>
        </r>
        <r>
          <rPr>
            <sz val="12"/>
            <color indexed="81"/>
            <rFont val="Times New Roman"/>
            <family val="1"/>
          </rPr>
          <t>The runes appearing on the headband are taken from the Saga of Filix, a great elf scout from long ago (Knowledge [history] DC 10).
Filix bargained with Corellon for unparalleled powers of vision, but the gift came with a curse: The scout could see the deaths of all his friends as well (Knowledge [history] DC 15).  Driven nearly mad by the ghostly perceptions haunting him, Filix eventually fl ed society entirely, living out the rest of his long days alone in the wilderness (Knowledge [history] DC 20).
MIC 132</t>
        </r>
      </text>
    </comment>
    <comment ref="A15" authorId="0" shapeId="0" xr:uid="{7BCB2097-92EA-48B6-A894-C10A8E68FF35}">
      <text>
        <r>
          <rPr>
            <b/>
            <sz val="12"/>
            <color indexed="81"/>
            <rFont val="Times New Roman"/>
            <family val="1"/>
          </rPr>
          <t xml:space="preserve">Price (Item Level): </t>
        </r>
        <r>
          <rPr>
            <sz val="12"/>
            <color indexed="81"/>
            <rFont val="Times New Roman"/>
            <family val="1"/>
          </rPr>
          <t xml:space="preserve">4,000 gp (8th)
</t>
        </r>
        <r>
          <rPr>
            <b/>
            <sz val="12"/>
            <color indexed="81"/>
            <rFont val="Times New Roman"/>
            <family val="1"/>
          </rPr>
          <t xml:space="preserve">Body Slot: </t>
        </r>
        <r>
          <rPr>
            <sz val="12"/>
            <color indexed="81"/>
            <rFont val="Times New Roman"/>
            <family val="1"/>
          </rPr>
          <t xml:space="preserve">Face
</t>
        </r>
        <r>
          <rPr>
            <b/>
            <sz val="12"/>
            <color indexed="81"/>
            <rFont val="Times New Roman"/>
            <family val="1"/>
          </rPr>
          <t xml:space="preserve">Caster Level: </t>
        </r>
        <r>
          <rPr>
            <sz val="12"/>
            <color indexed="81"/>
            <rFont val="Times New Roman"/>
            <family val="1"/>
          </rPr>
          <t xml:space="preserve">9th
</t>
        </r>
        <r>
          <rPr>
            <b/>
            <sz val="12"/>
            <color indexed="81"/>
            <rFont val="Times New Roman"/>
            <family val="1"/>
          </rPr>
          <t xml:space="preserve">Aura: </t>
        </r>
        <r>
          <rPr>
            <sz val="12"/>
            <color indexed="81"/>
            <rFont val="Times New Roman"/>
            <family val="1"/>
          </rPr>
          <t xml:space="preserve">Moderate; (DC 19) abjuration
</t>
        </r>
        <r>
          <rPr>
            <b/>
            <sz val="12"/>
            <color indexed="81"/>
            <rFont val="Times New Roman"/>
            <family val="1"/>
          </rPr>
          <t xml:space="preserve">Activation: </t>
        </r>
        <r>
          <rPr>
            <sz val="12"/>
            <color indexed="81"/>
            <rFont val="Times New Roman"/>
            <family val="1"/>
          </rPr>
          <t xml:space="preserve">—
</t>
        </r>
        <r>
          <rPr>
            <b/>
            <sz val="12"/>
            <color indexed="81"/>
            <rFont val="Times New Roman"/>
            <family val="1"/>
          </rPr>
          <t xml:space="preserve">Weight: </t>
        </r>
        <r>
          <rPr>
            <sz val="12"/>
            <color indexed="81"/>
            <rFont val="Times New Roman"/>
            <family val="1"/>
          </rPr>
          <t>—
Broad lines radiate from the eyes of this blue leather mask, each ending in a spiral.
You gain a +3 resistance bonus on saving throws against mind-affecting spells and abilities.
MIC 116</t>
        </r>
      </text>
    </comment>
    <comment ref="A16" authorId="0" shapeId="0" xr:uid="{00000000-0006-0000-0500-000005000000}">
      <text>
        <r>
          <rPr>
            <b/>
            <sz val="12"/>
            <color indexed="81"/>
            <rFont val="Times New Roman"/>
            <family val="1"/>
          </rPr>
          <t xml:space="preserve">Price (Item Level):  </t>
        </r>
        <r>
          <rPr>
            <sz val="12"/>
            <color indexed="81"/>
            <rFont val="Times New Roman"/>
            <family val="1"/>
          </rPr>
          <t xml:space="preserve">6,000 gp (10th)
</t>
        </r>
        <r>
          <rPr>
            <b/>
            <sz val="12"/>
            <color indexed="81"/>
            <rFont val="Times New Roman"/>
            <family val="1"/>
          </rPr>
          <t xml:space="preserve">Body Slot:  </t>
        </r>
        <r>
          <rPr>
            <sz val="12"/>
            <color indexed="81"/>
            <rFont val="Times New Roman"/>
            <family val="1"/>
          </rPr>
          <t xml:space="preserve">Throat
</t>
        </r>
        <r>
          <rPr>
            <b/>
            <sz val="12"/>
            <color indexed="81"/>
            <rFont val="Times New Roman"/>
            <family val="1"/>
          </rPr>
          <t xml:space="preserve">Caster Level:  </t>
        </r>
        <r>
          <rPr>
            <sz val="12"/>
            <color indexed="81"/>
            <rFont val="Times New Roman"/>
            <family val="1"/>
          </rPr>
          <t xml:space="preserve">5th
</t>
        </r>
        <r>
          <rPr>
            <b/>
            <sz val="12"/>
            <color indexed="81"/>
            <rFont val="Times New Roman"/>
            <family val="1"/>
          </rPr>
          <t xml:space="preserve">Aura:  </t>
        </r>
        <r>
          <rPr>
            <sz val="12"/>
            <color indexed="81"/>
            <rFont val="Times New Roman"/>
            <family val="1"/>
          </rPr>
          <t xml:space="preserve">Faint; (DC 17) divination
</t>
        </r>
        <r>
          <rPr>
            <b/>
            <sz val="12"/>
            <color indexed="81"/>
            <rFont val="Times New Roman"/>
            <family val="1"/>
          </rPr>
          <t xml:space="preserve">Activation:  </t>
        </r>
        <r>
          <rPr>
            <sz val="12"/>
            <color indexed="81"/>
            <rFont val="Times New Roman"/>
            <family val="1"/>
          </rPr>
          <t xml:space="preserve">Swift (command)
</t>
        </r>
        <r>
          <rPr>
            <b/>
            <sz val="12"/>
            <color indexed="81"/>
            <rFont val="Times New Roman"/>
            <family val="1"/>
          </rPr>
          <t xml:space="preserve">Weight:  </t>
        </r>
        <r>
          <rPr>
            <sz val="12"/>
            <color indexed="81"/>
            <rFont val="Times New Roman"/>
            <family val="1"/>
          </rPr>
          <t>—
This chain bears a large green crystal in its center.  Four smaller, removable charms of red crystal also hang from the pendant.
To use a farspeaking amulet, one character wears the central crystal, while up to four others carry the four removable, red crystals. Removable crystals don’t occupy a body slot, and can simply be carried.
Charms can be removed or replaced as a standard action.  The wearer can, with a standard (mental) action, return a single charm to the amulet from any distance, as long as it is on the same plane.
When you activate the amulet, you create a link between yourself and any or all of the characters carrying red charms, enabling all affected characters to converse as if standing together. This effect lasts for up to 10 minutes, and the amulet can be activated three times per day.  Only characters on the same plane as the amulet’s wearer can participate in the conversation.
If you also wear a magic item that grants you a competence bonus on Listen checks when you activate the amulet, you can choose to also listen to the environment of any or all of the characters in the conversation as if you were present.  The magic of the amulet allows you to differentiate between the various locations without undue confusion.
MIC 99</t>
        </r>
      </text>
    </comment>
    <comment ref="A21" authorId="0" shapeId="0" xr:uid="{A57EDB2D-FBB6-481D-8898-1C2F6640B204}">
      <text>
        <r>
          <rPr>
            <b/>
            <sz val="12"/>
            <color indexed="81"/>
            <rFont val="Times New Roman"/>
            <family val="1"/>
          </rPr>
          <t xml:space="preserve">Price (Item Level):  </t>
        </r>
        <r>
          <rPr>
            <sz val="12"/>
            <color indexed="81"/>
            <rFont val="Times New Roman"/>
            <family val="1"/>
          </rPr>
          <t xml:space="preserve">200 gp (2nd)
</t>
        </r>
        <r>
          <rPr>
            <b/>
            <sz val="12"/>
            <color indexed="81"/>
            <rFont val="Times New Roman"/>
            <family val="1"/>
          </rPr>
          <t xml:space="preserve">Body Slot:  </t>
        </r>
        <r>
          <rPr>
            <sz val="12"/>
            <color indexed="81"/>
            <rFont val="Times New Roman"/>
            <family val="1"/>
          </rPr>
          <t xml:space="preserve">— (held)
</t>
        </r>
        <r>
          <rPr>
            <b/>
            <sz val="12"/>
            <color indexed="81"/>
            <rFont val="Times New Roman"/>
            <family val="1"/>
          </rPr>
          <t xml:space="preserve">Caster Level:  </t>
        </r>
        <r>
          <rPr>
            <sz val="12"/>
            <color indexed="81"/>
            <rFont val="Times New Roman"/>
            <family val="1"/>
          </rPr>
          <t xml:space="preserve">3rd
</t>
        </r>
        <r>
          <rPr>
            <b/>
            <sz val="12"/>
            <color indexed="81"/>
            <rFont val="Times New Roman"/>
            <family val="1"/>
          </rPr>
          <t xml:space="preserve">Aura:  </t>
        </r>
        <r>
          <rPr>
            <sz val="12"/>
            <color indexed="81"/>
            <rFont val="Times New Roman"/>
            <family val="1"/>
          </rPr>
          <t xml:space="preserve">Faint; (DC 16) conjuration
</t>
        </r>
        <r>
          <rPr>
            <b/>
            <sz val="12"/>
            <color indexed="81"/>
            <rFont val="Times New Roman"/>
            <family val="1"/>
          </rPr>
          <t xml:space="preserve">Activation:  </t>
        </r>
        <r>
          <rPr>
            <sz val="12"/>
            <color indexed="81"/>
            <rFont val="Times New Roman"/>
            <family val="1"/>
          </rPr>
          <t xml:space="preserve">Standard (command)
</t>
        </r>
        <r>
          <rPr>
            <b/>
            <sz val="12"/>
            <color indexed="81"/>
            <rFont val="Times New Roman"/>
            <family val="1"/>
          </rPr>
          <t xml:space="preserve">Weight:  </t>
        </r>
        <r>
          <rPr>
            <sz val="12"/>
            <color indexed="81"/>
            <rFont val="Times New Roman"/>
            <family val="1"/>
          </rPr>
          <t xml:space="preserve">—
This common-looking brown clay mug has persistent stains just under the rim.
Three times per day, when you recite the command word, this mug fills with 12 ounces of water, cheap ale, or watery wine (your choice).
</t>
        </r>
        <r>
          <rPr>
            <b/>
            <sz val="12"/>
            <color indexed="81"/>
            <rFont val="Times New Roman"/>
            <family val="1"/>
          </rPr>
          <t xml:space="preserve">Prerequisites:  </t>
        </r>
        <r>
          <rPr>
            <sz val="12"/>
            <color indexed="81"/>
            <rFont val="Times New Roman"/>
            <family val="1"/>
          </rPr>
          <t xml:space="preserve">Craft Wondrous Item, create water.
</t>
        </r>
        <r>
          <rPr>
            <b/>
            <sz val="12"/>
            <color indexed="81"/>
            <rFont val="Times New Roman"/>
            <family val="1"/>
          </rPr>
          <t xml:space="preserve">Cost to Create:  </t>
        </r>
        <r>
          <rPr>
            <sz val="12"/>
            <color indexed="81"/>
            <rFont val="Times New Roman"/>
            <family val="1"/>
          </rPr>
          <t>100 gp, 8 XP, 1 day.
MIC 160</t>
        </r>
      </text>
    </comment>
    <comment ref="A24" authorId="0" shapeId="0" xr:uid="{282D6DDE-069A-48F9-B8AC-5CE5ED2A14C1}">
      <text>
        <r>
          <rPr>
            <sz val="12"/>
            <color indexed="81"/>
            <rFont val="Times New Roman"/>
            <family val="1"/>
          </rPr>
          <t>A backpack of this sort appears to be well made, well used, and quite ordinary.  It is constructed of finely tanned leather, and the straps have brass hardware and buckles.  It has two side pouches, each of which appears large enough to hold about a quart of material.  In fact, each is like a bag of holding and can actually hold material of as much as 2 cubic feet in volume or 20 pounds in weight. The large central portion of the pack can contain up to 8 cubic feet or 80 pounds of material.  Even when so filled, the backpack always weighs only 5 pounds.
While such storage is useful enough, the pack has an even greater power in addition. When the wearer reaches into it for a specific item, that item is always on top.  Thus, no digging around and fumbling is ever necessary to find what a haversack contains.  Retrieving any specific item from a haversack is a move action, but it does not provoke the attacks of opportunity that retrieving a stored item usually does.
DMG 259</t>
        </r>
      </text>
    </comment>
    <comment ref="G27" authorId="0" shapeId="0" xr:uid="{AD36FC63-67FE-4F45-ACE0-F1A39BE513D0}">
      <text>
        <r>
          <rPr>
            <sz val="12"/>
            <color indexed="81"/>
            <rFont val="Times New Roman"/>
            <family val="1"/>
          </rPr>
          <t>½ share; co-owned with Atlas</t>
        </r>
      </text>
    </comment>
    <comment ref="A33" authorId="0" shapeId="0" xr:uid="{CB06A9AD-9E5F-4024-BAEF-2D373735C689}">
      <text>
        <r>
          <rPr>
            <b/>
            <sz val="12"/>
            <color indexed="81"/>
            <rFont val="Times New Roman"/>
            <family val="1"/>
          </rPr>
          <t xml:space="preserve">Price (Item Level):  </t>
        </r>
        <r>
          <rPr>
            <sz val="12"/>
            <color indexed="81"/>
            <rFont val="Times New Roman"/>
            <family val="1"/>
          </rPr>
          <t xml:space="preserve">800 gp (3rd)
</t>
        </r>
        <r>
          <rPr>
            <b/>
            <sz val="12"/>
            <color indexed="81"/>
            <rFont val="Times New Roman"/>
            <family val="1"/>
          </rPr>
          <t xml:space="preserve">Body Slot:  </t>
        </r>
        <r>
          <rPr>
            <sz val="12"/>
            <color indexed="81"/>
            <rFont val="Times New Roman"/>
            <family val="1"/>
          </rPr>
          <t xml:space="preserve">—
</t>
        </r>
        <r>
          <rPr>
            <b/>
            <sz val="12"/>
            <color indexed="81"/>
            <rFont val="Times New Roman"/>
            <family val="1"/>
          </rPr>
          <t xml:space="preserve">Caster Level:  </t>
        </r>
        <r>
          <rPr>
            <sz val="12"/>
            <color indexed="81"/>
            <rFont val="Times New Roman"/>
            <family val="1"/>
          </rPr>
          <t xml:space="preserve">9th
</t>
        </r>
        <r>
          <rPr>
            <b/>
            <sz val="12"/>
            <color indexed="81"/>
            <rFont val="Times New Roman"/>
            <family val="1"/>
          </rPr>
          <t xml:space="preserve">Aura:  </t>
        </r>
        <r>
          <rPr>
            <sz val="12"/>
            <color indexed="81"/>
            <rFont val="Times New Roman"/>
            <family val="1"/>
          </rPr>
          <t xml:space="preserve">Moderate; (DC 19) conjuration
</t>
        </r>
        <r>
          <rPr>
            <b/>
            <sz val="12"/>
            <color indexed="81"/>
            <rFont val="Times New Roman"/>
            <family val="1"/>
          </rPr>
          <t xml:space="preserve">Activation:  </t>
        </r>
        <r>
          <rPr>
            <sz val="12"/>
            <color indexed="81"/>
            <rFont val="Times New Roman"/>
            <family val="1"/>
          </rPr>
          <t xml:space="preserve">Move
Five times per day, you can reach into this pouch and pull out a handful of caltrops (enough to cover a 5-foot square).  In addition to the activation cost, filling a 5-foot square with caltrops by hand requires a standard action.  The caltrops produced are not magical and follow all the rules for normal caltrops (PH 126).
</t>
        </r>
        <r>
          <rPr>
            <b/>
            <sz val="12"/>
            <color indexed="81"/>
            <rFont val="Times New Roman"/>
            <family val="1"/>
          </rPr>
          <t xml:space="preserve">Prerequisites: </t>
        </r>
        <r>
          <rPr>
            <sz val="12"/>
            <color indexed="81"/>
            <rFont val="Times New Roman"/>
            <family val="1"/>
          </rPr>
          <t xml:space="preserve"> Craft Wondrous Item,Leomund’s secret chest.
Cost to Create: 400 gp, 32 XP, 1 day.
MIC 151</t>
        </r>
      </text>
    </comment>
  </commentList>
</comments>
</file>

<file path=xl/sharedStrings.xml><?xml version="1.0" encoding="utf-8"?>
<sst xmlns="http://schemas.openxmlformats.org/spreadsheetml/2006/main" count="1054" uniqueCount="445">
  <si>
    <t>Properties</t>
  </si>
  <si>
    <t>Melee Weapon</t>
  </si>
  <si>
    <t>Dmg</t>
  </si>
  <si>
    <t>Qty.</t>
  </si>
  <si>
    <t>Ranged Weapon</t>
  </si>
  <si>
    <t>Dmg.</t>
  </si>
  <si>
    <t>Rng.</t>
  </si>
  <si>
    <t>Skills</t>
  </si>
  <si>
    <t>Concentration</t>
  </si>
  <si>
    <t>AC Mod.</t>
  </si>
  <si>
    <t>Handle Animal</t>
  </si>
  <si>
    <t>Move Silently</t>
  </si>
  <si>
    <t>Ride</t>
  </si>
  <si>
    <t>Search</t>
  </si>
  <si>
    <t>Swim</t>
  </si>
  <si>
    <t>Weapons and Armor</t>
  </si>
  <si>
    <t>Type</t>
  </si>
  <si>
    <t>Personality, History, and Notes</t>
  </si>
  <si>
    <t>D+</t>
  </si>
  <si>
    <t>TH+</t>
  </si>
  <si>
    <t>Wt.</t>
  </si>
  <si>
    <t>Mod.</t>
  </si>
  <si>
    <t>Rank</t>
  </si>
  <si>
    <t>Dex</t>
  </si>
  <si>
    <t>Ability</t>
  </si>
  <si>
    <t>Misc. Mods.</t>
  </si>
  <si>
    <t>Appraise</t>
  </si>
  <si>
    <t>Balance</t>
  </si>
  <si>
    <t>Bluff</t>
  </si>
  <si>
    <t>Climb</t>
  </si>
  <si>
    <t>Decipher Script</t>
  </si>
  <si>
    <t>Diplomacy</t>
  </si>
  <si>
    <t>Disable Device</t>
  </si>
  <si>
    <t>Disguise</t>
  </si>
  <si>
    <t>Escape Artist</t>
  </si>
  <si>
    <t>Forgery</t>
  </si>
  <si>
    <t>Gather Information</t>
  </si>
  <si>
    <t>Heal</t>
  </si>
  <si>
    <t>Hide</t>
  </si>
  <si>
    <t>Intimidate</t>
  </si>
  <si>
    <t>Jump</t>
  </si>
  <si>
    <t>Listen</t>
  </si>
  <si>
    <t>Open Lock</t>
  </si>
  <si>
    <t>Sense Motive</t>
  </si>
  <si>
    <t>Spellcraft</t>
  </si>
  <si>
    <t>Spot</t>
  </si>
  <si>
    <t>Tumble</t>
  </si>
  <si>
    <t>Use Magic Device</t>
  </si>
  <si>
    <t>Use Rope</t>
  </si>
  <si>
    <t>Ability &amp; Mod.</t>
  </si>
  <si>
    <t>0</t>
  </si>
  <si>
    <t>Total</t>
  </si>
  <si>
    <t>Fortitude</t>
  </si>
  <si>
    <t>Reflex</t>
  </si>
  <si>
    <t>Will</t>
  </si>
  <si>
    <t>Armor &amp; Shield</t>
  </si>
  <si>
    <t>Missiles</t>
  </si>
  <si>
    <t>Languages</t>
  </si>
  <si>
    <t>Equipment Worn</t>
  </si>
  <si>
    <t>Item</t>
  </si>
  <si>
    <t>Effects/</t>
  </si>
  <si>
    <t>Notes</t>
  </si>
  <si>
    <t>Equipment Carried</t>
  </si>
  <si>
    <t>Check</t>
  </si>
  <si>
    <t>Arcane</t>
  </si>
  <si>
    <t>Speed</t>
  </si>
  <si>
    <t>Sleight of Hand</t>
  </si>
  <si>
    <t>Survival</t>
  </si>
  <si>
    <t>Atk</t>
  </si>
  <si>
    <t>Feats</t>
  </si>
  <si>
    <t>Simple &amp; Martial Weapons</t>
  </si>
  <si>
    <t>2</t>
  </si>
  <si>
    <t>1</t>
  </si>
  <si>
    <t>Slashing</t>
  </si>
  <si>
    <t>Backpack</t>
  </si>
  <si>
    <t>Bedroll</t>
  </si>
  <si>
    <t>Trail Rations</t>
  </si>
  <si>
    <t>Roll</t>
  </si>
  <si>
    <t>Perform:  [type]</t>
  </si>
  <si>
    <t>Knowledge:  Arcana</t>
  </si>
  <si>
    <t>Explorer’s Outfit</t>
  </si>
  <si>
    <t>Waterskin</t>
  </si>
  <si>
    <t>Belt Pouch</t>
  </si>
  <si>
    <t>Flint and Steel</t>
  </si>
  <si>
    <t>eight</t>
  </si>
  <si>
    <t>1d6</t>
  </si>
  <si>
    <t>30’</t>
  </si>
  <si>
    <t>Value</t>
  </si>
  <si>
    <t>Class Features</t>
  </si>
  <si>
    <t>Level</t>
  </si>
  <si>
    <t>-</t>
  </si>
  <si>
    <t>Duskblade</t>
  </si>
  <si>
    <t>Female</t>
  </si>
  <si>
    <t>Knowledge:  Dungeoneering</t>
  </si>
  <si>
    <t>Knowledge:  History</t>
  </si>
  <si>
    <t>Knowledge:  Local</t>
  </si>
  <si>
    <t>Knowledge:  Nature</t>
  </si>
  <si>
    <t>Knowledge:  The Planes</t>
  </si>
  <si>
    <t>Speak Language</t>
  </si>
  <si>
    <t>Craft:  [type]</t>
  </si>
  <si>
    <t>Duskblade 1</t>
  </si>
  <si>
    <t>Duskblade 2</t>
  </si>
  <si>
    <t>Duskblade 3</t>
  </si>
  <si>
    <t>Duskblade 4</t>
  </si>
  <si>
    <t>Racial Abilities</t>
  </si>
  <si>
    <t>Immunity to Sleep magic</t>
  </si>
  <si>
    <t>+2 to Will saves vs. spells</t>
  </si>
  <si>
    <t>Light Blindness (-1 to checks)</t>
  </si>
  <si>
    <t>+0</t>
  </si>
  <si>
    <t>Arcane Attunement, 6/day</t>
  </si>
  <si>
    <t>Armored Mage (Medium)</t>
  </si>
  <si>
    <t>Proficiencies</t>
  </si>
  <si>
    <t>Shields (not tower)</t>
  </si>
  <si>
    <t>Armor (all)</t>
  </si>
  <si>
    <t>DC</t>
  </si>
  <si>
    <t>Cast?</t>
  </si>
  <si>
    <t>-2</t>
  </si>
  <si>
    <t>Instant</t>
  </si>
  <si>
    <t>100’ + 10’/lvl</t>
  </si>
  <si>
    <t>1 SA</t>
  </si>
  <si>
    <t>V S</t>
  </si>
  <si>
    <t>Evocation</t>
  </si>
  <si>
    <t>1 round</t>
  </si>
  <si>
    <t>Swift</t>
  </si>
  <si>
    <t>V S M</t>
  </si>
  <si>
    <t>1 rnd/lvl</t>
  </si>
  <si>
    <t>Touch</t>
  </si>
  <si>
    <t>Shocking Grasp</t>
  </si>
  <si>
    <t>25’ + 2½’/lvl</t>
  </si>
  <si>
    <t>Disrupt Undead</t>
  </si>
  <si>
    <t>Conjuration</t>
  </si>
  <si>
    <t>Duration</t>
  </si>
  <si>
    <t>Range</t>
  </si>
  <si>
    <t>Casting</t>
  </si>
  <si>
    <t>Components</t>
  </si>
  <si>
    <t>School</t>
  </si>
  <si>
    <t>Spell</t>
  </si>
  <si>
    <t>Spells</t>
  </si>
  <si>
    <t>PHB</t>
  </si>
  <si>
    <t>PHB II</t>
  </si>
  <si>
    <t>Reference</t>
  </si>
  <si>
    <t>Page</t>
  </si>
  <si>
    <t>Daze</t>
  </si>
  <si>
    <t>Enchantment</t>
  </si>
  <si>
    <t>Transmutation</t>
  </si>
  <si>
    <t>CROSS-CLASS SKILL</t>
  </si>
  <si>
    <t>Dimension Hop</t>
  </si>
  <si>
    <t>V</t>
  </si>
  <si>
    <t>Ranged Touch Attack</t>
  </si>
  <si>
    <t>varies</t>
  </si>
  <si>
    <t>Necromancy</t>
  </si>
  <si>
    <t>Amulet of Tears</t>
  </si>
  <si>
    <t>Grapple</t>
  </si>
  <si>
    <t>Armored Mage (Hvy. Shld.)</t>
  </si>
  <si>
    <t>Duskblade 5</t>
  </si>
  <si>
    <t>Duskblade 6</t>
  </si>
  <si>
    <t>Duskblade 7</t>
  </si>
  <si>
    <t>Duskblade 8</t>
  </si>
  <si>
    <t>Chaotic Neutral</t>
  </si>
  <si>
    <t>Total Equity:</t>
  </si>
  <si>
    <t>1st</t>
  </si>
  <si>
    <t>2nd</t>
  </si>
  <si>
    <t>3rd</t>
  </si>
  <si>
    <t>4th</t>
  </si>
  <si>
    <t>5th</t>
  </si>
  <si>
    <t>True Strike</t>
  </si>
  <si>
    <t>Swift Expeditious Retreat</t>
  </si>
  <si>
    <t>Acid Splash</t>
  </si>
  <si>
    <t>Touch of Fatigue</t>
  </si>
  <si>
    <t>Bull’s Strength</t>
  </si>
  <si>
    <t>1 min/lvl</t>
  </si>
  <si>
    <t>Personal</t>
  </si>
  <si>
    <t>Complete Adventurer</t>
  </si>
  <si>
    <t>Divination</t>
  </si>
  <si>
    <t>V F</t>
  </si>
  <si>
    <t>special</t>
  </si>
  <si>
    <t>V S M/DF</t>
  </si>
  <si>
    <t>10 min/lvl</t>
  </si>
  <si>
    <t>3rd:  Power Attack</t>
  </si>
  <si>
    <t>6th:  Improved Initiative</t>
  </si>
  <si>
    <t>2d4</t>
  </si>
  <si>
    <t>Healing Belt</t>
  </si>
  <si>
    <t>Treated as light armor</t>
  </si>
  <si>
    <t>Current XP Balance</t>
  </si>
  <si>
    <t>Previous XP Balance</t>
  </si>
  <si>
    <t>Extra XPs</t>
  </si>
  <si>
    <t xml:space="preserve"> Character award for this segment</t>
  </si>
  <si>
    <t>Maximum award for this segment</t>
  </si>
  <si>
    <t>Missed Posts</t>
  </si>
  <si>
    <t>Excellent</t>
  </si>
  <si>
    <t>%</t>
  </si>
  <si>
    <t>Vampiric Touch</t>
  </si>
  <si>
    <t>9th:  Maximize Spell</t>
  </si>
  <si>
    <t>2nd:  Combat Casting</t>
  </si>
  <si>
    <t>1st:  Knowledge Devotion</t>
  </si>
  <si>
    <t>Duskblade 9</t>
  </si>
  <si>
    <t>Know Direction</t>
  </si>
  <si>
    <t>Chill Touch</t>
  </si>
  <si>
    <t>Feather Fall</t>
  </si>
  <si>
    <t>Sleep</t>
  </si>
  <si>
    <t>Free</t>
  </si>
  <si>
    <t>Barkskin</t>
  </si>
  <si>
    <t>Resist Energy</t>
  </si>
  <si>
    <t>Touch of Idiocy</t>
  </si>
  <si>
    <t>Wracking Touch</t>
  </si>
  <si>
    <t>Inflict Serious Wounds</t>
  </si>
  <si>
    <t>instant</t>
  </si>
  <si>
    <t>Abjuration</t>
  </si>
  <si>
    <t>V S DF</t>
  </si>
  <si>
    <t>Personal Grooming Kit</t>
  </si>
  <si>
    <t>Casual Outfit</t>
  </si>
  <si>
    <t>Duskblade 10</t>
  </si>
  <si>
    <t>Wraithstrike</t>
  </si>
  <si>
    <t>Keen Edge</t>
  </si>
  <si>
    <t>Unarmed Punch/Kick</t>
  </si>
  <si>
    <t>1d4</t>
  </si>
  <si>
    <t>Bludgeon</t>
  </si>
  <si>
    <t>vs.</t>
  </si>
  <si>
    <t>undead</t>
  </si>
  <si>
    <t>Warcry</t>
  </si>
  <si>
    <t>400’ + 40’/lvl</t>
  </si>
  <si>
    <t>Spell Compendium</t>
  </si>
  <si>
    <t>Book of Exalted Deeds</t>
  </si>
  <si>
    <t>+5</t>
  </si>
  <si>
    <t>Unarmed, 2nd Attack</t>
  </si>
  <si>
    <t>Unarmed, 3rd Attack</t>
  </si>
  <si>
    <r>
      <t xml:space="preserve">Unarmed, </t>
    </r>
    <r>
      <rPr>
        <i/>
        <sz val="12"/>
        <rFont val="Times New Roman"/>
        <family val="1"/>
      </rPr>
      <t>haste</t>
    </r>
  </si>
  <si>
    <t>12th:  Spell Penetration</t>
  </si>
  <si>
    <t>Haste</t>
  </si>
  <si>
    <t>Ring of Feather Falling</t>
  </si>
  <si>
    <t>Duskblade 11</t>
  </si>
  <si>
    <t>Duskblade 12</t>
  </si>
  <si>
    <t>Critical Strike</t>
  </si>
  <si>
    <t>Soul of Anarchy*</t>
  </si>
  <si>
    <t>1 hour</t>
  </si>
  <si>
    <t>Dragon Magic</t>
  </si>
  <si>
    <t>Bladeweave*</t>
  </si>
  <si>
    <t>Illusion</t>
  </si>
  <si>
    <t>Fly, Swift</t>
  </si>
  <si>
    <t>Dragonskin</t>
  </si>
  <si>
    <t>S M</t>
  </si>
  <si>
    <t>Regroup</t>
  </si>
  <si>
    <t>Protection from Energy</t>
  </si>
  <si>
    <t>Channeled Pyroburst</t>
  </si>
  <si>
    <t>Dimension Door</t>
  </si>
  <si>
    <t>Dispel Magic</t>
  </si>
  <si>
    <t>Fire Shield</t>
  </si>
  <si>
    <t>Chain Lightning</t>
  </si>
  <si>
    <t>V S F</t>
  </si>
  <si>
    <t>Disintegrate</t>
  </si>
  <si>
    <t>Waves of Fatigue</t>
  </si>
  <si>
    <t>Special</t>
  </si>
  <si>
    <t>0th</t>
  </si>
  <si>
    <t>Total Daily Spells</t>
  </si>
  <si>
    <t>Caster Class</t>
  </si>
  <si>
    <t>CL</t>
  </si>
  <si>
    <t>Spell Effects</t>
  </si>
  <si>
    <t>Intelligence Bonus</t>
  </si>
  <si>
    <t>Daily Duskblade Spells</t>
  </si>
  <si>
    <t>Spell Penetration</t>
  </si>
  <si>
    <t>Scrolls and Potions</t>
  </si>
  <si>
    <t>CLev</t>
  </si>
  <si>
    <t>Duskblade Spells</t>
  </si>
  <si>
    <t>Prcg/Slash</t>
  </si>
  <si>
    <t>Skill/Save</t>
  </si>
  <si>
    <t>Kukri +2</t>
  </si>
  <si>
    <t>1d4+2</t>
  </si>
  <si>
    <t>Blacklight, 1/day [in-house]</t>
  </si>
  <si>
    <t>Detect Magic &amp; Read Magic</t>
  </si>
  <si>
    <t>Arcane Channeling (full attack)</t>
  </si>
  <si>
    <t>Duskblade 13</t>
  </si>
  <si>
    <t>Race</t>
  </si>
  <si>
    <t>Class</t>
  </si>
  <si>
    <t>Deity</t>
  </si>
  <si>
    <t>Alignment</t>
  </si>
  <si>
    <t>Attack Bonus</t>
  </si>
  <si>
    <t>Initiative</t>
  </si>
  <si>
    <t>XP</t>
  </si>
  <si>
    <t>Strength</t>
  </si>
  <si>
    <t>Dexterity</t>
  </si>
  <si>
    <t>Constitution</t>
  </si>
  <si>
    <t>Intelligence</t>
  </si>
  <si>
    <t>Wisdom</t>
  </si>
  <si>
    <t>Charisma</t>
  </si>
  <si>
    <t>Sex</t>
  </si>
  <si>
    <t>Age</t>
  </si>
  <si>
    <t>Height</t>
  </si>
  <si>
    <t>Weight</t>
  </si>
  <si>
    <t>Base Speed</t>
  </si>
  <si>
    <t>Actual Speed</t>
  </si>
  <si>
    <t>Lb. Capacity</t>
  </si>
  <si>
    <t>Lb. Carried</t>
  </si>
  <si>
    <t>Hit Points</t>
  </si>
  <si>
    <t>Touch AC</t>
  </si>
  <si>
    <t>FF AC</t>
  </si>
  <si>
    <t>Kukri, 2nd Attack</t>
  </si>
  <si>
    <t>Kukri, 3rd Attack</t>
  </si>
  <si>
    <t>AC</t>
  </si>
  <si>
    <t>Bypass Spell Resistance</t>
  </si>
  <si>
    <t>Bypass SR (Spell Power)</t>
  </si>
  <si>
    <t>ü</t>
  </si>
  <si>
    <t>Minor Cloak of Displacement</t>
  </si>
  <si>
    <t>Restful Crystal</t>
  </si>
  <si>
    <t>Bracers of Armor +5</t>
  </si>
  <si>
    <t>% Full:</t>
  </si>
  <si>
    <r>
      <t xml:space="preserve">Kukri, </t>
    </r>
    <r>
      <rPr>
        <i/>
        <sz val="12"/>
        <rFont val="Times New Roman"/>
        <family val="1"/>
      </rPr>
      <t>haste</t>
    </r>
  </si>
  <si>
    <t>+1</t>
  </si>
  <si>
    <t>+1 to touch spells</t>
  </si>
  <si>
    <t>Duskblade 14</t>
  </si>
  <si>
    <t>Duskblade 15</t>
  </si>
  <si>
    <t>Greater Crystal of Arcane Steel</t>
  </si>
  <si>
    <t>+1 to spell DC</t>
  </si>
  <si>
    <t>Greater Truedeath Crystal</t>
  </si>
  <si>
    <t>Light Steel Shield +3</t>
  </si>
  <si>
    <t>Farspeaking Amulet</t>
  </si>
  <si>
    <t>Not normally worn</t>
  </si>
  <si>
    <t>Night Clothes</t>
  </si>
  <si>
    <t>Traveler’s Outfit</t>
  </si>
  <si>
    <t>Large Canteen</t>
  </si>
  <si>
    <t>1 gallon</t>
  </si>
  <si>
    <t>Climber’s Kit</t>
  </si>
  <si>
    <r>
      <rPr>
        <b/>
        <i/>
        <sz val="18"/>
        <color rgb="FF9966FF"/>
        <rFont val="Times New Roman"/>
        <family val="1"/>
      </rPr>
      <t xml:space="preserve">Minimum </t>
    </r>
    <r>
      <rPr>
        <i/>
        <sz val="18"/>
        <color rgb="FF9966FF"/>
        <rFont val="Times New Roman"/>
        <family val="1"/>
      </rPr>
      <t>Known Spells</t>
    </r>
  </si>
  <si>
    <t>Thoroughness and clarity</t>
  </si>
  <si>
    <t>Level-appropriate use of skills, feats, limitations, and other features</t>
  </si>
  <si>
    <t>Convincing role-playing and character development</t>
  </si>
  <si>
    <t>Consistency with other characters’ actions and setting description</t>
  </si>
  <si>
    <t>Duskblade 16</t>
  </si>
  <si>
    <t>Profession:  City Watch</t>
  </si>
  <si>
    <t>?</t>
  </si>
  <si>
    <t>Duskblade 17</t>
  </si>
  <si>
    <t>Bigby’s Clenched Fist</t>
  </si>
  <si>
    <t>Hold Monster</t>
  </si>
  <si>
    <t>Polar Ray</t>
  </si>
  <si>
    <t>Slashing Dispel</t>
  </si>
  <si>
    <t>Sonic Shield</t>
  </si>
  <si>
    <t>V S F/DF</t>
  </si>
  <si>
    <t>Played by JR Roberts</t>
  </si>
  <si>
    <t>Vest of Resistance +3</t>
  </si>
  <si>
    <r>
      <t xml:space="preserve">Oil of </t>
    </r>
    <r>
      <rPr>
        <i/>
        <sz val="12"/>
        <rFont val="Times New Roman"/>
        <family val="1"/>
      </rPr>
      <t>Greater Magic Weapon</t>
    </r>
  </si>
  <si>
    <t>5</t>
  </si>
  <si>
    <t>8</t>
  </si>
  <si>
    <r>
      <t xml:space="preserve">Potion of </t>
    </r>
    <r>
      <rPr>
        <i/>
        <sz val="12"/>
        <rFont val="Times New Roman"/>
        <family val="1"/>
      </rPr>
      <t>Cure Moderate Wounds</t>
    </r>
  </si>
  <si>
    <r>
      <t xml:space="preserve">Scroll of </t>
    </r>
    <r>
      <rPr>
        <i/>
        <sz val="12"/>
        <rFont val="Times New Roman"/>
        <family val="1"/>
      </rPr>
      <t>True Seeing</t>
    </r>
  </si>
  <si>
    <r>
      <t xml:space="preserve">Wand of </t>
    </r>
    <r>
      <rPr>
        <i/>
        <sz val="12"/>
        <rFont val="Times New Roman"/>
        <family val="1"/>
      </rPr>
      <t>Raise Dead</t>
    </r>
  </si>
  <si>
    <t>Everfull Mug</t>
  </si>
  <si>
    <t>Attention to spelling &amp; punctuation; consistent use of past tense, third person</t>
  </si>
  <si>
    <t>Hastened Carpet of Flying, 10’ x 10’</t>
  </si>
  <si>
    <t>60’ fly (perfect); Reflex DC 14 to avoid FF while standing</t>
  </si>
  <si>
    <t>x</t>
  </si>
  <si>
    <t>18</t>
  </si>
  <si>
    <t>19</t>
  </si>
  <si>
    <t>20</t>
  </si>
  <si>
    <t>MW Dagger</t>
  </si>
  <si>
    <t>MW Dagger, 2nd Attack</t>
  </si>
  <si>
    <t>MW Dagger, 3rd Attack</t>
  </si>
  <si>
    <r>
      <t xml:space="preserve">MW Dagger, </t>
    </r>
    <r>
      <rPr>
        <i/>
        <sz val="12"/>
        <rFont val="Times New Roman"/>
        <family val="1"/>
      </rPr>
      <t>haste</t>
    </r>
  </si>
  <si>
    <t>Crit</t>
  </si>
  <si>
    <t>+2 to Climb</t>
  </si>
  <si>
    <t>Silk Rope</t>
  </si>
  <si>
    <t>100’</t>
  </si>
  <si>
    <t>Bag of Endless Caltrops</t>
  </si>
  <si>
    <t>Thieves’ Tools, Masterwork</t>
  </si>
  <si>
    <t>+2 to Disable Device &amp; Open Locks</t>
  </si>
  <si>
    <t>Oil Flask</t>
  </si>
  <si>
    <t>Skull Shard</t>
  </si>
  <si>
    <t>Aasterinian</t>
  </si>
  <si>
    <t>140 lbs.</t>
  </si>
  <si>
    <t>Elven, Undercommon</t>
  </si>
  <si>
    <t>Common, Draconic</t>
  </si>
  <si>
    <t>Claw 1</t>
  </si>
  <si>
    <t>Claw 2</t>
  </si>
  <si>
    <t>Racial Class</t>
  </si>
  <si>
    <t>Level Adj.</t>
  </si>
  <si>
    <r>
      <t>266</t>
    </r>
    <r>
      <rPr>
        <sz val="13"/>
        <rFont val="Times New Roman"/>
        <family val="1"/>
      </rPr>
      <t>/</t>
    </r>
    <r>
      <rPr>
        <sz val="13"/>
        <color indexed="51"/>
        <rFont val="Times New Roman"/>
        <family val="1"/>
      </rPr>
      <t>533</t>
    </r>
    <r>
      <rPr>
        <sz val="13"/>
        <rFont val="Times New Roman"/>
        <family val="1"/>
      </rPr>
      <t>/</t>
    </r>
    <r>
      <rPr>
        <sz val="13"/>
        <color indexed="10"/>
        <rFont val="Times New Roman"/>
        <family val="1"/>
      </rPr>
      <t>800</t>
    </r>
  </si>
  <si>
    <t>5’ 6”</t>
  </si>
  <si>
    <t>Draconic Drow</t>
  </si>
  <si>
    <t>Draconic Creature</t>
  </si>
  <si>
    <t>Natural Armor</t>
  </si>
  <si>
    <t>Humanoid Dragonblood</t>
  </si>
  <si>
    <t>Type &amp; Subtype</t>
  </si>
  <si>
    <r>
      <t xml:space="preserve">Claw 1, </t>
    </r>
    <r>
      <rPr>
        <i/>
        <sz val="12"/>
        <rFont val="Times New Roman"/>
        <family val="1"/>
      </rPr>
      <t>haste</t>
    </r>
  </si>
  <si>
    <t>1d3</t>
  </si>
  <si>
    <t>Low-Light Vision</t>
  </si>
  <si>
    <t>Darkvision 60’</t>
  </si>
  <si>
    <t>+2 vs. Enchantments; +4 vs. magic sleep and paralysis</t>
  </si>
  <si>
    <r>
      <rPr>
        <sz val="13"/>
        <color theme="2" tint="-0.499984740745262"/>
        <rFont val="Times New Roman"/>
        <family val="1"/>
      </rPr>
      <t>+2 vs. Enchantments; +4 vs. magic sleep and paralysis</t>
    </r>
    <r>
      <rPr>
        <sz val="13"/>
        <rFont val="Times New Roman"/>
        <family val="1"/>
      </rPr>
      <t xml:space="preserve">; +1 </t>
    </r>
    <r>
      <rPr>
        <i/>
        <sz val="13"/>
        <rFont val="Times New Roman"/>
        <family val="1"/>
      </rPr>
      <t>haste</t>
    </r>
  </si>
  <si>
    <r>
      <rPr>
        <sz val="13"/>
        <color theme="2" tint="-0.499984740745262"/>
        <rFont val="Times New Roman"/>
        <family val="1"/>
      </rPr>
      <t>+2 vs. Enchantments; +4 vs. magic sleep and paralysis</t>
    </r>
    <r>
      <rPr>
        <sz val="13"/>
        <rFont val="Times New Roman"/>
        <family val="1"/>
      </rPr>
      <t>; +2 vs. all spells</t>
    </r>
  </si>
  <si>
    <t>12 charges</t>
  </si>
  <si>
    <t xml:space="preserve">ECL: </t>
  </si>
  <si>
    <t>Warblade</t>
  </si>
  <si>
    <t>Current Limit:</t>
  </si>
  <si>
    <t>Equity on this page:</t>
  </si>
  <si>
    <t>Camping Kit (Shared among All Four)</t>
  </si>
  <si>
    <t>Assorted Jewelry &amp; Trinkets</t>
  </si>
  <si>
    <t>*</t>
  </si>
  <si>
    <t>Angren’halya</t>
  </si>
  <si>
    <t>“Steelshade”</t>
  </si>
  <si>
    <t>five</t>
  </si>
  <si>
    <t>Region</t>
  </si>
  <si>
    <t>Westlands</t>
  </si>
  <si>
    <t>Gold Coins</t>
  </si>
  <si>
    <t>+5 Soul of Anarchy</t>
  </si>
  <si>
    <t>1d8+11+stun</t>
  </si>
  <si>
    <t>Quality</t>
  </si>
  <si>
    <t>Facet of Game Participation</t>
  </si>
  <si>
    <t>Gold</t>
  </si>
  <si>
    <t>Acid Burst Bastard Sword +2</t>
  </si>
  <si>
    <t>mithral glamered suit of full plate +2</t>
  </si>
  <si>
    <t xml:space="preserve"> </t>
  </si>
  <si>
    <t>~11k each</t>
  </si>
  <si>
    <r>
      <t xml:space="preserve">Scroll of </t>
    </r>
    <r>
      <rPr>
        <i/>
        <sz val="12"/>
        <rFont val="Times New Roman"/>
        <family val="1"/>
      </rPr>
      <t>Teleportation</t>
    </r>
  </si>
  <si>
    <t>MW Dagger, 4th Attack</t>
  </si>
  <si>
    <t>Kukri, 4th Attack</t>
  </si>
  <si>
    <t>Unarmed, 4th Attack</t>
  </si>
  <si>
    <t>Spell Power +5</t>
  </si>
  <si>
    <t>Duskblade 18</t>
  </si>
  <si>
    <t>15th:  Arcane Strike</t>
  </si>
  <si>
    <t>18th:  Close-Quarters Fighting</t>
  </si>
  <si>
    <t>Mindarmor Soulfire Mithral +5 Chainmail</t>
  </si>
  <si>
    <t>Gloves of Dexterity +4</t>
  </si>
  <si>
    <t>Scout’s Headband</t>
  </si>
  <si>
    <t>Mask of Mental Armor</t>
  </si>
  <si>
    <t>Ranged</t>
  </si>
  <si>
    <t>Ranged 2nd Attack</t>
  </si>
  <si>
    <t>Ranged, 3rd Attack</t>
  </si>
  <si>
    <t>Ranged, 4th Attack</t>
  </si>
  <si>
    <t>Ranged, haste</t>
  </si>
  <si>
    <t>NOT WORN</t>
  </si>
  <si>
    <t>Greatsword +3</t>
  </si>
  <si>
    <t>Black dragon design</t>
  </si>
  <si>
    <t>Arkenlyl, or Mageblade</t>
  </si>
  <si>
    <t>Shattermantle Bloodstone Falchion +5</t>
  </si>
  <si>
    <t>SB Falchion +5, 2nd Attack</t>
  </si>
  <si>
    <t>SB Falchion +5, 3rd Attack</t>
  </si>
  <si>
    <t>SB Falchion +5, 4th Attack</t>
  </si>
  <si>
    <r>
      <t xml:space="preserve">SB Falchion +5, </t>
    </r>
    <r>
      <rPr>
        <i/>
        <sz val="12"/>
        <rFont val="Times New Roman"/>
        <family val="1"/>
      </rPr>
      <t>haste</t>
    </r>
  </si>
  <si>
    <t>Ring of Wizardry III</t>
  </si>
  <si>
    <t>Ring of Universal Energy Resistance</t>
  </si>
  <si>
    <t>Worn</t>
  </si>
  <si>
    <t>Ring of Wizardry</t>
  </si>
  <si>
    <t>Quick Cast 4/day</t>
  </si>
  <si>
    <t>Winged Boots of Greater Agility</t>
  </si>
  <si>
    <t>Heward’s Handy Haversack</t>
  </si>
  <si>
    <t>2-yd Bolt of Linen Cloth</t>
  </si>
  <si>
    <t>For Rags or Towels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</si>
</sst>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0\ [$₲-474]"/>
  </numFmts>
  <fonts count="71" x14ac:knownFonts="1">
    <font>
      <sz val="12"/>
      <name val="Times New Roman"/>
    </font>
    <font>
      <sz val="12"/>
      <name val="Times New Roman"/>
      <family val="1"/>
    </font>
    <font>
      <i/>
      <sz val="18"/>
      <name val="Times New Roman"/>
      <family val="1"/>
    </font>
    <font>
      <b/>
      <sz val="12"/>
      <name val="Times New Roman"/>
      <family val="1"/>
    </font>
    <font>
      <sz val="12"/>
      <name val="Times New Roman"/>
      <family val="1"/>
    </font>
    <font>
      <b/>
      <sz val="13"/>
      <name val="Times New Roman"/>
      <family val="1"/>
    </font>
    <font>
      <sz val="13"/>
      <name val="Times New Roman"/>
      <family val="1"/>
    </font>
    <font>
      <b/>
      <sz val="13"/>
      <color indexed="10"/>
      <name val="Times New Roman"/>
      <family val="1"/>
    </font>
    <font>
      <sz val="13"/>
      <name val="Times New Roman"/>
      <family val="1"/>
    </font>
    <font>
      <b/>
      <sz val="13"/>
      <color indexed="12"/>
      <name val="Times New Roman"/>
      <family val="1"/>
    </font>
    <font>
      <b/>
      <sz val="13"/>
      <color indexed="17"/>
      <name val="Times New Roman"/>
      <family val="1"/>
    </font>
    <font>
      <b/>
      <sz val="13"/>
      <color indexed="9"/>
      <name val="Times New Roman"/>
      <family val="1"/>
    </font>
    <font>
      <b/>
      <sz val="13"/>
      <color indexed="46"/>
      <name val="Times New Roman"/>
      <family val="1"/>
    </font>
    <font>
      <b/>
      <sz val="13"/>
      <color indexed="52"/>
      <name val="Times New Roman"/>
      <family val="1"/>
    </font>
    <font>
      <sz val="18"/>
      <name val="Times New Roman"/>
      <family val="1"/>
    </font>
    <font>
      <b/>
      <sz val="18"/>
      <name val="Times New Roman"/>
      <family val="1"/>
    </font>
    <font>
      <sz val="13"/>
      <color indexed="17"/>
      <name val="Times New Roman"/>
      <family val="1"/>
    </font>
    <font>
      <sz val="13"/>
      <color indexed="10"/>
      <name val="Times New Roman"/>
      <family val="1"/>
    </font>
    <font>
      <sz val="12"/>
      <color indexed="17"/>
      <name val="Times New Roman"/>
      <family val="1"/>
    </font>
    <font>
      <i/>
      <sz val="22"/>
      <color indexed="17"/>
      <name val="Times New Roman"/>
      <family val="1"/>
    </font>
    <font>
      <b/>
      <sz val="12"/>
      <color indexed="9"/>
      <name val="Times New Roman"/>
      <family val="1"/>
    </font>
    <font>
      <b/>
      <sz val="13"/>
      <color indexed="51"/>
      <name val="Times New Roman"/>
      <family val="1"/>
    </font>
    <font>
      <sz val="13"/>
      <color indexed="52"/>
      <name val="Times New Roman"/>
      <family val="1"/>
    </font>
    <font>
      <sz val="13"/>
      <color indexed="46"/>
      <name val="Times New Roman"/>
      <family val="1"/>
    </font>
    <font>
      <i/>
      <sz val="18"/>
      <color indexed="17"/>
      <name val="Times New Roman"/>
      <family val="1"/>
    </font>
    <font>
      <sz val="13"/>
      <color indexed="23"/>
      <name val="Times New Roman"/>
      <family val="1"/>
    </font>
    <font>
      <sz val="13"/>
      <color indexed="12"/>
      <name val="Times New Roman"/>
      <family val="1"/>
    </font>
    <font>
      <sz val="13"/>
      <color indexed="51"/>
      <name val="Times New Roman"/>
      <family val="1"/>
    </font>
    <font>
      <sz val="12"/>
      <color indexed="46"/>
      <name val="Times New Roman"/>
      <family val="1"/>
    </font>
    <font>
      <sz val="12"/>
      <color indexed="52"/>
      <name val="Times New Roman"/>
      <family val="1"/>
    </font>
    <font>
      <sz val="12"/>
      <color indexed="10"/>
      <name val="Times New Roman"/>
      <family val="1"/>
    </font>
    <font>
      <sz val="12"/>
      <color indexed="51"/>
      <name val="Times New Roman"/>
      <family val="1"/>
    </font>
    <font>
      <u/>
      <sz val="12"/>
      <color indexed="12"/>
      <name val="Times New Roman"/>
      <family val="1"/>
    </font>
    <font>
      <sz val="12"/>
      <color indexed="81"/>
      <name val="Times New Roman"/>
      <family val="1"/>
    </font>
    <font>
      <sz val="10"/>
      <name val="Arial"/>
      <family val="2"/>
    </font>
    <font>
      <sz val="12"/>
      <name val="Times New Roman"/>
      <family val="1"/>
      <charset val="1"/>
    </font>
    <font>
      <b/>
      <sz val="13"/>
      <color rgb="FF00CC00"/>
      <name val="Times New Roman"/>
      <family val="1"/>
    </font>
    <font>
      <b/>
      <sz val="12"/>
      <color indexed="81"/>
      <name val="Times New Roman"/>
      <family val="1"/>
    </font>
    <font>
      <b/>
      <sz val="13"/>
      <color rgb="FFFF0000"/>
      <name val="Times New Roman"/>
      <family val="1"/>
    </font>
    <font>
      <b/>
      <sz val="13"/>
      <color rgb="FF0000FF"/>
      <name val="Times New Roman"/>
      <family val="1"/>
    </font>
    <font>
      <sz val="13"/>
      <color rgb="FFFFC000"/>
      <name val="Times New Roman"/>
      <family val="1"/>
    </font>
    <font>
      <b/>
      <sz val="13"/>
      <color rgb="FF7030A0"/>
      <name val="Times New Roman"/>
      <family val="1"/>
    </font>
    <font>
      <b/>
      <sz val="13"/>
      <color rgb="FFFFC000"/>
      <name val="Times New Roman"/>
      <family val="1"/>
    </font>
    <font>
      <b/>
      <sz val="12"/>
      <color rgb="FFFFC000"/>
      <name val="Times New Roman"/>
      <family val="1"/>
    </font>
    <font>
      <sz val="12"/>
      <color rgb="FFFFC000"/>
      <name val="Times New Roman"/>
      <family val="1"/>
    </font>
    <font>
      <i/>
      <sz val="12"/>
      <color indexed="81"/>
      <name val="Times New Roman"/>
      <family val="1"/>
    </font>
    <font>
      <i/>
      <sz val="18"/>
      <color rgb="FF0000FF"/>
      <name val="Times New Roman"/>
      <family val="1"/>
    </font>
    <font>
      <b/>
      <sz val="12"/>
      <color theme="1"/>
      <name val="Times New Roman"/>
      <family val="1"/>
    </font>
    <font>
      <i/>
      <sz val="16"/>
      <color indexed="53"/>
      <name val="Times New Roman"/>
      <family val="1"/>
    </font>
    <font>
      <i/>
      <sz val="16"/>
      <color indexed="17"/>
      <name val="Times New Roman"/>
      <family val="1"/>
    </font>
    <font>
      <i/>
      <sz val="16"/>
      <color indexed="10"/>
      <name val="Times New Roman"/>
      <family val="1"/>
    </font>
    <font>
      <i/>
      <sz val="16"/>
      <color indexed="57"/>
      <name val="Times New Roman"/>
      <family val="1"/>
    </font>
    <font>
      <i/>
      <sz val="11"/>
      <color rgb="FF0000FF"/>
      <name val="Times New Roman"/>
      <family val="1"/>
    </font>
    <font>
      <b/>
      <sz val="12"/>
      <color rgb="FFFF0000"/>
      <name val="Times New Roman"/>
      <family val="1"/>
    </font>
    <font>
      <i/>
      <sz val="12"/>
      <name val="Times New Roman"/>
      <family val="1"/>
    </font>
    <font>
      <b/>
      <sz val="12"/>
      <color theme="0"/>
      <name val="Times New Roman"/>
      <family val="1"/>
    </font>
    <font>
      <i/>
      <sz val="18"/>
      <color rgb="FF7030A0"/>
      <name val="Times New Roman"/>
      <family val="1"/>
    </font>
    <font>
      <sz val="13"/>
      <color rgb="FF7030A0"/>
      <name val="Times New Roman"/>
      <family val="1"/>
    </font>
    <font>
      <i/>
      <sz val="22"/>
      <color rgb="FF9966FF"/>
      <name val="Times New Roman"/>
      <family val="1"/>
    </font>
    <font>
      <i/>
      <sz val="12"/>
      <color rgb="FF00FFFF"/>
      <name val="Times New Roman"/>
      <family val="1"/>
    </font>
    <font>
      <i/>
      <sz val="13"/>
      <name val="Times New Roman"/>
      <family val="1"/>
    </font>
    <font>
      <sz val="12"/>
      <name val="Wingdings"/>
      <charset val="2"/>
    </font>
    <font>
      <i/>
      <sz val="18"/>
      <color rgb="FF9966FF"/>
      <name val="Times New Roman"/>
      <family val="1"/>
    </font>
    <font>
      <b/>
      <i/>
      <sz val="18"/>
      <color rgb="FF9966FF"/>
      <name val="Times New Roman"/>
      <family val="1"/>
    </font>
    <font>
      <b/>
      <sz val="12"/>
      <color rgb="FF9966FF"/>
      <name val="Times New Roman"/>
      <family val="1"/>
    </font>
    <font>
      <sz val="12"/>
      <color rgb="FF9966FF"/>
      <name val="Times New Roman"/>
      <family val="1"/>
    </font>
    <font>
      <sz val="11"/>
      <name val="Times New Roman"/>
      <family val="1"/>
    </font>
    <font>
      <sz val="13"/>
      <color theme="2" tint="-0.499984740745262"/>
      <name val="Times New Roman"/>
      <family val="1"/>
    </font>
    <font>
      <i/>
      <sz val="11"/>
      <name val="Times New Roman"/>
      <family val="1"/>
    </font>
    <font>
      <b/>
      <sz val="13"/>
      <color rgb="FF00B0F0"/>
      <name val="Times New Roman"/>
      <family val="1"/>
    </font>
    <font>
      <i/>
      <sz val="17"/>
      <name val="Times New Roman"/>
      <family val="1"/>
    </font>
  </fonts>
  <fills count="17">
    <fill>
      <patternFill patternType="none"/>
    </fill>
    <fill>
      <patternFill patternType="gray125"/>
    </fill>
    <fill>
      <patternFill patternType="solid">
        <fgColor indexed="8"/>
        <bgColor indexed="64"/>
      </patternFill>
    </fill>
    <fill>
      <patternFill patternType="solid">
        <fgColor indexed="17"/>
        <bgColor indexed="64"/>
      </patternFill>
    </fill>
    <fill>
      <patternFill patternType="solid">
        <fgColor indexed="22"/>
        <bgColor indexed="64"/>
      </patternFill>
    </fill>
    <fill>
      <patternFill patternType="solid">
        <fgColor indexed="11"/>
        <bgColor indexed="64"/>
      </patternFill>
    </fill>
    <fill>
      <patternFill patternType="solid">
        <fgColor rgb="FFCCFFCC"/>
        <bgColor indexed="64"/>
      </patternFill>
    </fill>
    <fill>
      <patternFill patternType="solid">
        <fgColor rgb="FFFF0000"/>
        <bgColor indexed="64"/>
      </patternFill>
    </fill>
    <fill>
      <patternFill patternType="solid">
        <fgColor theme="0" tint="-0.249977111117893"/>
        <bgColor indexed="64"/>
      </patternFill>
    </fill>
    <fill>
      <patternFill patternType="solid">
        <fgColor rgb="FF7030A0"/>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rgb="FF9966FF"/>
        <bgColor indexed="64"/>
      </patternFill>
    </fill>
    <fill>
      <patternFill patternType="solid">
        <fgColor theme="0"/>
        <bgColor indexed="64"/>
      </patternFill>
    </fill>
    <fill>
      <patternFill patternType="solid">
        <fgColor rgb="FF9900FF"/>
        <bgColor indexed="64"/>
      </patternFill>
    </fill>
    <fill>
      <patternFill patternType="solid">
        <fgColor rgb="FFFFFF00"/>
        <bgColor indexed="64"/>
      </patternFill>
    </fill>
    <fill>
      <patternFill patternType="solid">
        <fgColor theme="0" tint="-0.14999847407452621"/>
        <bgColor indexed="64"/>
      </patternFill>
    </fill>
  </fills>
  <borders count="146">
    <border>
      <left/>
      <right/>
      <top/>
      <bottom/>
      <diagonal/>
    </border>
    <border>
      <left style="double">
        <color indexed="64"/>
      </left>
      <right/>
      <top/>
      <bottom/>
      <diagonal/>
    </border>
    <border>
      <left/>
      <right style="double">
        <color indexed="64"/>
      </right>
      <top/>
      <bottom/>
      <diagonal/>
    </border>
    <border>
      <left style="thin">
        <color indexed="64"/>
      </left>
      <right/>
      <top style="thin">
        <color indexed="64"/>
      </top>
      <bottom style="thin">
        <color indexed="64"/>
      </bottom>
      <diagonal/>
    </border>
    <border>
      <left style="double">
        <color indexed="64"/>
      </left>
      <right style="thin">
        <color indexed="64"/>
      </right>
      <top style="thin">
        <color indexed="9"/>
      </top>
      <bottom style="thin">
        <color indexed="9"/>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diagonal/>
    </border>
    <border>
      <left style="thin">
        <color indexed="64"/>
      </left>
      <right/>
      <top/>
      <bottom style="thin">
        <color indexed="64"/>
      </bottom>
      <diagonal/>
    </border>
    <border>
      <left style="double">
        <color indexed="64"/>
      </left>
      <right style="thin">
        <color indexed="64"/>
      </right>
      <top/>
      <bottom style="double">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double">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bottom style="medium">
        <color indexed="64"/>
      </bottom>
      <diagonal/>
    </border>
    <border>
      <left style="thin">
        <color indexed="64"/>
      </left>
      <right/>
      <top style="thin">
        <color indexed="64"/>
      </top>
      <bottom style="double">
        <color indexed="64"/>
      </bottom>
      <diagonal/>
    </border>
    <border>
      <left style="thin">
        <color indexed="64"/>
      </left>
      <right style="thin">
        <color indexed="64"/>
      </right>
      <top/>
      <bottom/>
      <diagonal/>
    </border>
    <border>
      <left style="thin">
        <color indexed="64"/>
      </left>
      <right/>
      <top/>
      <bottom/>
      <diagonal/>
    </border>
    <border>
      <left style="thin">
        <color indexed="64"/>
      </left>
      <right style="double">
        <color indexed="64"/>
      </right>
      <top/>
      <bottom/>
      <diagonal/>
    </border>
    <border>
      <left/>
      <right style="double">
        <color indexed="64"/>
      </right>
      <top style="thin">
        <color indexed="64"/>
      </top>
      <bottom style="thin">
        <color indexed="64"/>
      </bottom>
      <diagonal/>
    </border>
    <border>
      <left style="thin">
        <color indexed="64"/>
      </left>
      <right style="double">
        <color indexed="64"/>
      </right>
      <top/>
      <bottom style="dotted">
        <color indexed="64"/>
      </bottom>
      <diagonal/>
    </border>
    <border>
      <left style="double">
        <color indexed="64"/>
      </left>
      <right style="double">
        <color indexed="64"/>
      </right>
      <top style="double">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double">
        <color indexed="64"/>
      </left>
      <right style="double">
        <color indexed="64"/>
      </right>
      <top style="hair">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double">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hair">
        <color indexed="64"/>
      </left>
      <right style="double">
        <color indexed="64"/>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double">
        <color indexed="64"/>
      </left>
      <right style="double">
        <color indexed="64"/>
      </right>
      <top style="hair">
        <color indexed="64"/>
      </top>
      <bottom style="double">
        <color indexed="64"/>
      </bottom>
      <diagonal/>
    </border>
    <border>
      <left/>
      <right style="double">
        <color indexed="64"/>
      </right>
      <top style="double">
        <color indexed="64"/>
      </top>
      <bottom style="medium">
        <color indexed="64"/>
      </bottom>
      <diagonal/>
    </border>
    <border>
      <left style="medium">
        <color indexed="64"/>
      </left>
      <right style="thin">
        <color indexed="64"/>
      </right>
      <top style="thin">
        <color indexed="9"/>
      </top>
      <bottom style="thin">
        <color indexed="9"/>
      </bottom>
      <diagonal/>
    </border>
    <border>
      <left style="medium">
        <color indexed="64"/>
      </left>
      <right style="thin">
        <color indexed="64"/>
      </right>
      <top style="thin">
        <color indexed="9"/>
      </top>
      <bottom style="double">
        <color indexed="64"/>
      </bottom>
      <diagonal/>
    </border>
    <border>
      <left style="medium">
        <color indexed="64"/>
      </left>
      <right style="thin">
        <color indexed="64"/>
      </right>
      <top/>
      <bottom style="thin">
        <color indexed="9"/>
      </bottom>
      <diagonal/>
    </border>
    <border>
      <left style="double">
        <color indexed="64"/>
      </left>
      <right style="double">
        <color indexed="64"/>
      </right>
      <top/>
      <bottom style="double">
        <color indexed="64"/>
      </bottom>
      <diagonal/>
    </border>
    <border>
      <left style="double">
        <color indexed="64"/>
      </left>
      <right style="double">
        <color indexed="64"/>
      </right>
      <top/>
      <bottom style="hair">
        <color indexed="64"/>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bottom style="thin">
        <color indexed="64"/>
      </bottom>
      <diagonal/>
    </border>
    <border>
      <left style="thin">
        <color indexed="64"/>
      </left>
      <right style="thin">
        <color indexed="64"/>
      </right>
      <top/>
      <bottom style="thin">
        <color indexed="64"/>
      </bottom>
      <diagonal/>
    </border>
    <border>
      <left/>
      <right style="double">
        <color indexed="64"/>
      </right>
      <top/>
      <bottom style="thin">
        <color indexed="64"/>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style="double">
        <color auto="1"/>
      </right>
      <top style="double">
        <color auto="1"/>
      </top>
      <bottom style="thin">
        <color auto="1"/>
      </bottom>
      <diagonal/>
    </border>
    <border>
      <left/>
      <right/>
      <top style="double">
        <color indexed="64"/>
      </top>
      <bottom style="medium">
        <color indexed="64"/>
      </bottom>
      <diagonal/>
    </border>
    <border>
      <left style="thin">
        <color indexed="64"/>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
      <left style="medium">
        <color auto="1"/>
      </left>
      <right style="thin">
        <color auto="1"/>
      </right>
      <top style="double">
        <color auto="1"/>
      </top>
      <bottom style="thin">
        <color indexed="64"/>
      </bottom>
      <diagonal/>
    </border>
    <border>
      <left/>
      <right style="thin">
        <color auto="1"/>
      </right>
      <top/>
      <bottom style="thin">
        <color auto="1"/>
      </bottom>
      <diagonal/>
    </border>
    <border>
      <left/>
      <right style="medium">
        <color auto="1"/>
      </right>
      <top style="thin">
        <color auto="1"/>
      </top>
      <bottom style="thin">
        <color auto="1"/>
      </bottom>
      <diagonal/>
    </border>
    <border>
      <left style="double">
        <color indexed="64"/>
      </left>
      <right style="double">
        <color indexed="64"/>
      </right>
      <top style="medium">
        <color indexed="64"/>
      </top>
      <bottom/>
      <diagonal/>
    </border>
    <border>
      <left style="double">
        <color indexed="64"/>
      </left>
      <right style="double">
        <color indexed="64"/>
      </right>
      <top style="medium">
        <color indexed="64"/>
      </top>
      <bottom style="hair">
        <color indexed="64"/>
      </bottom>
      <diagonal/>
    </border>
    <border>
      <left style="double">
        <color indexed="64"/>
      </left>
      <right/>
      <top style="double">
        <color indexed="64"/>
      </top>
      <bottom style="thick">
        <color rgb="FF00B0F0"/>
      </bottom>
      <diagonal/>
    </border>
    <border>
      <left/>
      <right/>
      <top style="double">
        <color indexed="64"/>
      </top>
      <bottom style="thick">
        <color rgb="FF00B0F0"/>
      </bottom>
      <diagonal/>
    </border>
    <border>
      <left/>
      <right style="double">
        <color indexed="64"/>
      </right>
      <top style="double">
        <color indexed="64"/>
      </top>
      <bottom style="thick">
        <color rgb="FF00B0F0"/>
      </bottom>
      <diagonal/>
    </border>
    <border>
      <left/>
      <right style="double">
        <color indexed="64"/>
      </right>
      <top style="thin">
        <color indexed="64"/>
      </top>
      <bottom style="double">
        <color indexed="64"/>
      </bottom>
      <diagonal/>
    </border>
    <border>
      <left style="thin">
        <color auto="1"/>
      </left>
      <right/>
      <top style="double">
        <color auto="1"/>
      </top>
      <bottom style="thin">
        <color auto="1"/>
      </bottom>
      <diagonal/>
    </border>
    <border>
      <left/>
      <right/>
      <top style="double">
        <color auto="1"/>
      </top>
      <bottom style="thin">
        <color auto="1"/>
      </bottom>
      <diagonal/>
    </border>
    <border>
      <left/>
      <right style="double">
        <color indexed="64"/>
      </right>
      <top style="double">
        <color auto="1"/>
      </top>
      <bottom style="thin">
        <color auto="1"/>
      </bottom>
      <diagonal/>
    </border>
    <border>
      <left/>
      <right/>
      <top style="thin">
        <color auto="1"/>
      </top>
      <bottom style="double">
        <color indexed="64"/>
      </bottom>
      <diagonal/>
    </border>
    <border>
      <left style="double">
        <color indexed="64"/>
      </left>
      <right style="double">
        <color indexed="64"/>
      </right>
      <top/>
      <bottom/>
      <diagonal/>
    </border>
    <border>
      <left/>
      <right style="double">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hair">
        <color indexed="64"/>
      </top>
      <bottom/>
      <diagonal/>
    </border>
    <border>
      <left style="double">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double">
        <color indexed="64"/>
      </right>
      <top style="hair">
        <color indexed="64"/>
      </top>
      <bottom/>
      <diagonal/>
    </border>
    <border>
      <left/>
      <right style="hair">
        <color auto="1"/>
      </right>
      <top style="double">
        <color auto="1"/>
      </top>
      <bottom style="medium">
        <color indexed="64"/>
      </bottom>
      <diagonal/>
    </border>
    <border>
      <left style="hair">
        <color auto="1"/>
      </left>
      <right style="hair">
        <color auto="1"/>
      </right>
      <top style="double">
        <color auto="1"/>
      </top>
      <bottom style="medium">
        <color indexed="64"/>
      </bottom>
      <diagonal/>
    </border>
    <border>
      <left style="hair">
        <color auto="1"/>
      </left>
      <right style="double">
        <color auto="1"/>
      </right>
      <top style="double">
        <color auto="1"/>
      </top>
      <bottom style="medium">
        <color indexed="64"/>
      </bottom>
      <diagonal/>
    </border>
    <border>
      <left style="double">
        <color auto="1"/>
      </left>
      <right style="medium">
        <color auto="1"/>
      </right>
      <top/>
      <bottom style="hair">
        <color indexed="64"/>
      </bottom>
      <diagonal/>
    </border>
    <border>
      <left/>
      <right style="hair">
        <color indexed="64"/>
      </right>
      <top/>
      <bottom style="hair">
        <color indexed="64"/>
      </bottom>
      <diagonal/>
    </border>
    <border>
      <left style="double">
        <color auto="1"/>
      </left>
      <right style="medium">
        <color auto="1"/>
      </right>
      <top style="hair">
        <color indexed="64"/>
      </top>
      <bottom style="hair">
        <color indexed="64"/>
      </bottom>
      <diagonal/>
    </border>
    <border>
      <left/>
      <right style="hair">
        <color indexed="64"/>
      </right>
      <top style="hair">
        <color indexed="64"/>
      </top>
      <bottom style="hair">
        <color indexed="64"/>
      </bottom>
      <diagonal/>
    </border>
    <border>
      <left style="double">
        <color auto="1"/>
      </left>
      <right style="medium">
        <color auto="1"/>
      </right>
      <top style="hair">
        <color indexed="64"/>
      </top>
      <bottom style="double">
        <color indexed="64"/>
      </bottom>
      <diagonal/>
    </border>
    <border>
      <left/>
      <right style="hair">
        <color indexed="64"/>
      </right>
      <top style="hair">
        <color indexed="64"/>
      </top>
      <bottom style="double">
        <color indexed="64"/>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double">
        <color indexed="64"/>
      </right>
      <top style="thin">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right/>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thin">
        <color indexed="64"/>
      </left>
      <right style="double">
        <color indexed="64"/>
      </right>
      <top style="thin">
        <color indexed="64"/>
      </top>
      <bottom style="hair">
        <color indexed="64"/>
      </bottom>
      <diagonal/>
    </border>
    <border>
      <left style="double">
        <color indexed="64"/>
      </left>
      <right style="double">
        <color indexed="64"/>
      </right>
      <top style="hair">
        <color indexed="64"/>
      </top>
      <bottom style="thin">
        <color indexed="64"/>
      </bottom>
      <diagonal/>
    </border>
    <border>
      <left/>
      <right style="thin">
        <color indexed="64"/>
      </right>
      <top style="thin">
        <color indexed="64"/>
      </top>
      <bottom style="double">
        <color indexed="64"/>
      </bottom>
      <diagonal/>
    </border>
    <border>
      <left style="double">
        <color indexed="64"/>
      </left>
      <right style="double">
        <color indexed="64"/>
      </right>
      <top style="double">
        <color indexed="64"/>
      </top>
      <bottom style="hair">
        <color indexed="64"/>
      </bottom>
      <diagonal/>
    </border>
    <border>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indexed="64"/>
      </left>
      <right style="double">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double">
        <color indexed="64"/>
      </right>
      <top style="hair">
        <color indexed="64"/>
      </top>
      <bottom style="medium">
        <color indexed="64"/>
      </bottom>
      <diagonal/>
    </border>
    <border>
      <left style="double">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hair">
        <color indexed="64"/>
      </top>
      <bottom style="thin">
        <color indexed="64"/>
      </bottom>
      <diagonal/>
    </border>
    <border>
      <left style="thin">
        <color indexed="64"/>
      </left>
      <right style="double">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double">
        <color indexed="64"/>
      </right>
      <top style="hair">
        <color indexed="64"/>
      </top>
      <bottom/>
      <diagonal/>
    </border>
    <border>
      <left style="double">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right style="double">
        <color indexed="64"/>
      </right>
      <top/>
      <bottom style="hair">
        <color indexed="64"/>
      </bottom>
      <diagonal/>
    </border>
    <border>
      <left style="double">
        <color indexed="64"/>
      </left>
      <right/>
      <top style="hair">
        <color indexed="64"/>
      </top>
      <bottom/>
      <diagonal/>
    </border>
    <border>
      <left style="hair">
        <color indexed="64"/>
      </left>
      <right/>
      <top style="hair">
        <color indexed="64"/>
      </top>
      <bottom/>
      <diagonal/>
    </border>
    <border>
      <left style="double">
        <color indexed="64"/>
      </left>
      <right style="hair">
        <color indexed="64"/>
      </right>
      <top style="hair">
        <color indexed="64"/>
      </top>
      <bottom style="hair">
        <color indexed="64"/>
      </bottom>
      <diagonal/>
    </border>
    <border>
      <left/>
      <right style="hair">
        <color indexed="64"/>
      </right>
      <top style="hair">
        <color indexed="64"/>
      </top>
      <bottom/>
      <diagonal/>
    </border>
    <border>
      <left/>
      <right style="medium">
        <color auto="1"/>
      </right>
      <top style="thin">
        <color indexed="64"/>
      </top>
      <bottom style="double">
        <color indexed="64"/>
      </bottom>
      <diagonal/>
    </border>
    <border>
      <left style="double">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style="medium">
        <color indexed="64"/>
      </top>
      <bottom style="hair">
        <color indexed="64"/>
      </bottom>
      <diagonal/>
    </border>
  </borders>
  <cellStyleXfs count="10">
    <xf numFmtId="0" fontId="0" fillId="0" borderId="0"/>
    <xf numFmtId="0" fontId="32" fillId="0" borderId="0" applyNumberFormat="0" applyFill="0" applyBorder="0" applyAlignment="0" applyProtection="0">
      <alignment vertical="top"/>
      <protection locked="0"/>
    </xf>
    <xf numFmtId="9" fontId="1" fillId="0" borderId="0" applyFont="0" applyFill="0" applyBorder="0" applyAlignment="0" applyProtection="0"/>
    <xf numFmtId="9" fontId="4" fillId="0" borderId="0" applyFont="0" applyFill="0" applyBorder="0" applyAlignment="0" applyProtection="0"/>
    <xf numFmtId="0" fontId="34" fillId="0" borderId="0"/>
    <xf numFmtId="0" fontId="1" fillId="0" borderId="0"/>
    <xf numFmtId="0" fontId="35" fillId="0" borderId="0"/>
    <xf numFmtId="9" fontId="1" fillId="0" borderId="0" applyFont="0" applyFill="0" applyBorder="0" applyAlignment="0" applyProtection="0"/>
    <xf numFmtId="0" fontId="1" fillId="0" borderId="0"/>
    <xf numFmtId="43" fontId="1" fillId="0" borderId="0" applyFont="0" applyFill="0" applyBorder="0" applyAlignment="0" applyProtection="0"/>
  </cellStyleXfs>
  <cellXfs count="578">
    <xf numFmtId="0" fontId="0" fillId="0" borderId="0" xfId="0"/>
    <xf numFmtId="0" fontId="11" fillId="3" borderId="56" xfId="0" applyFont="1" applyFill="1" applyBorder="1" applyAlignment="1">
      <alignment horizontal="centerContinuous" vertical="center"/>
    </xf>
    <xf numFmtId="0" fontId="11" fillId="3" borderId="33" xfId="0" applyFont="1" applyFill="1" applyBorder="1" applyAlignment="1">
      <alignment horizontal="center" vertical="center"/>
    </xf>
    <xf numFmtId="0" fontId="11" fillId="3" borderId="33" xfId="0" applyFont="1" applyFill="1" applyBorder="1" applyAlignment="1">
      <alignment horizontal="center" vertical="center" wrapText="1"/>
    </xf>
    <xf numFmtId="0" fontId="11" fillId="3" borderId="57" xfId="0" applyFont="1" applyFill="1" applyBorder="1" applyAlignment="1">
      <alignment horizontal="center" vertical="center"/>
    </xf>
    <xf numFmtId="1" fontId="1" fillId="0" borderId="66" xfId="0" applyNumberFormat="1" applyFont="1" applyBorder="1" applyAlignment="1">
      <alignment horizontal="center" vertical="center"/>
    </xf>
    <xf numFmtId="0" fontId="1" fillId="0" borderId="66" xfId="0" applyFont="1" applyBorder="1" applyAlignment="1">
      <alignment horizontal="center" vertical="center"/>
    </xf>
    <xf numFmtId="0" fontId="1" fillId="0" borderId="66" xfId="0" quotePrefix="1" applyFont="1" applyBorder="1" applyAlignment="1">
      <alignment horizontal="center" vertical="center" wrapText="1"/>
    </xf>
    <xf numFmtId="49" fontId="1" fillId="0" borderId="66" xfId="2" applyNumberFormat="1" applyFont="1" applyFill="1" applyBorder="1" applyAlignment="1">
      <alignment horizontal="center" vertical="center"/>
    </xf>
    <xf numFmtId="0" fontId="1" fillId="0" borderId="66" xfId="0" applyFont="1" applyBorder="1" applyAlignment="1">
      <alignment horizontal="center" vertical="center" shrinkToFit="1"/>
    </xf>
    <xf numFmtId="164" fontId="1" fillId="0" borderId="66" xfId="0" applyNumberFormat="1" applyFont="1" applyBorder="1" applyAlignment="1">
      <alignment horizontal="center" vertical="center"/>
    </xf>
    <xf numFmtId="164" fontId="4" fillId="0" borderId="68" xfId="0" applyNumberFormat="1" applyFont="1" applyBorder="1" applyAlignment="1">
      <alignment horizontal="center" vertical="center"/>
    </xf>
    <xf numFmtId="0" fontId="4" fillId="0" borderId="0" xfId="0" applyFont="1" applyAlignment="1">
      <alignment vertical="center"/>
    </xf>
    <xf numFmtId="0" fontId="5" fillId="0" borderId="1" xfId="0" applyFont="1" applyBorder="1" applyAlignment="1">
      <alignment horizontal="right" vertical="center"/>
    </xf>
    <xf numFmtId="0" fontId="6" fillId="0" borderId="0" xfId="0" applyFont="1" applyAlignment="1">
      <alignment vertical="center"/>
    </xf>
    <xf numFmtId="0" fontId="6" fillId="0" borderId="0" xfId="0" applyFont="1" applyAlignment="1">
      <alignment horizontal="center" vertical="center"/>
    </xf>
    <xf numFmtId="0" fontId="5" fillId="0" borderId="0" xfId="0" applyFont="1" applyAlignment="1">
      <alignment horizontal="right" vertical="center"/>
    </xf>
    <xf numFmtId="0" fontId="0" fillId="0" borderId="0" xfId="0" applyAlignment="1">
      <alignment vertical="center"/>
    </xf>
    <xf numFmtId="0" fontId="6" fillId="0" borderId="2" xfId="0" applyFont="1" applyBorder="1" applyAlignment="1">
      <alignment horizontal="left" vertical="center"/>
    </xf>
    <xf numFmtId="0" fontId="5" fillId="4" borderId="61" xfId="0" applyFont="1" applyFill="1" applyBorder="1" applyAlignment="1">
      <alignment horizontal="right" vertical="center"/>
    </xf>
    <xf numFmtId="0" fontId="5" fillId="4" borderId="75" xfId="0" applyFont="1" applyFill="1" applyBorder="1" applyAlignment="1">
      <alignment horizontal="right" vertical="center"/>
    </xf>
    <xf numFmtId="0" fontId="6" fillId="0" borderId="0" xfId="0" applyFont="1" applyAlignment="1">
      <alignment horizontal="left" vertical="center"/>
    </xf>
    <xf numFmtId="0" fontId="5" fillId="4" borderId="14" xfId="0" applyFont="1" applyFill="1" applyBorder="1" applyAlignment="1">
      <alignment horizontal="right" vertical="center"/>
    </xf>
    <xf numFmtId="0" fontId="5" fillId="4" borderId="76" xfId="0" applyFont="1" applyFill="1" applyBorder="1" applyAlignment="1">
      <alignment horizontal="right" vertical="center"/>
    </xf>
    <xf numFmtId="0" fontId="3" fillId="4" borderId="11" xfId="0" applyFont="1" applyFill="1" applyBorder="1" applyAlignment="1">
      <alignment horizontal="right" vertical="center"/>
    </xf>
    <xf numFmtId="0" fontId="7" fillId="2" borderId="14" xfId="0" applyFont="1" applyFill="1" applyBorder="1" applyAlignment="1">
      <alignment horizontal="right" vertical="center"/>
    </xf>
    <xf numFmtId="0" fontId="7" fillId="4" borderId="53" xfId="0" applyFont="1" applyFill="1" applyBorder="1" applyAlignment="1">
      <alignment horizontal="right" vertical="center"/>
    </xf>
    <xf numFmtId="0" fontId="12" fillId="2" borderId="4" xfId="0" applyFont="1" applyFill="1" applyBorder="1" applyAlignment="1">
      <alignment horizontal="right" vertical="center"/>
    </xf>
    <xf numFmtId="0" fontId="7" fillId="4" borderId="51" xfId="0" applyFont="1" applyFill="1" applyBorder="1" applyAlignment="1">
      <alignment horizontal="right" vertical="center"/>
    </xf>
    <xf numFmtId="164" fontId="5" fillId="5" borderId="27" xfId="0" applyNumberFormat="1" applyFont="1" applyFill="1" applyBorder="1" applyAlignment="1">
      <alignment horizontal="center" vertical="center"/>
    </xf>
    <xf numFmtId="0" fontId="5" fillId="0" borderId="26" xfId="0" applyFont="1" applyBorder="1" applyAlignment="1">
      <alignment horizontal="center" vertical="center"/>
    </xf>
    <xf numFmtId="0" fontId="36" fillId="2" borderId="4" xfId="0" applyFont="1" applyFill="1" applyBorder="1" applyAlignment="1">
      <alignment horizontal="right" vertical="center"/>
    </xf>
    <xf numFmtId="0" fontId="10" fillId="4" borderId="51" xfId="0" applyFont="1" applyFill="1" applyBorder="1" applyAlignment="1">
      <alignment horizontal="right" vertical="center"/>
    </xf>
    <xf numFmtId="0" fontId="21" fillId="2" borderId="4" xfId="0" applyFont="1" applyFill="1" applyBorder="1" applyAlignment="1">
      <alignment horizontal="right" vertical="center"/>
    </xf>
    <xf numFmtId="0" fontId="13" fillId="2" borderId="16" xfId="0" applyFont="1" applyFill="1" applyBorder="1" applyAlignment="1">
      <alignment horizontal="right" vertical="center"/>
    </xf>
    <xf numFmtId="0" fontId="10" fillId="4" borderId="52" xfId="0" applyFont="1" applyFill="1" applyBorder="1" applyAlignment="1">
      <alignment horizontal="right" vertical="center"/>
    </xf>
    <xf numFmtId="0" fontId="2" fillId="0" borderId="1" xfId="0" applyFont="1" applyBorder="1" applyAlignment="1">
      <alignment vertical="center"/>
    </xf>
    <xf numFmtId="0" fontId="14" fillId="0" borderId="0" xfId="0" applyFont="1" applyAlignment="1">
      <alignment vertical="center"/>
    </xf>
    <xf numFmtId="0" fontId="15" fillId="0" borderId="0" xfId="0" applyFont="1" applyAlignment="1">
      <alignment vertical="center"/>
    </xf>
    <xf numFmtId="0" fontId="15" fillId="0" borderId="2" xfId="0" applyFont="1" applyBorder="1" applyAlignment="1">
      <alignment vertical="center"/>
    </xf>
    <xf numFmtId="0" fontId="6" fillId="0" borderId="5" xfId="0" applyFont="1" applyBorder="1" applyAlignment="1">
      <alignment vertical="center"/>
    </xf>
    <xf numFmtId="0" fontId="6" fillId="0" borderId="6" xfId="0" applyFont="1" applyBorder="1" applyAlignment="1">
      <alignment vertical="center"/>
    </xf>
    <xf numFmtId="0" fontId="6" fillId="0" borderId="7" xfId="0" applyFont="1" applyBorder="1" applyAlignment="1">
      <alignment vertical="center"/>
    </xf>
    <xf numFmtId="0" fontId="3" fillId="0" borderId="0" xfId="0" applyFont="1" applyAlignment="1">
      <alignment vertical="center"/>
    </xf>
    <xf numFmtId="0" fontId="6" fillId="0" borderId="1" xfId="0" applyFont="1" applyBorder="1" applyAlignment="1">
      <alignment vertical="center"/>
    </xf>
    <xf numFmtId="0" fontId="6" fillId="0" borderId="2" xfId="0" applyFont="1" applyBorder="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6" fillId="0" borderId="10" xfId="0" applyFont="1" applyBorder="1" applyAlignment="1">
      <alignment vertical="center"/>
    </xf>
    <xf numFmtId="0" fontId="3" fillId="0" borderId="0" xfId="0" applyFont="1" applyAlignment="1">
      <alignment horizontal="right" vertical="center"/>
    </xf>
    <xf numFmtId="0" fontId="4" fillId="0" borderId="0" xfId="0" applyFont="1" applyAlignment="1">
      <alignment horizontal="left" vertical="center"/>
    </xf>
    <xf numFmtId="0" fontId="24" fillId="0" borderId="21" xfId="0" applyFont="1" applyBorder="1" applyAlignment="1">
      <alignment horizontal="centerContinuous" vertical="center"/>
    </xf>
    <xf numFmtId="0" fontId="15" fillId="0" borderId="0" xfId="0" applyFont="1" applyAlignment="1">
      <alignment horizontal="centerContinuous" vertical="center"/>
    </xf>
    <xf numFmtId="0" fontId="38" fillId="0" borderId="1" xfId="0" applyFont="1" applyBorder="1" applyAlignment="1">
      <alignment vertical="center"/>
    </xf>
    <xf numFmtId="0" fontId="6" fillId="0" borderId="23" xfId="0" applyFont="1" applyBorder="1" applyAlignment="1">
      <alignment horizontal="center" vertical="center"/>
    </xf>
    <xf numFmtId="0" fontId="41" fillId="0" borderId="1" xfId="0" applyFont="1" applyBorder="1" applyAlignment="1">
      <alignment vertical="center"/>
    </xf>
    <xf numFmtId="0" fontId="12" fillId="0" borderId="24" xfId="0" applyFont="1" applyBorder="1" applyAlignment="1">
      <alignment horizontal="center" vertical="center"/>
    </xf>
    <xf numFmtId="0" fontId="39" fillId="0" borderId="58" xfId="0" applyFont="1" applyBorder="1" applyAlignment="1">
      <alignment vertical="center"/>
    </xf>
    <xf numFmtId="0" fontId="6" fillId="0" borderId="59" xfId="0" applyFont="1" applyBorder="1" applyAlignment="1">
      <alignment horizontal="center" vertical="center"/>
    </xf>
    <xf numFmtId="0" fontId="10" fillId="0" borderId="1" xfId="0" applyFont="1" applyBorder="1" applyAlignment="1">
      <alignment vertical="center"/>
    </xf>
    <xf numFmtId="49" fontId="16" fillId="0" borderId="23" xfId="0" applyNumberFormat="1" applyFont="1" applyBorder="1" applyAlignment="1">
      <alignment horizontal="center" vertical="center"/>
    </xf>
    <xf numFmtId="0" fontId="16" fillId="0" borderId="24" xfId="0" applyFont="1" applyBorder="1" applyAlignment="1">
      <alignment horizontal="center" vertical="center"/>
    </xf>
    <xf numFmtId="0" fontId="10" fillId="0" borderId="24" xfId="0" applyFont="1" applyBorder="1" applyAlignment="1">
      <alignment horizontal="center" vertical="center"/>
    </xf>
    <xf numFmtId="49" fontId="6" fillId="0" borderId="24" xfId="0" applyNumberFormat="1" applyFont="1" applyBorder="1" applyAlignment="1">
      <alignment horizontal="center" vertical="center"/>
    </xf>
    <xf numFmtId="0" fontId="6" fillId="0" borderId="25" xfId="0" applyFont="1" applyBorder="1" applyAlignment="1">
      <alignment horizontal="center" vertical="center"/>
    </xf>
    <xf numFmtId="0" fontId="18" fillId="0" borderId="0" xfId="0" applyFont="1" applyAlignment="1">
      <alignment vertical="center"/>
    </xf>
    <xf numFmtId="0" fontId="12" fillId="0" borderId="1" xfId="0" applyFont="1" applyBorder="1" applyAlignment="1">
      <alignment vertical="center"/>
    </xf>
    <xf numFmtId="49" fontId="23" fillId="0" borderId="23" xfId="0" applyNumberFormat="1" applyFont="1" applyBorder="1" applyAlignment="1">
      <alignment horizontal="center" vertical="center"/>
    </xf>
    <xf numFmtId="0" fontId="23" fillId="0" borderId="24" xfId="0" applyFont="1" applyBorder="1" applyAlignment="1">
      <alignment horizontal="center" vertical="center"/>
    </xf>
    <xf numFmtId="0" fontId="31" fillId="0" borderId="0" xfId="0" applyFont="1" applyAlignment="1">
      <alignment vertical="center"/>
    </xf>
    <xf numFmtId="0" fontId="13" fillId="0" borderId="1" xfId="0" applyFont="1" applyBorder="1" applyAlignment="1">
      <alignment vertical="center"/>
    </xf>
    <xf numFmtId="49" fontId="22" fillId="0" borderId="23" xfId="0" applyNumberFormat="1" applyFont="1" applyBorder="1" applyAlignment="1">
      <alignment horizontal="center" vertical="center"/>
    </xf>
    <xf numFmtId="0" fontId="22" fillId="0" borderId="24" xfId="0" applyFont="1" applyBorder="1" applyAlignment="1">
      <alignment horizontal="center" vertical="center"/>
    </xf>
    <xf numFmtId="0" fontId="13" fillId="0" borderId="24" xfId="0" applyFont="1" applyBorder="1" applyAlignment="1">
      <alignment horizontal="center" vertical="center"/>
    </xf>
    <xf numFmtId="0" fontId="29" fillId="0" borderId="0" xfId="0" applyFont="1" applyAlignment="1">
      <alignment vertical="center"/>
    </xf>
    <xf numFmtId="0" fontId="7" fillId="6" borderId="1" xfId="0" applyFont="1" applyFill="1" applyBorder="1" applyAlignment="1">
      <alignment vertical="center"/>
    </xf>
    <xf numFmtId="0" fontId="6" fillId="6" borderId="23" xfId="0" applyFont="1" applyFill="1" applyBorder="1" applyAlignment="1">
      <alignment horizontal="center" vertical="center"/>
    </xf>
    <xf numFmtId="49" fontId="17" fillId="6" borderId="23" xfId="0" applyNumberFormat="1" applyFont="1" applyFill="1" applyBorder="1" applyAlignment="1">
      <alignment horizontal="center" vertical="center"/>
    </xf>
    <xf numFmtId="0" fontId="17" fillId="6" borderId="24" xfId="0" applyFont="1" applyFill="1" applyBorder="1" applyAlignment="1">
      <alignment horizontal="center" vertical="center"/>
    </xf>
    <xf numFmtId="0" fontId="7" fillId="6" borderId="24" xfId="0" applyFont="1" applyFill="1" applyBorder="1" applyAlignment="1">
      <alignment horizontal="center" vertical="center"/>
    </xf>
    <xf numFmtId="49" fontId="6" fillId="6" borderId="24" xfId="0" applyNumberFormat="1" applyFont="1" applyFill="1" applyBorder="1" applyAlignment="1">
      <alignment horizontal="center" vertical="center"/>
    </xf>
    <xf numFmtId="0" fontId="6" fillId="6" borderId="25" xfId="0" applyFont="1" applyFill="1" applyBorder="1" applyAlignment="1">
      <alignment horizontal="center" vertical="center"/>
    </xf>
    <xf numFmtId="0" fontId="28" fillId="0" borderId="0" xfId="0" applyFont="1" applyAlignment="1">
      <alignment vertical="center"/>
    </xf>
    <xf numFmtId="0" fontId="10" fillId="6" borderId="1" xfId="0" applyFont="1" applyFill="1" applyBorder="1" applyAlignment="1">
      <alignment vertical="center"/>
    </xf>
    <xf numFmtId="49" fontId="16" fillId="6" borderId="23" xfId="0" applyNumberFormat="1" applyFont="1" applyFill="1" applyBorder="1" applyAlignment="1">
      <alignment horizontal="center" vertical="center"/>
    </xf>
    <xf numFmtId="0" fontId="16" fillId="6" borderId="24" xfId="0" applyFont="1" applyFill="1" applyBorder="1" applyAlignment="1">
      <alignment horizontal="center" vertical="center"/>
    </xf>
    <xf numFmtId="0" fontId="10" fillId="6" borderId="24" xfId="0" applyFont="1" applyFill="1" applyBorder="1" applyAlignment="1">
      <alignment horizontal="center" vertical="center"/>
    </xf>
    <xf numFmtId="0" fontId="10" fillId="8" borderId="1" xfId="0" applyFont="1" applyFill="1" applyBorder="1" applyAlignment="1">
      <alignment vertical="center"/>
    </xf>
    <xf numFmtId="0" fontId="6" fillId="8" borderId="23" xfId="0" applyFont="1" applyFill="1" applyBorder="1" applyAlignment="1">
      <alignment horizontal="center" vertical="center"/>
    </xf>
    <xf numFmtId="49" fontId="16" fillId="8" borderId="23" xfId="0" applyNumberFormat="1" applyFont="1" applyFill="1" applyBorder="1" applyAlignment="1">
      <alignment horizontal="center" vertical="center"/>
    </xf>
    <xf numFmtId="0" fontId="16" fillId="8" borderId="24" xfId="0" applyFont="1" applyFill="1" applyBorder="1" applyAlignment="1">
      <alignment horizontal="center" vertical="center"/>
    </xf>
    <xf numFmtId="0" fontId="10" fillId="8" borderId="24" xfId="0" applyFont="1" applyFill="1" applyBorder="1" applyAlignment="1">
      <alignment horizontal="center" vertical="center"/>
    </xf>
    <xf numFmtId="49" fontId="6" fillId="8" borderId="24" xfId="0" applyNumberFormat="1" applyFont="1" applyFill="1" applyBorder="1" applyAlignment="1">
      <alignment horizontal="center" vertical="center"/>
    </xf>
    <xf numFmtId="0" fontId="6" fillId="8" borderId="25" xfId="0" applyFont="1" applyFill="1" applyBorder="1" applyAlignment="1">
      <alignment horizontal="center" vertical="center"/>
    </xf>
    <xf numFmtId="0" fontId="30" fillId="0" borderId="0" xfId="0" applyFont="1" applyAlignment="1">
      <alignment vertical="center"/>
    </xf>
    <xf numFmtId="0" fontId="21" fillId="6" borderId="1" xfId="0" applyFont="1" applyFill="1" applyBorder="1" applyAlignment="1">
      <alignment vertical="center"/>
    </xf>
    <xf numFmtId="49" fontId="27" fillId="6" borderId="23" xfId="0" applyNumberFormat="1" applyFont="1" applyFill="1" applyBorder="1" applyAlignment="1">
      <alignment horizontal="center" vertical="center"/>
    </xf>
    <xf numFmtId="0" fontId="27" fillId="6" borderId="24" xfId="0" applyFont="1" applyFill="1" applyBorder="1" applyAlignment="1">
      <alignment horizontal="center" vertical="center"/>
    </xf>
    <xf numFmtId="0" fontId="21" fillId="6" borderId="24" xfId="0" applyFont="1" applyFill="1" applyBorder="1" applyAlignment="1">
      <alignment horizontal="center" vertical="center"/>
    </xf>
    <xf numFmtId="0" fontId="7" fillId="0" borderId="1" xfId="0" applyFont="1" applyBorder="1" applyAlignment="1">
      <alignment vertical="center"/>
    </xf>
    <xf numFmtId="49" fontId="17" fillId="0" borderId="23" xfId="0" applyNumberFormat="1" applyFont="1" applyBorder="1" applyAlignment="1">
      <alignment horizontal="center" vertical="center"/>
    </xf>
    <xf numFmtId="0" fontId="17" fillId="0" borderId="24" xfId="0" applyFont="1" applyBorder="1" applyAlignment="1">
      <alignment horizontal="center" vertical="center"/>
    </xf>
    <xf numFmtId="0" fontId="7" fillId="0" borderId="24" xfId="0" applyFont="1" applyBorder="1" applyAlignment="1">
      <alignment horizontal="center" vertical="center"/>
    </xf>
    <xf numFmtId="0" fontId="12" fillId="8" borderId="1" xfId="0" applyFont="1" applyFill="1" applyBorder="1" applyAlignment="1">
      <alignment vertical="center"/>
    </xf>
    <xf numFmtId="49" fontId="23" fillId="8" borderId="23" xfId="0" applyNumberFormat="1" applyFont="1" applyFill="1" applyBorder="1" applyAlignment="1">
      <alignment horizontal="center" vertical="center"/>
    </xf>
    <xf numFmtId="0" fontId="23" fillId="8" borderId="24" xfId="0" applyFont="1" applyFill="1" applyBorder="1" applyAlignment="1">
      <alignment horizontal="center" vertical="center"/>
    </xf>
    <xf numFmtId="0" fontId="12" fillId="8" borderId="24" xfId="0" applyFont="1" applyFill="1" applyBorder="1" applyAlignment="1">
      <alignment horizontal="center" vertical="center"/>
    </xf>
    <xf numFmtId="0" fontId="12" fillId="6" borderId="1" xfId="0" applyFont="1" applyFill="1" applyBorder="1" applyAlignment="1">
      <alignment vertical="center"/>
    </xf>
    <xf numFmtId="49" fontId="23" fillId="6" borderId="23" xfId="0" applyNumberFormat="1" applyFont="1" applyFill="1" applyBorder="1" applyAlignment="1">
      <alignment horizontal="center" vertical="center"/>
    </xf>
    <xf numFmtId="0" fontId="23" fillId="6" borderId="24" xfId="0" applyFont="1" applyFill="1" applyBorder="1" applyAlignment="1">
      <alignment horizontal="center" vertical="center"/>
    </xf>
    <xf numFmtId="0" fontId="12" fillId="6" borderId="24" xfId="0" applyFont="1" applyFill="1" applyBorder="1" applyAlignment="1">
      <alignment horizontal="center" vertical="center"/>
    </xf>
    <xf numFmtId="0" fontId="21" fillId="0" borderId="1" xfId="0" applyFont="1" applyBorder="1" applyAlignment="1">
      <alignment vertical="center"/>
    </xf>
    <xf numFmtId="49" fontId="27" fillId="0" borderId="23" xfId="0" applyNumberFormat="1" applyFont="1" applyBorder="1" applyAlignment="1">
      <alignment horizontal="center" vertical="center"/>
    </xf>
    <xf numFmtId="0" fontId="27" fillId="0" borderId="24" xfId="0" applyFont="1" applyBorder="1" applyAlignment="1">
      <alignment horizontal="center" vertical="center"/>
    </xf>
    <xf numFmtId="0" fontId="21" fillId="0" borderId="24" xfId="0" applyFont="1" applyBorder="1" applyAlignment="1">
      <alignment horizontal="center" vertical="center"/>
    </xf>
    <xf numFmtId="0" fontId="6" fillId="6" borderId="25" xfId="0" quotePrefix="1" applyFont="1" applyFill="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vertical="center"/>
    </xf>
    <xf numFmtId="0" fontId="4" fillId="0" borderId="0" xfId="0" applyFont="1" applyAlignment="1">
      <alignment horizontal="center" vertical="center"/>
    </xf>
    <xf numFmtId="0" fontId="6" fillId="0" borderId="0" xfId="0" applyFont="1" applyAlignment="1">
      <alignment vertical="center" wrapText="1"/>
    </xf>
    <xf numFmtId="0" fontId="6" fillId="0" borderId="0" xfId="0" applyFont="1" applyAlignment="1">
      <alignment horizontal="left" vertical="center" wrapText="1"/>
    </xf>
    <xf numFmtId="0" fontId="6" fillId="0" borderId="54" xfId="0" applyFont="1" applyBorder="1" applyAlignment="1">
      <alignment horizontal="centerContinuous" vertical="center"/>
    </xf>
    <xf numFmtId="0" fontId="2" fillId="0" borderId="0" xfId="0" applyFont="1" applyAlignment="1">
      <alignment horizontal="centerContinuous" vertical="center"/>
    </xf>
    <xf numFmtId="0" fontId="20" fillId="7" borderId="17" xfId="0" applyFont="1" applyFill="1" applyBorder="1" applyAlignment="1">
      <alignment horizontal="center" vertical="center"/>
    </xf>
    <xf numFmtId="0" fontId="20" fillId="7" borderId="18" xfId="0" applyFont="1" applyFill="1" applyBorder="1" applyAlignment="1">
      <alignment horizontal="center" vertical="center"/>
    </xf>
    <xf numFmtId="49" fontId="20" fillId="7" borderId="18" xfId="0" applyNumberFormat="1" applyFont="1" applyFill="1" applyBorder="1" applyAlignment="1">
      <alignment horizontal="center" vertical="center"/>
    </xf>
    <xf numFmtId="0" fontId="20" fillId="7" borderId="20" xfId="0" applyFont="1" applyFill="1" applyBorder="1" applyAlignment="1">
      <alignment horizontal="center" vertical="center"/>
    </xf>
    <xf numFmtId="0" fontId="20" fillId="7" borderId="19" xfId="0" applyFont="1" applyFill="1" applyBorder="1" applyAlignment="1">
      <alignment horizontal="center" vertical="center"/>
    </xf>
    <xf numFmtId="0" fontId="20" fillId="7" borderId="28" xfId="0" applyFont="1" applyFill="1" applyBorder="1" applyAlignment="1">
      <alignment horizontal="center" vertical="center"/>
    </xf>
    <xf numFmtId="1" fontId="1" fillId="0" borderId="48" xfId="0" applyNumberFormat="1" applyFont="1" applyBorder="1" applyAlignment="1">
      <alignment horizontal="center" vertical="center"/>
    </xf>
    <xf numFmtId="0" fontId="4" fillId="0" borderId="0" xfId="0" applyFont="1" applyAlignment="1">
      <alignment horizontal="centerContinuous" vertical="center"/>
    </xf>
    <xf numFmtId="164" fontId="4" fillId="0" borderId="0" xfId="0" applyNumberFormat="1" applyFont="1" applyAlignment="1">
      <alignment horizontal="center" vertical="center"/>
    </xf>
    <xf numFmtId="0" fontId="20" fillId="7" borderId="20" xfId="0" applyFont="1" applyFill="1" applyBorder="1" applyAlignment="1">
      <alignment horizontal="centerContinuous" vertical="center"/>
    </xf>
    <xf numFmtId="0" fontId="20" fillId="7" borderId="65" xfId="0" applyFont="1" applyFill="1" applyBorder="1" applyAlignment="1">
      <alignment horizontal="centerContinuous" vertical="center"/>
    </xf>
    <xf numFmtId="0" fontId="20" fillId="7" borderId="50" xfId="0" applyFont="1" applyFill="1" applyBorder="1" applyAlignment="1">
      <alignment horizontal="centerContinuous" vertical="center"/>
    </xf>
    <xf numFmtId="164" fontId="4" fillId="0" borderId="12" xfId="0" applyNumberFormat="1" applyFont="1" applyBorder="1" applyAlignment="1">
      <alignment horizontal="center" vertical="center"/>
    </xf>
    <xf numFmtId="164" fontId="2" fillId="0" borderId="0" xfId="0" applyNumberFormat="1" applyFont="1" applyAlignment="1">
      <alignment horizontal="centerContinuous" vertical="center"/>
    </xf>
    <xf numFmtId="0" fontId="20" fillId="3" borderId="32" xfId="0" applyFont="1" applyFill="1" applyBorder="1" applyAlignment="1">
      <alignment horizontal="center" vertical="center"/>
    </xf>
    <xf numFmtId="164" fontId="20" fillId="3" borderId="33" xfId="0" applyNumberFormat="1" applyFont="1" applyFill="1" applyBorder="1" applyAlignment="1">
      <alignment horizontal="center" vertical="center"/>
    </xf>
    <xf numFmtId="0" fontId="20" fillId="3" borderId="32" xfId="0" applyFont="1" applyFill="1" applyBorder="1" applyAlignment="1">
      <alignment horizontal="right" vertical="center"/>
    </xf>
    <xf numFmtId="0" fontId="20" fillId="3" borderId="34" xfId="0" applyFont="1" applyFill="1" applyBorder="1" applyAlignment="1">
      <alignment vertical="center"/>
    </xf>
    <xf numFmtId="164" fontId="20" fillId="3" borderId="28" xfId="0" applyNumberFormat="1" applyFont="1" applyFill="1" applyBorder="1" applyAlignment="1">
      <alignment horizontal="center" vertical="center"/>
    </xf>
    <xf numFmtId="0" fontId="1" fillId="0" borderId="35" xfId="0" applyFont="1" applyBorder="1" applyAlignment="1">
      <alignment horizontal="center" vertical="center" shrinkToFit="1"/>
    </xf>
    <xf numFmtId="1" fontId="1" fillId="0" borderId="36" xfId="0" applyNumberFormat="1" applyFont="1" applyBorder="1" applyAlignment="1">
      <alignment horizontal="center" vertical="center" shrinkToFit="1"/>
    </xf>
    <xf numFmtId="164" fontId="1" fillId="0" borderId="36" xfId="0" applyNumberFormat="1" applyFont="1" applyBorder="1" applyAlignment="1">
      <alignment horizontal="center" vertical="center" shrinkToFit="1"/>
    </xf>
    <xf numFmtId="0" fontId="4" fillId="0" borderId="37" xfId="0" applyFont="1" applyBorder="1" applyAlignment="1">
      <alignment horizontal="left" vertical="center"/>
    </xf>
    <xf numFmtId="0" fontId="4" fillId="0" borderId="38" xfId="0" applyFont="1" applyBorder="1" applyAlignment="1">
      <alignment horizontal="left" vertical="center" shrinkToFit="1"/>
    </xf>
    <xf numFmtId="0" fontId="1" fillId="0" borderId="41" xfId="0" applyFont="1" applyBorder="1" applyAlignment="1">
      <alignment horizontal="center" vertical="center" shrinkToFit="1"/>
    </xf>
    <xf numFmtId="1" fontId="4" fillId="0" borderId="42" xfId="0" applyNumberFormat="1" applyFont="1" applyBorder="1" applyAlignment="1">
      <alignment horizontal="center" vertical="center" shrinkToFit="1"/>
    </xf>
    <xf numFmtId="164" fontId="4" fillId="0" borderId="42" xfId="0" applyNumberFormat="1" applyFont="1" applyBorder="1" applyAlignment="1">
      <alignment horizontal="center" vertical="center" shrinkToFit="1"/>
    </xf>
    <xf numFmtId="0" fontId="4" fillId="0" borderId="43" xfId="0" applyFont="1" applyBorder="1" applyAlignment="1">
      <alignment horizontal="left" vertical="center"/>
    </xf>
    <xf numFmtId="0" fontId="4" fillId="0" borderId="44" xfId="0" applyFont="1" applyBorder="1" applyAlignment="1">
      <alignment horizontal="left" vertical="center" shrinkToFit="1"/>
    </xf>
    <xf numFmtId="164" fontId="2" fillId="0" borderId="0" xfId="0" applyNumberFormat="1" applyFont="1" applyAlignment="1">
      <alignment horizontal="centerContinuous" vertical="center" shrinkToFit="1"/>
    </xf>
    <xf numFmtId="0" fontId="2" fillId="0" borderId="0" xfId="0" applyFont="1" applyAlignment="1">
      <alignment horizontal="centerContinuous" vertical="center" shrinkToFit="1"/>
    </xf>
    <xf numFmtId="164" fontId="1" fillId="0" borderId="39" xfId="0" applyNumberFormat="1" applyFont="1" applyBorder="1" applyAlignment="1">
      <alignment horizontal="center" vertical="center" shrinkToFit="1"/>
    </xf>
    <xf numFmtId="0" fontId="1" fillId="0" borderId="43" xfId="0" applyFont="1" applyBorder="1" applyAlignment="1">
      <alignment horizontal="left" vertical="center"/>
    </xf>
    <xf numFmtId="1" fontId="1" fillId="0" borderId="0" xfId="0" applyNumberFormat="1" applyFont="1" applyAlignment="1">
      <alignment horizontal="center" vertical="center"/>
    </xf>
    <xf numFmtId="0" fontId="2" fillId="0" borderId="0" xfId="0" applyFont="1" applyAlignment="1">
      <alignment vertical="center"/>
    </xf>
    <xf numFmtId="1" fontId="4" fillId="0" borderId="0" xfId="0" applyNumberFormat="1" applyFont="1" applyAlignment="1">
      <alignment horizontal="center" vertical="center"/>
    </xf>
    <xf numFmtId="1" fontId="4" fillId="0" borderId="0" xfId="0" applyNumberFormat="1" applyFont="1" applyAlignment="1">
      <alignment vertical="center"/>
    </xf>
    <xf numFmtId="0" fontId="19" fillId="2" borderId="81" xfId="0" applyFont="1" applyFill="1" applyBorder="1" applyAlignment="1">
      <alignment horizontal="left" vertical="center"/>
    </xf>
    <xf numFmtId="0" fontId="3" fillId="2" borderId="81" xfId="0" applyFont="1" applyFill="1" applyBorder="1" applyAlignment="1">
      <alignment horizontal="centerContinuous" vertical="center"/>
    </xf>
    <xf numFmtId="0" fontId="6" fillId="8" borderId="25" xfId="0" quotePrefix="1" applyFont="1" applyFill="1" applyBorder="1" applyAlignment="1">
      <alignment horizontal="center" vertical="center"/>
    </xf>
    <xf numFmtId="0" fontId="12" fillId="0" borderId="8" xfId="0" applyFont="1" applyBorder="1" applyAlignment="1">
      <alignment vertical="center"/>
    </xf>
    <xf numFmtId="0" fontId="6" fillId="0" borderId="47" xfId="0" applyFont="1" applyBorder="1" applyAlignment="1">
      <alignment horizontal="center" vertical="center"/>
    </xf>
    <xf numFmtId="49" fontId="23" fillId="0" borderId="47" xfId="0" applyNumberFormat="1" applyFont="1" applyBorder="1" applyAlignment="1">
      <alignment horizontal="center" vertical="center"/>
    </xf>
    <xf numFmtId="0" fontId="23" fillId="0" borderId="48" xfId="0" applyFont="1" applyBorder="1" applyAlignment="1">
      <alignment horizontal="center" vertical="center"/>
    </xf>
    <xf numFmtId="0" fontId="12" fillId="0" borderId="48" xfId="0" applyFont="1" applyBorder="1" applyAlignment="1">
      <alignment horizontal="center" vertical="center"/>
    </xf>
    <xf numFmtId="49" fontId="6" fillId="0" borderId="48" xfId="0" applyNumberFormat="1" applyFont="1" applyBorder="1" applyAlignment="1">
      <alignment horizontal="center" vertical="center"/>
    </xf>
    <xf numFmtId="0" fontId="6" fillId="0" borderId="30" xfId="0" applyFont="1" applyBorder="1" applyAlignment="1">
      <alignment horizontal="center" vertical="center"/>
    </xf>
    <xf numFmtId="0" fontId="9" fillId="6" borderId="1" xfId="0" applyFont="1" applyFill="1" applyBorder="1" applyAlignment="1">
      <alignment vertical="center"/>
    </xf>
    <xf numFmtId="49" fontId="26" fillId="6" borderId="23" xfId="0" applyNumberFormat="1" applyFont="1" applyFill="1" applyBorder="1" applyAlignment="1">
      <alignment horizontal="center" vertical="center"/>
    </xf>
    <xf numFmtId="0" fontId="26" fillId="6" borderId="24" xfId="0" applyFont="1" applyFill="1" applyBorder="1" applyAlignment="1">
      <alignment horizontal="center" vertical="center"/>
    </xf>
    <xf numFmtId="0" fontId="9" fillId="6" borderId="24" xfId="0" applyFont="1" applyFill="1" applyBorder="1" applyAlignment="1">
      <alignment horizontal="center" vertical="center"/>
    </xf>
    <xf numFmtId="0" fontId="6" fillId="0" borderId="60" xfId="0" quotePrefix="1" applyFont="1" applyBorder="1" applyAlignment="1">
      <alignment horizontal="center" vertical="center"/>
    </xf>
    <xf numFmtId="0" fontId="4" fillId="0" borderId="83" xfId="0" applyFont="1" applyBorder="1" applyAlignment="1">
      <alignment horizontal="center" vertical="center"/>
    </xf>
    <xf numFmtId="0" fontId="20" fillId="7" borderId="61" xfId="0" applyFont="1" applyFill="1" applyBorder="1" applyAlignment="1">
      <alignment horizontal="centerContinuous" vertical="center"/>
    </xf>
    <xf numFmtId="0" fontId="20" fillId="7" borderId="62" xfId="0" applyFont="1" applyFill="1" applyBorder="1" applyAlignment="1">
      <alignment horizontal="centerContinuous" vertical="center"/>
    </xf>
    <xf numFmtId="0" fontId="20" fillId="7" borderId="62" xfId="0" applyFont="1" applyFill="1" applyBorder="1" applyAlignment="1">
      <alignment horizontal="center" vertical="center"/>
    </xf>
    <xf numFmtId="0" fontId="1" fillId="0" borderId="11" xfId="0" applyFont="1" applyBorder="1" applyAlignment="1">
      <alignment horizontal="centerContinuous" vertical="center"/>
    </xf>
    <xf numFmtId="0" fontId="4" fillId="0" borderId="12" xfId="0" applyFont="1" applyBorder="1" applyAlignment="1">
      <alignment horizontal="centerContinuous" vertical="center"/>
    </xf>
    <xf numFmtId="49" fontId="1" fillId="0" borderId="12" xfId="0" applyNumberFormat="1" applyFont="1" applyBorder="1" applyAlignment="1">
      <alignment horizontal="center" vertical="center"/>
    </xf>
    <xf numFmtId="0" fontId="20" fillId="7" borderId="84" xfId="0" applyFont="1" applyFill="1" applyBorder="1" applyAlignment="1">
      <alignment horizontal="centerContinuous" vertical="center"/>
    </xf>
    <xf numFmtId="0" fontId="20" fillId="7" borderId="85" xfId="0" applyFont="1" applyFill="1" applyBorder="1" applyAlignment="1">
      <alignment horizontal="centerContinuous" vertical="center"/>
    </xf>
    <xf numFmtId="0" fontId="20" fillId="7" borderId="86" xfId="0" applyFont="1" applyFill="1" applyBorder="1" applyAlignment="1">
      <alignment horizontal="center" vertical="center"/>
    </xf>
    <xf numFmtId="164" fontId="1" fillId="0" borderId="22" xfId="0" applyNumberFormat="1" applyFont="1" applyBorder="1" applyAlignment="1">
      <alignment horizontal="centerContinuous" vertical="center"/>
    </xf>
    <xf numFmtId="164" fontId="4" fillId="0" borderId="87" xfId="0" applyNumberFormat="1" applyFont="1" applyBorder="1" applyAlignment="1">
      <alignment horizontal="centerContinuous" vertical="center"/>
    </xf>
    <xf numFmtId="0" fontId="1" fillId="0" borderId="0" xfId="5" applyAlignment="1">
      <alignment wrapText="1"/>
    </xf>
    <xf numFmtId="0" fontId="3" fillId="0" borderId="0" xfId="5" applyFont="1" applyAlignment="1">
      <alignment horizontal="right" wrapText="1"/>
    </xf>
    <xf numFmtId="0" fontId="1" fillId="0" borderId="0" xfId="5" applyAlignment="1">
      <alignment horizontal="left" wrapText="1"/>
    </xf>
    <xf numFmtId="0" fontId="6" fillId="0" borderId="59" xfId="5" applyFont="1" applyBorder="1" applyAlignment="1">
      <alignment horizontal="center" wrapText="1"/>
    </xf>
    <xf numFmtId="0" fontId="6" fillId="0" borderId="24" xfId="2" applyNumberFormat="1" applyFont="1" applyFill="1" applyBorder="1" applyAlignment="1">
      <alignment horizontal="center" shrinkToFit="1"/>
    </xf>
    <xf numFmtId="9" fontId="6" fillId="0" borderId="24" xfId="2" applyFont="1" applyFill="1" applyBorder="1" applyAlignment="1">
      <alignment horizontal="center" vertical="center" shrinkToFit="1"/>
    </xf>
    <xf numFmtId="9" fontId="6" fillId="0" borderId="23" xfId="2" applyFont="1" applyFill="1" applyBorder="1" applyAlignment="1">
      <alignment horizontal="center" shrinkToFit="1"/>
    </xf>
    <xf numFmtId="0" fontId="6" fillId="0" borderId="23" xfId="5" applyFont="1" applyBorder="1" applyAlignment="1">
      <alignment horizontal="center" wrapText="1"/>
    </xf>
    <xf numFmtId="0" fontId="6" fillId="0" borderId="24" xfId="2" applyNumberFormat="1" applyFont="1" applyBorder="1" applyAlignment="1">
      <alignment horizontal="center" shrinkToFit="1"/>
    </xf>
    <xf numFmtId="9" fontId="6" fillId="0" borderId="24" xfId="2" applyFont="1" applyBorder="1" applyAlignment="1">
      <alignment horizontal="center" shrinkToFit="1"/>
    </xf>
    <xf numFmtId="9" fontId="6" fillId="0" borderId="23" xfId="2" applyFont="1" applyBorder="1" applyAlignment="1">
      <alignment horizontal="center" shrinkToFit="1"/>
    </xf>
    <xf numFmtId="0" fontId="3" fillId="0" borderId="0" xfId="5" applyFont="1" applyAlignment="1">
      <alignment wrapText="1"/>
    </xf>
    <xf numFmtId="0" fontId="15" fillId="0" borderId="0" xfId="5" applyFont="1" applyAlignment="1">
      <alignment horizontal="centerContinuous" wrapText="1"/>
    </xf>
    <xf numFmtId="0" fontId="6" fillId="0" borderId="24" xfId="2" applyNumberFormat="1" applyFont="1" applyFill="1" applyBorder="1" applyAlignment="1">
      <alignment horizontal="center" vertical="center" shrinkToFit="1"/>
    </xf>
    <xf numFmtId="0" fontId="6" fillId="0" borderId="25" xfId="0" applyFont="1" applyBorder="1" applyAlignment="1">
      <alignment horizontal="center" vertical="center" wrapText="1"/>
    </xf>
    <xf numFmtId="0" fontId="6" fillId="0" borderId="15" xfId="2" applyNumberFormat="1" applyFont="1" applyFill="1" applyBorder="1" applyAlignment="1">
      <alignment horizontal="center" vertical="center" shrinkToFit="1"/>
    </xf>
    <xf numFmtId="0" fontId="6" fillId="0" borderId="29" xfId="0" applyFont="1" applyBorder="1" applyAlignment="1">
      <alignment horizontal="center" vertical="center" wrapText="1"/>
    </xf>
    <xf numFmtId="0" fontId="6" fillId="0" borderId="0" xfId="0" applyFont="1" applyAlignment="1">
      <alignment horizontal="centerContinuous" vertical="center"/>
    </xf>
    <xf numFmtId="0" fontId="13" fillId="6" borderId="1" xfId="0" applyFont="1" applyFill="1" applyBorder="1" applyAlignment="1">
      <alignment vertical="center"/>
    </xf>
    <xf numFmtId="0" fontId="1" fillId="0" borderId="67" xfId="0" applyFont="1" applyBorder="1" applyAlignment="1">
      <alignment horizontal="center" vertical="center"/>
    </xf>
    <xf numFmtId="0" fontId="1" fillId="0" borderId="16" xfId="0" applyFont="1" applyBorder="1" applyAlignment="1">
      <alignment horizontal="center" vertical="center"/>
    </xf>
    <xf numFmtId="0" fontId="1" fillId="0" borderId="47" xfId="0" applyFont="1" applyBorder="1" applyAlignment="1">
      <alignment horizontal="center" vertical="center"/>
    </xf>
    <xf numFmtId="164" fontId="1" fillId="0" borderId="47" xfId="0" applyNumberFormat="1" applyFont="1" applyBorder="1" applyAlignment="1">
      <alignment horizontal="center" vertical="center"/>
    </xf>
    <xf numFmtId="0" fontId="6" fillId="0" borderId="24" xfId="5" applyFont="1" applyBorder="1" applyAlignment="1">
      <alignment horizontal="center" wrapText="1"/>
    </xf>
    <xf numFmtId="49" fontId="1" fillId="0" borderId="94" xfId="2" applyNumberFormat="1" applyFont="1" applyFill="1" applyBorder="1" applyAlignment="1">
      <alignment horizontal="center" vertical="center"/>
    </xf>
    <xf numFmtId="164" fontId="1" fillId="8" borderId="94" xfId="0" applyNumberFormat="1" applyFont="1" applyFill="1" applyBorder="1" applyAlignment="1">
      <alignment horizontal="center" vertical="center"/>
    </xf>
    <xf numFmtId="1" fontId="3" fillId="0" borderId="0" xfId="0" applyNumberFormat="1" applyFont="1" applyAlignment="1">
      <alignment horizontal="center" vertical="center"/>
    </xf>
    <xf numFmtId="1" fontId="1" fillId="0" borderId="54" xfId="0" applyNumberFormat="1" applyFont="1" applyBorder="1" applyAlignment="1">
      <alignment horizontal="center" vertical="center"/>
    </xf>
    <xf numFmtId="1" fontId="1" fillId="0" borderId="79" xfId="0" applyNumberFormat="1" applyFont="1" applyBorder="1" applyAlignment="1">
      <alignment horizontal="center" vertical="center"/>
    </xf>
    <xf numFmtId="1" fontId="1" fillId="0" borderId="49" xfId="0" applyNumberFormat="1" applyFont="1" applyBorder="1" applyAlignment="1">
      <alignment horizontal="center" vertical="center"/>
    </xf>
    <xf numFmtId="1" fontId="1" fillId="0" borderId="31" xfId="0" applyNumberFormat="1" applyFont="1" applyBorder="1" applyAlignment="1">
      <alignment horizontal="center" vertical="center"/>
    </xf>
    <xf numFmtId="165" fontId="1" fillId="0" borderId="0" xfId="0" applyNumberFormat="1" applyFont="1" applyAlignment="1">
      <alignment horizontal="center" vertical="center"/>
    </xf>
    <xf numFmtId="0" fontId="1" fillId="0" borderId="0" xfId="0" applyFont="1" applyAlignment="1">
      <alignment vertical="center"/>
    </xf>
    <xf numFmtId="0" fontId="46" fillId="0" borderId="0" xfId="0" applyFont="1" applyAlignment="1">
      <alignment horizontal="centerContinuous" vertical="center" wrapText="1"/>
    </xf>
    <xf numFmtId="0" fontId="3" fillId="0" borderId="0" xfId="5" applyFont="1" applyAlignment="1">
      <alignment vertical="center" wrapText="1"/>
    </xf>
    <xf numFmtId="0" fontId="6" fillId="0" borderId="23" xfId="0" applyFont="1" applyBorder="1" applyAlignment="1">
      <alignment horizontal="center" vertical="center" shrinkToFit="1"/>
    </xf>
    <xf numFmtId="0" fontId="6" fillId="0" borderId="24" xfId="0" applyFont="1" applyBorder="1" applyAlignment="1">
      <alignment horizontal="center" vertical="center" shrinkToFit="1"/>
    </xf>
    <xf numFmtId="0" fontId="6" fillId="0" borderId="24" xfId="2" applyNumberFormat="1" applyFont="1" applyBorder="1" applyAlignment="1">
      <alignment horizontal="center" vertical="center" shrinkToFit="1"/>
    </xf>
    <xf numFmtId="9" fontId="6" fillId="0" borderId="23" xfId="2" applyFont="1" applyFill="1" applyBorder="1" applyAlignment="1">
      <alignment horizontal="center" vertical="center" shrinkToFit="1"/>
    </xf>
    <xf numFmtId="0" fontId="48" fillId="0" borderId="28" xfId="0" applyFont="1" applyBorder="1" applyAlignment="1">
      <alignment horizontal="centerContinuous" vertical="center"/>
    </xf>
    <xf numFmtId="0" fontId="49" fillId="0" borderId="28" xfId="0" applyFont="1" applyBorder="1" applyAlignment="1">
      <alignment horizontal="centerContinuous" vertical="center" wrapText="1"/>
    </xf>
    <xf numFmtId="0" fontId="50" fillId="0" borderId="28" xfId="0" applyFont="1" applyBorder="1" applyAlignment="1">
      <alignment horizontal="centerContinuous" vertical="center" wrapText="1"/>
    </xf>
    <xf numFmtId="0" fontId="51" fillId="0" borderId="28" xfId="0" applyFont="1" applyBorder="1" applyAlignment="1">
      <alignment horizontal="centerContinuous" vertical="center" wrapText="1"/>
    </xf>
    <xf numFmtId="1" fontId="1" fillId="0" borderId="79" xfId="0" applyNumberFormat="1" applyFont="1" applyBorder="1" applyAlignment="1">
      <alignment horizontal="center" vertical="center" shrinkToFit="1"/>
    </xf>
    <xf numFmtId="1" fontId="1" fillId="0" borderId="31" xfId="0" applyNumberFormat="1" applyFont="1" applyBorder="1" applyAlignment="1">
      <alignment horizontal="center" vertical="center" shrinkToFit="1"/>
    </xf>
    <xf numFmtId="1" fontId="1" fillId="0" borderId="49" xfId="0" applyNumberFormat="1" applyFont="1" applyBorder="1" applyAlignment="1">
      <alignment horizontal="center" vertical="center" shrinkToFit="1"/>
    </xf>
    <xf numFmtId="0" fontId="1" fillId="0" borderId="38" xfId="0" applyFont="1" applyBorder="1" applyAlignment="1">
      <alignment horizontal="left" vertical="center" shrinkToFit="1"/>
    </xf>
    <xf numFmtId="0" fontId="1" fillId="0" borderId="105" xfId="0" applyFont="1" applyBorder="1" applyAlignment="1">
      <alignment horizontal="center" vertical="center" shrinkToFit="1"/>
    </xf>
    <xf numFmtId="0" fontId="1" fillId="0" borderId="106" xfId="0" quotePrefix="1" applyFont="1" applyBorder="1" applyAlignment="1">
      <alignment horizontal="center" vertical="center"/>
    </xf>
    <xf numFmtId="164" fontId="1" fillId="0" borderId="106" xfId="0" applyNumberFormat="1" applyFont="1" applyBorder="1" applyAlignment="1">
      <alignment horizontal="center" vertical="center"/>
    </xf>
    <xf numFmtId="164" fontId="1" fillId="0" borderId="107" xfId="0" applyNumberFormat="1" applyFont="1" applyBorder="1" applyAlignment="1">
      <alignment horizontal="centerContinuous" vertical="center"/>
    </xf>
    <xf numFmtId="164" fontId="1" fillId="0" borderId="108" xfId="0" applyNumberFormat="1" applyFont="1" applyBorder="1" applyAlignment="1">
      <alignment horizontal="centerContinuous" vertical="center"/>
    </xf>
    <xf numFmtId="0" fontId="1" fillId="0" borderId="109" xfId="0" quotePrefix="1" applyFont="1" applyBorder="1" applyAlignment="1">
      <alignment horizontal="centerContinuous" vertical="center"/>
    </xf>
    <xf numFmtId="0" fontId="1" fillId="0" borderId="66" xfId="0" quotePrefix="1" applyFont="1" applyBorder="1" applyAlignment="1">
      <alignment horizontal="center" vertical="center"/>
    </xf>
    <xf numFmtId="0" fontId="4" fillId="0" borderId="66" xfId="0" applyFont="1" applyBorder="1" applyAlignment="1">
      <alignment horizontal="center" vertical="center"/>
    </xf>
    <xf numFmtId="9" fontId="4" fillId="0" borderId="66" xfId="0" applyNumberFormat="1" applyFont="1" applyBorder="1" applyAlignment="1">
      <alignment horizontal="center" vertical="center"/>
    </xf>
    <xf numFmtId="164" fontId="4" fillId="0" borderId="66" xfId="0" applyNumberFormat="1" applyFont="1" applyBorder="1" applyAlignment="1">
      <alignment horizontal="center" vertical="center"/>
    </xf>
    <xf numFmtId="164" fontId="4" fillId="0" borderId="68" xfId="0" applyNumberFormat="1" applyFont="1" applyBorder="1" applyAlignment="1">
      <alignment horizontal="centerContinuous" vertical="center"/>
    </xf>
    <xf numFmtId="164" fontId="1" fillId="0" borderId="110" xfId="0" applyNumberFormat="1" applyFont="1" applyBorder="1" applyAlignment="1">
      <alignment horizontal="centerContinuous" vertical="center"/>
    </xf>
    <xf numFmtId="0" fontId="4" fillId="0" borderId="111" xfId="0" quotePrefix="1" applyFont="1" applyBorder="1" applyAlignment="1">
      <alignment horizontal="centerContinuous" vertical="center"/>
    </xf>
    <xf numFmtId="0" fontId="0" fillId="0" borderId="0" xfId="0" applyAlignment="1">
      <alignment horizontal="center" vertical="center"/>
    </xf>
    <xf numFmtId="0" fontId="1" fillId="0" borderId="0" xfId="5" applyAlignment="1">
      <alignment vertical="center"/>
    </xf>
    <xf numFmtId="1" fontId="3" fillId="0" borderId="0" xfId="5" applyNumberFormat="1" applyFont="1" applyAlignment="1">
      <alignment horizontal="center" vertical="center"/>
    </xf>
    <xf numFmtId="1" fontId="1" fillId="0" borderId="0" xfId="5" applyNumberFormat="1" applyAlignment="1">
      <alignment horizontal="center" vertical="center"/>
    </xf>
    <xf numFmtId="0" fontId="3" fillId="0" borderId="0" xfId="5" applyFont="1" applyAlignment="1">
      <alignment vertical="center"/>
    </xf>
    <xf numFmtId="9" fontId="3" fillId="0" borderId="0" xfId="7" applyFont="1" applyAlignment="1">
      <alignment horizontal="center" vertical="center"/>
    </xf>
    <xf numFmtId="9" fontId="1" fillId="0" borderId="0" xfId="7" applyAlignment="1">
      <alignment horizontal="center" vertical="center"/>
    </xf>
    <xf numFmtId="0" fontId="1" fillId="0" borderId="0" xfId="0" applyFont="1" applyAlignment="1">
      <alignment horizontal="right" vertical="center"/>
    </xf>
    <xf numFmtId="0" fontId="6" fillId="0" borderId="25" xfId="0" applyFont="1" applyBorder="1" applyAlignment="1">
      <alignment horizontal="center" vertical="center" shrinkToFit="1"/>
    </xf>
    <xf numFmtId="9" fontId="6" fillId="0" borderId="59" xfId="2" applyFont="1" applyFill="1" applyBorder="1" applyAlignment="1">
      <alignment horizontal="center" vertical="center" shrinkToFit="1"/>
    </xf>
    <xf numFmtId="0" fontId="6" fillId="0" borderId="15" xfId="0" applyFont="1" applyBorder="1" applyAlignment="1">
      <alignment horizontal="center" vertical="center" shrinkToFit="1"/>
    </xf>
    <xf numFmtId="1" fontId="1" fillId="10" borderId="49" xfId="0" applyNumberFormat="1" applyFont="1" applyFill="1" applyBorder="1" applyAlignment="1">
      <alignment horizontal="center" vertical="center"/>
    </xf>
    <xf numFmtId="0" fontId="1" fillId="10" borderId="70" xfId="0" applyFont="1" applyFill="1" applyBorder="1" applyAlignment="1">
      <alignment horizontal="center" vertical="center" shrinkToFit="1"/>
    </xf>
    <xf numFmtId="0" fontId="1" fillId="10" borderId="71" xfId="0" applyFont="1" applyFill="1" applyBorder="1" applyAlignment="1">
      <alignment horizontal="center" vertical="center"/>
    </xf>
    <xf numFmtId="0" fontId="1" fillId="10" borderId="71" xfId="0" quotePrefix="1" applyFont="1" applyFill="1" applyBorder="1" applyAlignment="1">
      <alignment horizontal="center" vertical="center"/>
    </xf>
    <xf numFmtId="9" fontId="1" fillId="10" borderId="71" xfId="0" applyNumberFormat="1" applyFont="1" applyFill="1" applyBorder="1" applyAlignment="1">
      <alignment horizontal="center" vertical="center"/>
    </xf>
    <xf numFmtId="164" fontId="1" fillId="10" borderId="71" xfId="0" applyNumberFormat="1" applyFont="1" applyFill="1" applyBorder="1" applyAlignment="1">
      <alignment horizontal="center" vertical="center"/>
    </xf>
    <xf numFmtId="164" fontId="1" fillId="10" borderId="72" xfId="0" applyNumberFormat="1" applyFont="1" applyFill="1" applyBorder="1" applyAlignment="1">
      <alignment horizontal="centerContinuous" vertical="center"/>
    </xf>
    <xf numFmtId="164" fontId="4" fillId="10" borderId="73" xfId="0" applyNumberFormat="1" applyFont="1" applyFill="1" applyBorder="1" applyAlignment="1">
      <alignment horizontal="centerContinuous" vertical="center"/>
    </xf>
    <xf numFmtId="0" fontId="4" fillId="10" borderId="74" xfId="0" applyFont="1" applyFill="1" applyBorder="1" applyAlignment="1">
      <alignment horizontal="centerContinuous" vertical="center"/>
    </xf>
    <xf numFmtId="0" fontId="1" fillId="0" borderId="113" xfId="0" applyFont="1" applyBorder="1" applyAlignment="1">
      <alignment horizontal="center" vertical="center"/>
    </xf>
    <xf numFmtId="0" fontId="1" fillId="0" borderId="114" xfId="0" applyFont="1" applyBorder="1" applyAlignment="1">
      <alignment horizontal="center" vertical="center"/>
    </xf>
    <xf numFmtId="0" fontId="1" fillId="0" borderId="114" xfId="0" quotePrefix="1" applyFont="1" applyBorder="1" applyAlignment="1">
      <alignment horizontal="center" vertical="center" wrapText="1"/>
    </xf>
    <xf numFmtId="49" fontId="1" fillId="0" borderId="114" xfId="2" applyNumberFormat="1" applyFont="1" applyFill="1" applyBorder="1" applyAlignment="1">
      <alignment horizontal="center" vertical="center"/>
    </xf>
    <xf numFmtId="0" fontId="1" fillId="8" borderId="114" xfId="0" applyFont="1" applyFill="1" applyBorder="1" applyAlignment="1">
      <alignment horizontal="center" vertical="center" shrinkToFit="1"/>
    </xf>
    <xf numFmtId="164" fontId="1" fillId="8" borderId="114" xfId="0" applyNumberFormat="1" applyFont="1" applyFill="1" applyBorder="1" applyAlignment="1">
      <alignment horizontal="center" vertical="center"/>
    </xf>
    <xf numFmtId="0" fontId="4" fillId="0" borderId="47" xfId="0" quotePrefix="1" applyFont="1" applyBorder="1" applyAlignment="1">
      <alignment horizontal="center" vertical="center" wrapText="1"/>
    </xf>
    <xf numFmtId="49" fontId="1" fillId="0" borderId="47" xfId="2" applyNumberFormat="1" applyFont="1" applyBorder="1" applyAlignment="1">
      <alignment horizontal="center" vertical="center"/>
    </xf>
    <xf numFmtId="0" fontId="1" fillId="0" borderId="47" xfId="0" applyFont="1" applyBorder="1" applyAlignment="1">
      <alignment horizontal="center" vertical="center" shrinkToFit="1"/>
    </xf>
    <xf numFmtId="164" fontId="4" fillId="0" borderId="48" xfId="0" applyNumberFormat="1" applyFont="1" applyBorder="1" applyAlignment="1">
      <alignment horizontal="center" vertical="center"/>
    </xf>
    <xf numFmtId="0" fontId="1" fillId="0" borderId="114" xfId="0" quotePrefix="1" applyFont="1" applyBorder="1" applyAlignment="1">
      <alignment horizontal="center" vertical="center"/>
    </xf>
    <xf numFmtId="164" fontId="4" fillId="0" borderId="114" xfId="0" applyNumberFormat="1" applyFont="1" applyBorder="1" applyAlignment="1">
      <alignment horizontal="center" vertical="center"/>
    </xf>
    <xf numFmtId="0" fontId="53" fillId="2" borderId="81" xfId="0" applyFont="1" applyFill="1" applyBorder="1" applyAlignment="1">
      <alignment horizontal="center" vertical="center"/>
    </xf>
    <xf numFmtId="9" fontId="6" fillId="0" borderId="59" xfId="2" applyFont="1" applyBorder="1" applyAlignment="1">
      <alignment horizontal="center" shrinkToFit="1"/>
    </xf>
    <xf numFmtId="9" fontId="6" fillId="0" borderId="15" xfId="2" applyFont="1" applyBorder="1" applyAlignment="1">
      <alignment horizontal="center" shrinkToFit="1"/>
    </xf>
    <xf numFmtId="9" fontId="6" fillId="0" borderId="15" xfId="7" applyFont="1" applyFill="1" applyBorder="1" applyAlignment="1">
      <alignment horizontal="center" vertical="center" shrinkToFit="1"/>
    </xf>
    <xf numFmtId="0" fontId="6" fillId="0" borderId="15" xfId="2" applyNumberFormat="1" applyFont="1" applyBorder="1" applyAlignment="1">
      <alignment horizontal="center" shrinkToFit="1"/>
    </xf>
    <xf numFmtId="0" fontId="6" fillId="0" borderId="15" xfId="7" applyNumberFormat="1" applyFont="1" applyFill="1" applyBorder="1" applyAlignment="1">
      <alignment horizontal="center" vertical="center" shrinkToFit="1"/>
    </xf>
    <xf numFmtId="0" fontId="6" fillId="0" borderId="29" xfId="0" applyFont="1" applyBorder="1" applyAlignment="1">
      <alignment horizontal="center" vertical="center"/>
    </xf>
    <xf numFmtId="164" fontId="4" fillId="0" borderId="107" xfId="0" applyNumberFormat="1" applyFont="1" applyBorder="1" applyAlignment="1">
      <alignment horizontal="center" vertical="center"/>
    </xf>
    <xf numFmtId="1" fontId="1" fillId="0" borderId="106" xfId="0" applyNumberFormat="1" applyFont="1" applyBorder="1" applyAlignment="1">
      <alignment horizontal="center" vertical="center"/>
    </xf>
    <xf numFmtId="0" fontId="1" fillId="0" borderId="105" xfId="0" applyFont="1" applyBorder="1" applyAlignment="1">
      <alignment horizontal="center" vertical="center"/>
    </xf>
    <xf numFmtId="0" fontId="1" fillId="0" borderId="106" xfId="0" applyFont="1" applyBorder="1" applyAlignment="1">
      <alignment horizontal="center" vertical="center"/>
    </xf>
    <xf numFmtId="0" fontId="1" fillId="0" borderId="106" xfId="0" quotePrefix="1" applyFont="1" applyBorder="1" applyAlignment="1">
      <alignment horizontal="center" vertical="center" wrapText="1"/>
    </xf>
    <xf numFmtId="49" fontId="1" fillId="0" borderId="106" xfId="2" applyNumberFormat="1" applyFont="1" applyFill="1" applyBorder="1" applyAlignment="1">
      <alignment horizontal="center" vertical="center"/>
    </xf>
    <xf numFmtId="164" fontId="1" fillId="8" borderId="66" xfId="0" applyNumberFormat="1" applyFont="1" applyFill="1" applyBorder="1" applyAlignment="1">
      <alignment horizontal="center" vertical="center"/>
    </xf>
    <xf numFmtId="1" fontId="1" fillId="0" borderId="117" xfId="0" applyNumberFormat="1" applyFont="1" applyBorder="1" applyAlignment="1">
      <alignment horizontal="center" vertical="center"/>
    </xf>
    <xf numFmtId="1" fontId="1" fillId="0" borderId="55" xfId="0" applyNumberFormat="1" applyFont="1" applyBorder="1" applyAlignment="1">
      <alignment horizontal="center" vertical="center"/>
    </xf>
    <xf numFmtId="1" fontId="1" fillId="0" borderId="92" xfId="0" applyNumberFormat="1" applyFont="1" applyBorder="1" applyAlignment="1">
      <alignment horizontal="center" vertical="center"/>
    </xf>
    <xf numFmtId="0" fontId="1" fillId="0" borderId="115" xfId="0" applyFont="1" applyBorder="1" applyAlignment="1">
      <alignment horizontal="center" vertical="center"/>
    </xf>
    <xf numFmtId="0" fontId="1" fillId="0" borderId="116" xfId="0" applyFont="1" applyBorder="1" applyAlignment="1">
      <alignment horizontal="center" vertical="center"/>
    </xf>
    <xf numFmtId="0" fontId="1" fillId="0" borderId="69" xfId="0" applyFont="1" applyBorder="1" applyAlignment="1">
      <alignment horizontal="center" vertical="center"/>
    </xf>
    <xf numFmtId="0" fontId="4" fillId="0" borderId="30" xfId="0" applyFont="1" applyBorder="1" applyAlignment="1">
      <alignment horizontal="center" vertical="center"/>
    </xf>
    <xf numFmtId="0" fontId="1" fillId="0" borderId="70" xfId="0" applyFont="1" applyBorder="1" applyAlignment="1">
      <alignment horizontal="center" vertical="center"/>
    </xf>
    <xf numFmtId="0" fontId="1" fillId="0" borderId="71" xfId="0" applyFont="1" applyBorder="1" applyAlignment="1">
      <alignment horizontal="center" vertical="center"/>
    </xf>
    <xf numFmtId="49" fontId="1" fillId="0" borderId="71" xfId="0" applyNumberFormat="1" applyFont="1" applyBorder="1" applyAlignment="1">
      <alignment horizontal="center" vertical="center"/>
    </xf>
    <xf numFmtId="164" fontId="1" fillId="8" borderId="71" xfId="0" applyNumberFormat="1" applyFont="1" applyFill="1" applyBorder="1" applyAlignment="1">
      <alignment horizontal="center" vertical="center"/>
    </xf>
    <xf numFmtId="164" fontId="1" fillId="0" borderId="72" xfId="0" applyNumberFormat="1" applyFont="1" applyBorder="1" applyAlignment="1">
      <alignment horizontal="center" vertical="center"/>
    </xf>
    <xf numFmtId="1" fontId="1" fillId="0" borderId="71" xfId="0" applyNumberFormat="1" applyFont="1" applyBorder="1" applyAlignment="1">
      <alignment horizontal="center" vertical="center"/>
    </xf>
    <xf numFmtId="0" fontId="41" fillId="4" borderId="118" xfId="0" applyFont="1" applyFill="1" applyBorder="1" applyAlignment="1">
      <alignment horizontal="right" vertical="center"/>
    </xf>
    <xf numFmtId="0" fontId="1" fillId="0" borderId="40" xfId="0" applyFont="1" applyBorder="1" applyAlignment="1">
      <alignment horizontal="left" vertical="center" shrinkToFit="1"/>
    </xf>
    <xf numFmtId="0" fontId="53" fillId="0" borderId="5" xfId="0" applyFont="1" applyBorder="1" applyAlignment="1">
      <alignment horizontal="centerContinuous" vertical="center"/>
    </xf>
    <xf numFmtId="0" fontId="3" fillId="0" borderId="6" xfId="0" applyFont="1" applyBorder="1" applyAlignment="1">
      <alignment horizontal="centerContinuous" vertical="center"/>
    </xf>
    <xf numFmtId="0" fontId="1" fillId="0" borderId="6" xfId="0" applyFont="1" applyBorder="1" applyAlignment="1">
      <alignment horizontal="centerContinuous" vertical="center" wrapText="1"/>
    </xf>
    <xf numFmtId="0" fontId="1" fillId="0" borderId="7" xfId="0" applyFont="1" applyBorder="1" applyAlignment="1">
      <alignment horizontal="centerContinuous" vertical="center" wrapText="1"/>
    </xf>
    <xf numFmtId="0" fontId="53" fillId="0" borderId="8" xfId="0" applyFont="1" applyBorder="1" applyAlignment="1">
      <alignment horizontal="center" vertical="center"/>
    </xf>
    <xf numFmtId="0" fontId="53" fillId="0" borderId="9" xfId="0" applyFont="1" applyBorder="1" applyAlignment="1">
      <alignment horizontal="center" vertical="center"/>
    </xf>
    <xf numFmtId="0" fontId="53" fillId="0" borderId="10" xfId="0" applyFont="1" applyBorder="1" applyAlignment="1">
      <alignment horizontal="center" vertical="center"/>
    </xf>
    <xf numFmtId="0" fontId="3" fillId="0" borderId="119" xfId="0" applyFont="1" applyBorder="1" applyAlignment="1">
      <alignment horizontal="right" vertical="center"/>
    </xf>
    <xf numFmtId="0" fontId="1" fillId="0" borderId="120" xfId="0" applyFont="1" applyBorder="1" applyAlignment="1">
      <alignment horizontal="center" vertical="center" wrapText="1"/>
    </xf>
    <xf numFmtId="0" fontId="1" fillId="0" borderId="121" xfId="0" applyFont="1" applyBorder="1" applyAlignment="1">
      <alignment horizontal="center" vertical="center" wrapText="1"/>
    </xf>
    <xf numFmtId="0" fontId="3" fillId="0" borderId="31" xfId="0" applyFont="1" applyBorder="1" applyAlignment="1">
      <alignment horizontal="right" vertical="center"/>
    </xf>
    <xf numFmtId="0" fontId="1" fillId="0" borderId="102" xfId="0" applyFont="1" applyBorder="1" applyAlignment="1">
      <alignment horizontal="center" vertical="center" wrapText="1"/>
    </xf>
    <xf numFmtId="0" fontId="3" fillId="0" borderId="123" xfId="0" applyFont="1" applyBorder="1" applyAlignment="1">
      <alignment horizontal="right" vertical="center"/>
    </xf>
    <xf numFmtId="0" fontId="55" fillId="7" borderId="124" xfId="0" applyFont="1" applyFill="1" applyBorder="1" applyAlignment="1">
      <alignment horizontal="center" vertical="center" wrapText="1"/>
    </xf>
    <xf numFmtId="0" fontId="3" fillId="0" borderId="55" xfId="0" applyFont="1" applyBorder="1" applyAlignment="1">
      <alignment horizontal="right" vertical="center"/>
    </xf>
    <xf numFmtId="49" fontId="1" fillId="0" borderId="100" xfId="0" applyNumberFormat="1" applyFont="1" applyBorder="1" applyAlignment="1">
      <alignment horizontal="center" vertical="center" wrapText="1"/>
    </xf>
    <xf numFmtId="49" fontId="1" fillId="11" borderId="45" xfId="0" applyNumberFormat="1" applyFont="1" applyFill="1" applyBorder="1" applyAlignment="1">
      <alignment horizontal="center" vertical="center" wrapText="1"/>
    </xf>
    <xf numFmtId="0" fontId="3" fillId="0" borderId="49" xfId="0" applyFont="1" applyBorder="1" applyAlignment="1">
      <alignment horizontal="right" vertical="center"/>
    </xf>
    <xf numFmtId="0" fontId="55" fillId="7" borderId="104" xfId="0" applyFont="1" applyFill="1" applyBorder="1" applyAlignment="1">
      <alignment horizontal="center" vertical="center" wrapText="1"/>
    </xf>
    <xf numFmtId="0" fontId="1" fillId="0" borderId="0" xfId="0" applyFont="1" applyAlignment="1">
      <alignment vertical="center" wrapText="1"/>
    </xf>
    <xf numFmtId="0" fontId="11" fillId="9" borderId="91" xfId="5" applyFont="1" applyFill="1" applyBorder="1" applyAlignment="1">
      <alignment horizontal="centerContinuous" vertical="center" wrapText="1"/>
    </xf>
    <xf numFmtId="0" fontId="11" fillId="9" borderId="90" xfId="5" applyFont="1" applyFill="1" applyBorder="1" applyAlignment="1">
      <alignment horizontal="center" vertical="center" wrapText="1"/>
    </xf>
    <xf numFmtId="0" fontId="20" fillId="9" borderId="90" xfId="5" applyFont="1" applyFill="1" applyBorder="1" applyAlignment="1">
      <alignment horizontal="center" vertical="center" wrapText="1"/>
    </xf>
    <xf numFmtId="0" fontId="11" fillId="9" borderId="90" xfId="0" applyFont="1" applyFill="1" applyBorder="1" applyAlignment="1">
      <alignment horizontal="center" vertical="center" wrapText="1"/>
    </xf>
    <xf numFmtId="0" fontId="11" fillId="9" borderId="89" xfId="0" applyFont="1" applyFill="1" applyBorder="1" applyAlignment="1">
      <alignment horizontal="centerContinuous" vertical="center" wrapText="1"/>
    </xf>
    <xf numFmtId="0" fontId="56" fillId="0" borderId="21" xfId="5" applyFont="1" applyBorder="1" applyAlignment="1">
      <alignment horizontal="centerContinuous" wrapText="1"/>
    </xf>
    <xf numFmtId="0" fontId="57" fillId="0" borderId="1" xfId="5" applyFont="1" applyBorder="1" applyAlignment="1">
      <alignment horizontal="center" shrinkToFit="1"/>
    </xf>
    <xf numFmtId="0" fontId="57" fillId="0" borderId="58" xfId="5" applyFont="1" applyBorder="1" applyAlignment="1">
      <alignment horizontal="center" shrinkToFit="1"/>
    </xf>
    <xf numFmtId="0" fontId="58" fillId="2" borderId="81" xfId="0" applyFont="1" applyFill="1" applyBorder="1" applyAlignment="1">
      <alignment horizontal="left" vertical="center"/>
    </xf>
    <xf numFmtId="0" fontId="59" fillId="2" borderId="82" xfId="1" applyFont="1" applyFill="1" applyBorder="1" applyAlignment="1" applyProtection="1">
      <alignment horizontal="right" vertical="center"/>
    </xf>
    <xf numFmtId="1" fontId="1" fillId="12" borderId="79" xfId="0" applyNumberFormat="1" applyFont="1" applyFill="1" applyBorder="1" applyAlignment="1">
      <alignment horizontal="center" vertical="center"/>
    </xf>
    <xf numFmtId="1" fontId="1" fillId="12" borderId="55" xfId="0" applyNumberFormat="1" applyFont="1" applyFill="1" applyBorder="1" applyAlignment="1">
      <alignment horizontal="center" vertical="center"/>
    </xf>
    <xf numFmtId="0" fontId="1" fillId="12" borderId="24" xfId="0" applyFont="1" applyFill="1" applyBorder="1" applyAlignment="1">
      <alignment horizontal="center" vertical="center"/>
    </xf>
    <xf numFmtId="0" fontId="1" fillId="12" borderId="25" xfId="0" applyFont="1" applyFill="1" applyBorder="1" applyAlignment="1">
      <alignment horizontal="center" vertical="center"/>
    </xf>
    <xf numFmtId="0" fontId="1" fillId="12" borderId="14" xfId="0" applyFont="1" applyFill="1" applyBorder="1" applyAlignment="1">
      <alignment horizontal="center" vertical="center"/>
    </xf>
    <xf numFmtId="0" fontId="1" fillId="12" borderId="23" xfId="0" applyFont="1" applyFill="1" applyBorder="1" applyAlignment="1">
      <alignment horizontal="center" vertical="center"/>
    </xf>
    <xf numFmtId="49" fontId="1" fillId="12" borderId="23" xfId="2" applyNumberFormat="1" applyFont="1" applyFill="1" applyBorder="1" applyAlignment="1">
      <alignment horizontal="center" vertical="center"/>
    </xf>
    <xf numFmtId="0" fontId="1" fillId="12" borderId="23" xfId="0" applyFont="1" applyFill="1" applyBorder="1" applyAlignment="1">
      <alignment horizontal="center" vertical="center" shrinkToFit="1"/>
    </xf>
    <xf numFmtId="164" fontId="1" fillId="12" borderId="23" xfId="0" applyNumberFormat="1" applyFont="1" applyFill="1" applyBorder="1" applyAlignment="1">
      <alignment horizontal="center" vertical="center"/>
    </xf>
    <xf numFmtId="164" fontId="1" fillId="12" borderId="24" xfId="0" applyNumberFormat="1" applyFont="1" applyFill="1" applyBorder="1" applyAlignment="1">
      <alignment horizontal="center" vertical="center"/>
    </xf>
    <xf numFmtId="0" fontId="1" fillId="12" borderId="23" xfId="2" applyNumberFormat="1" applyFont="1" applyFill="1" applyBorder="1" applyAlignment="1">
      <alignment horizontal="center" vertical="center"/>
    </xf>
    <xf numFmtId="0" fontId="20" fillId="7" borderId="126" xfId="0" applyFont="1" applyFill="1" applyBorder="1" applyAlignment="1">
      <alignment horizontal="centerContinuous" vertical="center"/>
    </xf>
    <xf numFmtId="0" fontId="20" fillId="7" borderId="127" xfId="0" applyFont="1" applyFill="1" applyBorder="1" applyAlignment="1">
      <alignment horizontal="center" vertical="center"/>
    </xf>
    <xf numFmtId="1" fontId="20" fillId="7" borderId="28" xfId="0" applyNumberFormat="1" applyFont="1" applyFill="1" applyBorder="1" applyAlignment="1">
      <alignment horizontal="center" vertical="center"/>
    </xf>
    <xf numFmtId="0" fontId="1" fillId="0" borderId="35" xfId="0" applyFont="1" applyBorder="1" applyAlignment="1">
      <alignment horizontal="centerContinuous" vertical="center" shrinkToFit="1"/>
    </xf>
    <xf numFmtId="0" fontId="20" fillId="0" borderId="110" xfId="0" applyFont="1" applyBorder="1" applyAlignment="1">
      <alignment horizontal="centerContinuous" vertical="center"/>
    </xf>
    <xf numFmtId="0" fontId="20" fillId="0" borderId="102" xfId="0" applyFont="1" applyBorder="1" applyAlignment="1">
      <alignment horizontal="centerContinuous" vertical="center"/>
    </xf>
    <xf numFmtId="0" fontId="1" fillId="0" borderId="37" xfId="0" applyFont="1" applyBorder="1" applyAlignment="1">
      <alignment horizontal="center" vertical="center"/>
    </xf>
    <xf numFmtId="0" fontId="1" fillId="0" borderId="36" xfId="0" applyFont="1" applyBorder="1" applyAlignment="1">
      <alignment horizontal="center" vertical="center"/>
    </xf>
    <xf numFmtId="0" fontId="1" fillId="0" borderId="111" xfId="0" applyFont="1" applyBorder="1" applyAlignment="1">
      <alignment horizontal="centerContinuous" vertical="center"/>
    </xf>
    <xf numFmtId="0" fontId="1" fillId="0" borderId="41" xfId="0" applyFont="1" applyBorder="1" applyAlignment="1">
      <alignment horizontal="centerContinuous" vertical="center" shrinkToFit="1"/>
    </xf>
    <xf numFmtId="0" fontId="1" fillId="0" borderId="73" xfId="0" applyFont="1" applyBorder="1" applyAlignment="1">
      <alignment horizontal="centerContinuous" vertical="center"/>
    </xf>
    <xf numFmtId="0" fontId="1" fillId="0" borderId="104" xfId="0" applyFont="1" applyBorder="1" applyAlignment="1">
      <alignment horizontal="centerContinuous" vertical="center"/>
    </xf>
    <xf numFmtId="49" fontId="1" fillId="0" borderId="43" xfId="0" applyNumberFormat="1" applyFont="1" applyBorder="1" applyAlignment="1">
      <alignment horizontal="center" vertical="center"/>
    </xf>
    <xf numFmtId="49" fontId="1" fillId="0" borderId="42" xfId="0" applyNumberFormat="1" applyFont="1" applyBorder="1" applyAlignment="1">
      <alignment horizontal="center" vertical="center"/>
    </xf>
    <xf numFmtId="0" fontId="1" fillId="0" borderId="74" xfId="0" applyFont="1" applyBorder="1" applyAlignment="1">
      <alignment horizontal="centerContinuous" vertical="center"/>
    </xf>
    <xf numFmtId="1" fontId="1" fillId="0" borderId="114" xfId="0" applyNumberFormat="1" applyFont="1" applyBorder="1" applyAlignment="1">
      <alignment horizontal="center" vertical="center"/>
    </xf>
    <xf numFmtId="0" fontId="1" fillId="0" borderId="129" xfId="0" applyFont="1" applyBorder="1" applyAlignment="1">
      <alignment horizontal="center" vertical="center"/>
    </xf>
    <xf numFmtId="164" fontId="4" fillId="0" borderId="128" xfId="0" applyNumberFormat="1" applyFont="1" applyBorder="1" applyAlignment="1">
      <alignment horizontal="center" vertical="center"/>
    </xf>
    <xf numFmtId="0" fontId="6" fillId="0" borderId="25" xfId="0" applyFont="1" applyBorder="1" applyAlignment="1">
      <alignment horizontal="center"/>
    </xf>
    <xf numFmtId="9" fontId="6" fillId="0" borderId="24" xfId="2" applyFont="1" applyFill="1" applyBorder="1" applyAlignment="1">
      <alignment horizontal="center" shrinkToFit="1"/>
    </xf>
    <xf numFmtId="0" fontId="1" fillId="0" borderId="106" xfId="0" applyFont="1" applyBorder="1" applyAlignment="1">
      <alignment horizontal="center" vertical="center" shrinkToFit="1"/>
    </xf>
    <xf numFmtId="0" fontId="1" fillId="0" borderId="114" xfId="0" applyFont="1" applyBorder="1" applyAlignment="1">
      <alignment horizontal="center" vertical="center" shrinkToFit="1"/>
    </xf>
    <xf numFmtId="0" fontId="1" fillId="12" borderId="93" xfId="0" applyFont="1" applyFill="1" applyBorder="1" applyAlignment="1">
      <alignment horizontal="center" vertical="center"/>
    </xf>
    <xf numFmtId="0" fontId="1" fillId="12" borderId="94" xfId="0" applyFont="1" applyFill="1" applyBorder="1" applyAlignment="1">
      <alignment horizontal="center" vertical="center"/>
    </xf>
    <xf numFmtId="0" fontId="1" fillId="12" borderId="94" xfId="0" quotePrefix="1" applyFont="1" applyFill="1" applyBorder="1" applyAlignment="1">
      <alignment horizontal="center" vertical="center"/>
    </xf>
    <xf numFmtId="9" fontId="1" fillId="12" borderId="94" xfId="0" applyNumberFormat="1" applyFont="1" applyFill="1" applyBorder="1" applyAlignment="1">
      <alignment horizontal="center" vertical="center"/>
    </xf>
    <xf numFmtId="164" fontId="1" fillId="12" borderId="94" xfId="0" applyNumberFormat="1" applyFont="1" applyFill="1" applyBorder="1" applyAlignment="1">
      <alignment horizontal="center" vertical="center"/>
    </xf>
    <xf numFmtId="164" fontId="4" fillId="12" borderId="130" xfId="0" applyNumberFormat="1" applyFont="1" applyFill="1" applyBorder="1" applyAlignment="1">
      <alignment horizontal="centerContinuous" vertical="center"/>
    </xf>
    <xf numFmtId="164" fontId="1" fillId="12" borderId="131" xfId="0" applyNumberFormat="1" applyFont="1" applyFill="1" applyBorder="1" applyAlignment="1">
      <alignment horizontal="centerContinuous" vertical="center"/>
    </xf>
    <xf numFmtId="0" fontId="4" fillId="12" borderId="132" xfId="0" quotePrefix="1" applyFont="1" applyFill="1" applyBorder="1" applyAlignment="1">
      <alignment horizontal="centerContinuous" vertical="center"/>
    </xf>
    <xf numFmtId="1" fontId="1" fillId="12" borderId="92" xfId="0" applyNumberFormat="1" applyFont="1" applyFill="1" applyBorder="1" applyAlignment="1">
      <alignment horizontal="center" vertical="center"/>
    </xf>
    <xf numFmtId="9" fontId="6" fillId="0" borderId="59" xfId="2" applyFont="1" applyFill="1" applyBorder="1" applyAlignment="1">
      <alignment horizontal="center" shrinkToFit="1"/>
    </xf>
    <xf numFmtId="9" fontId="6" fillId="0" borderId="15" xfId="2" applyFont="1" applyFill="1" applyBorder="1" applyAlignment="1">
      <alignment horizontal="center" shrinkToFit="1"/>
    </xf>
    <xf numFmtId="0" fontId="6" fillId="0" borderId="15" xfId="2" applyNumberFormat="1" applyFont="1" applyFill="1" applyBorder="1" applyAlignment="1">
      <alignment horizontal="center" shrinkToFit="1"/>
    </xf>
    <xf numFmtId="1" fontId="6" fillId="0" borderId="26" xfId="0" applyNumberFormat="1" applyFont="1" applyBorder="1" applyAlignment="1">
      <alignment horizontal="center" vertical="center"/>
    </xf>
    <xf numFmtId="1" fontId="6" fillId="0" borderId="3" xfId="0" applyNumberFormat="1" applyFont="1" applyBorder="1" applyAlignment="1">
      <alignment horizontal="centerContinuous" vertical="center"/>
    </xf>
    <xf numFmtId="1" fontId="1" fillId="0" borderId="77" xfId="0" applyNumberFormat="1" applyFont="1" applyBorder="1" applyAlignment="1">
      <alignment horizontal="centerContinuous" vertical="center"/>
    </xf>
    <xf numFmtId="0" fontId="25" fillId="0" borderId="15" xfId="0" applyFont="1" applyBorder="1" applyAlignment="1">
      <alignment horizontal="center" vertical="center"/>
    </xf>
    <xf numFmtId="49" fontId="25" fillId="0" borderId="15" xfId="0" applyNumberFormat="1" applyFont="1" applyBorder="1" applyAlignment="1">
      <alignment horizontal="center" vertical="center"/>
    </xf>
    <xf numFmtId="49" fontId="25" fillId="0" borderId="3" xfId="0" applyNumberFormat="1" applyFont="1" applyBorder="1" applyAlignment="1">
      <alignment horizontal="center" vertical="center"/>
    </xf>
    <xf numFmtId="49" fontId="25" fillId="0" borderId="22" xfId="0" applyNumberFormat="1" applyFont="1" applyBorder="1" applyAlignment="1">
      <alignment horizontal="center" vertical="center"/>
    </xf>
    <xf numFmtId="0" fontId="6" fillId="0" borderId="55" xfId="0" quotePrefix="1" applyFont="1" applyBorder="1" applyAlignment="1">
      <alignment horizontal="centerContinuous" vertical="center"/>
    </xf>
    <xf numFmtId="0" fontId="9" fillId="0" borderId="78" xfId="0" applyFont="1" applyBorder="1" applyAlignment="1">
      <alignment horizontal="centerContinuous" vertical="center" shrinkToFit="1"/>
    </xf>
    <xf numFmtId="0" fontId="52" fillId="0" borderId="55" xfId="0" applyFont="1" applyBorder="1" applyAlignment="1">
      <alignment horizontal="centerContinuous" vertical="center"/>
    </xf>
    <xf numFmtId="0" fontId="6" fillId="0" borderId="31" xfId="0" applyFont="1" applyBorder="1" applyAlignment="1">
      <alignment horizontal="centerContinuous" vertical="center"/>
    </xf>
    <xf numFmtId="0" fontId="6" fillId="0" borderId="49" xfId="0" applyFont="1" applyBorder="1" applyAlignment="1">
      <alignment horizontal="centerContinuous" vertical="center"/>
    </xf>
    <xf numFmtId="0" fontId="55" fillId="7" borderId="61" xfId="0" applyFont="1" applyFill="1" applyBorder="1" applyAlignment="1">
      <alignment horizontal="center" vertical="center"/>
    </xf>
    <xf numFmtId="0" fontId="55" fillId="7" borderId="85" xfId="0" applyFont="1" applyFill="1" applyBorder="1" applyAlignment="1">
      <alignment horizontal="centerContinuous" vertical="center"/>
    </xf>
    <xf numFmtId="0" fontId="55" fillId="7" borderId="84" xfId="0" applyFont="1" applyFill="1" applyBorder="1" applyAlignment="1">
      <alignment horizontal="centerContinuous" vertical="center"/>
    </xf>
    <xf numFmtId="0" fontId="55" fillId="7" borderId="86" xfId="0" applyFont="1" applyFill="1" applyBorder="1" applyAlignment="1">
      <alignment horizontal="centerContinuous" vertical="center"/>
    </xf>
    <xf numFmtId="0" fontId="3" fillId="0" borderId="16" xfId="0" applyFont="1" applyBorder="1" applyAlignment="1">
      <alignment horizontal="center" vertical="center"/>
    </xf>
    <xf numFmtId="0" fontId="1" fillId="0" borderId="9" xfId="0" applyFont="1" applyBorder="1" applyAlignment="1">
      <alignment horizontal="centerContinuous" vertical="center" wrapText="1"/>
    </xf>
    <xf numFmtId="0" fontId="3" fillId="0" borderId="48" xfId="0" applyFont="1" applyBorder="1" applyAlignment="1">
      <alignment horizontal="centerContinuous" vertical="center" wrapText="1"/>
    </xf>
    <xf numFmtId="0" fontId="1" fillId="0" borderId="10" xfId="0" applyFont="1" applyBorder="1" applyAlignment="1">
      <alignment horizontal="centerContinuous" vertical="center" wrapText="1"/>
    </xf>
    <xf numFmtId="0" fontId="6" fillId="0" borderId="79" xfId="0" applyFont="1" applyBorder="1" applyAlignment="1">
      <alignment horizontal="centerContinuous" vertical="center"/>
    </xf>
    <xf numFmtId="0" fontId="47" fillId="0" borderId="17" xfId="0" applyFont="1" applyBorder="1" applyAlignment="1">
      <alignment horizontal="center" vertical="center"/>
    </xf>
    <xf numFmtId="0" fontId="47" fillId="0" borderId="96" xfId="0" applyFont="1" applyBorder="1" applyAlignment="1">
      <alignment horizontal="center" vertical="center"/>
    </xf>
    <xf numFmtId="0" fontId="47" fillId="0" borderId="97" xfId="0" applyFont="1" applyBorder="1" applyAlignment="1">
      <alignment horizontal="center" vertical="center"/>
    </xf>
    <xf numFmtId="0" fontId="47" fillId="0" borderId="98" xfId="0" applyFont="1" applyBorder="1" applyAlignment="1">
      <alignment horizontal="center" vertical="center"/>
    </xf>
    <xf numFmtId="0" fontId="6" fillId="0" borderId="55" xfId="0" applyFont="1" applyBorder="1" applyAlignment="1">
      <alignment horizontal="centerContinuous" vertical="center"/>
    </xf>
    <xf numFmtId="0" fontId="0" fillId="0" borderId="99" xfId="0" applyBorder="1" applyAlignment="1">
      <alignment horizontal="center" vertical="center"/>
    </xf>
    <xf numFmtId="1" fontId="0" fillId="0" borderId="100" xfId="0" applyNumberFormat="1" applyBorder="1" applyAlignment="1">
      <alignment horizontal="center" vertical="center"/>
    </xf>
    <xf numFmtId="0" fontId="0" fillId="0" borderId="36" xfId="0" applyBorder="1" applyAlignment="1">
      <alignment horizontal="center" vertical="center"/>
    </xf>
    <xf numFmtId="0" fontId="0" fillId="8" borderId="46" xfId="0" applyFill="1" applyBorder="1" applyAlignment="1">
      <alignment horizontal="center" vertical="center"/>
    </xf>
    <xf numFmtId="0" fontId="0" fillId="8" borderId="45" xfId="0" applyFill="1" applyBorder="1" applyAlignment="1">
      <alignment horizontal="center" vertical="center"/>
    </xf>
    <xf numFmtId="0" fontId="0" fillId="0" borderId="101" xfId="0" applyBorder="1" applyAlignment="1">
      <alignment horizontal="center" vertical="center"/>
    </xf>
    <xf numFmtId="1" fontId="0" fillId="0" borderId="102" xfId="0" applyNumberFormat="1" applyBorder="1" applyAlignment="1">
      <alignment horizontal="center" vertical="center"/>
    </xf>
    <xf numFmtId="0" fontId="0" fillId="8" borderId="36" xfId="0" applyFill="1" applyBorder="1" applyAlignment="1">
      <alignment horizontal="center" vertical="center"/>
    </xf>
    <xf numFmtId="0" fontId="0" fillId="8" borderId="38" xfId="0" applyFill="1" applyBorder="1" applyAlignment="1">
      <alignment horizontal="center" vertical="center"/>
    </xf>
    <xf numFmtId="0" fontId="0" fillId="0" borderId="103" xfId="0" applyBorder="1" applyAlignment="1">
      <alignment horizontal="center" vertical="center"/>
    </xf>
    <xf numFmtId="1" fontId="0" fillId="0" borderId="104" xfId="0" applyNumberFormat="1" applyBorder="1" applyAlignment="1">
      <alignment horizontal="center" vertical="center"/>
    </xf>
    <xf numFmtId="0" fontId="0" fillId="0" borderId="42" xfId="0" applyBorder="1" applyAlignment="1">
      <alignment horizontal="center" vertical="center"/>
    </xf>
    <xf numFmtId="0" fontId="1" fillId="0" borderId="133" xfId="0" applyFont="1" applyBorder="1" applyAlignment="1">
      <alignment horizontal="center" vertical="center" shrinkToFit="1"/>
    </xf>
    <xf numFmtId="0" fontId="1" fillId="0" borderId="134" xfId="0" applyFont="1" applyBorder="1" applyAlignment="1">
      <alignment horizontal="center" vertical="center"/>
    </xf>
    <xf numFmtId="0" fontId="1" fillId="0" borderId="134" xfId="0" quotePrefix="1" applyFont="1" applyBorder="1" applyAlignment="1">
      <alignment horizontal="center" vertical="center"/>
    </xf>
    <xf numFmtId="9" fontId="1" fillId="0" borderId="134" xfId="0" applyNumberFormat="1" applyFont="1" applyBorder="1" applyAlignment="1">
      <alignment horizontal="center" vertical="center"/>
    </xf>
    <xf numFmtId="49" fontId="1" fillId="0" borderId="134" xfId="0" quotePrefix="1" applyNumberFormat="1" applyFont="1" applyBorder="1" applyAlignment="1">
      <alignment horizontal="center" vertical="center"/>
    </xf>
    <xf numFmtId="164" fontId="1" fillId="0" borderId="134" xfId="0" applyNumberFormat="1" applyFont="1" applyBorder="1" applyAlignment="1">
      <alignment horizontal="center" vertical="center"/>
    </xf>
    <xf numFmtId="164" fontId="1" fillId="0" borderId="135" xfId="0" applyNumberFormat="1" applyFont="1" applyBorder="1" applyAlignment="1">
      <alignment horizontal="centerContinuous" vertical="center"/>
    </xf>
    <xf numFmtId="164" fontId="1" fillId="0" borderId="136" xfId="0" applyNumberFormat="1" applyFont="1" applyBorder="1" applyAlignment="1">
      <alignment horizontal="centerContinuous" vertical="center"/>
    </xf>
    <xf numFmtId="0" fontId="1" fillId="0" borderId="137" xfId="0" quotePrefix="1" applyFont="1" applyBorder="1" applyAlignment="1">
      <alignment horizontal="centerContinuous" vertical="center"/>
    </xf>
    <xf numFmtId="0" fontId="1" fillId="0" borderId="37" xfId="0" applyFont="1" applyBorder="1" applyAlignment="1">
      <alignment horizontal="left" vertical="center"/>
    </xf>
    <xf numFmtId="0" fontId="39" fillId="0" borderId="23" xfId="0" applyFont="1" applyBorder="1" applyAlignment="1">
      <alignment horizontal="center" vertical="center"/>
    </xf>
    <xf numFmtId="0" fontId="6" fillId="12" borderId="23" xfId="0" applyFont="1" applyFill="1" applyBorder="1" applyAlignment="1">
      <alignment horizontal="center" vertical="center"/>
    </xf>
    <xf numFmtId="1" fontId="6" fillId="0" borderId="23" xfId="0" applyNumberFormat="1" applyFont="1" applyBorder="1" applyAlignment="1">
      <alignment horizontal="center" vertical="center"/>
    </xf>
    <xf numFmtId="49" fontId="6" fillId="0" borderId="23" xfId="0" applyNumberFormat="1" applyFont="1" applyBorder="1" applyAlignment="1">
      <alignment horizontal="center" vertical="center"/>
    </xf>
    <xf numFmtId="0" fontId="42" fillId="0" borderId="59" xfId="0" applyFont="1" applyBorder="1" applyAlignment="1">
      <alignment horizontal="center" vertical="center"/>
    </xf>
    <xf numFmtId="0" fontId="6" fillId="12" borderId="59" xfId="0" applyFont="1" applyFill="1" applyBorder="1" applyAlignment="1">
      <alignment horizontal="center" vertical="center"/>
    </xf>
    <xf numFmtId="1" fontId="6" fillId="0" borderId="59" xfId="0" applyNumberFormat="1" applyFont="1" applyBorder="1" applyAlignment="1">
      <alignment horizontal="center" vertical="center"/>
    </xf>
    <xf numFmtId="49" fontId="6" fillId="0" borderId="59" xfId="0" applyNumberFormat="1" applyFont="1" applyBorder="1" applyAlignment="1">
      <alignment horizontal="center" vertical="center"/>
    </xf>
    <xf numFmtId="49" fontId="22" fillId="6" borderId="23" xfId="0" applyNumberFormat="1" applyFont="1" applyFill="1" applyBorder="1" applyAlignment="1">
      <alignment horizontal="center" vertical="center"/>
    </xf>
    <xf numFmtId="0" fontId="22" fillId="6" borderId="24" xfId="0" applyFont="1" applyFill="1" applyBorder="1" applyAlignment="1">
      <alignment horizontal="center" vertical="center"/>
    </xf>
    <xf numFmtId="0" fontId="13" fillId="6" borderId="24" xfId="0" applyFont="1" applyFill="1" applyBorder="1" applyAlignment="1">
      <alignment horizontal="center" vertical="center"/>
    </xf>
    <xf numFmtId="1" fontId="6" fillId="0" borderId="13" xfId="0" applyNumberFormat="1" applyFont="1" applyBorder="1" applyAlignment="1">
      <alignment horizontal="center" vertical="center"/>
    </xf>
    <xf numFmtId="0" fontId="1" fillId="8" borderId="115" xfId="0" quotePrefix="1" applyFont="1" applyFill="1" applyBorder="1" applyAlignment="1">
      <alignment horizontal="center" vertical="center"/>
    </xf>
    <xf numFmtId="0" fontId="1" fillId="13" borderId="115" xfId="0" quotePrefix="1" applyFont="1" applyFill="1" applyBorder="1" applyAlignment="1">
      <alignment horizontal="center" vertical="center"/>
    </xf>
    <xf numFmtId="0" fontId="1" fillId="0" borderId="138" xfId="0" applyFont="1" applyBorder="1" applyAlignment="1">
      <alignment horizontal="center" vertical="center" shrinkToFit="1"/>
    </xf>
    <xf numFmtId="1" fontId="1" fillId="0" borderId="39" xfId="0" applyNumberFormat="1" applyFont="1" applyBorder="1" applyAlignment="1">
      <alignment horizontal="center" vertical="center" shrinkToFit="1"/>
    </xf>
    <xf numFmtId="0" fontId="1" fillId="0" borderId="139" xfId="0" applyFont="1" applyBorder="1" applyAlignment="1">
      <alignment horizontal="left" vertical="center"/>
    </xf>
    <xf numFmtId="1" fontId="1" fillId="0" borderId="92" xfId="0" applyNumberFormat="1" applyFont="1" applyBorder="1" applyAlignment="1">
      <alignment horizontal="center" vertical="center" shrinkToFit="1"/>
    </xf>
    <xf numFmtId="0" fontId="62" fillId="0" borderId="0" xfId="0" applyFont="1" applyAlignment="1">
      <alignment horizontal="centerContinuous" vertical="center" wrapText="1"/>
    </xf>
    <xf numFmtId="0" fontId="64" fillId="0" borderId="101" xfId="0" applyFont="1" applyBorder="1" applyAlignment="1">
      <alignment horizontal="center" vertical="center"/>
    </xf>
    <xf numFmtId="1" fontId="64" fillId="0" borderId="102" xfId="0" applyNumberFormat="1" applyFont="1" applyBorder="1" applyAlignment="1">
      <alignment horizontal="center" vertical="center"/>
    </xf>
    <xf numFmtId="0" fontId="64" fillId="0" borderId="36" xfId="0" applyFont="1" applyBorder="1" applyAlignment="1">
      <alignment horizontal="center" vertical="center"/>
    </xf>
    <xf numFmtId="0" fontId="0" fillId="8" borderId="40" xfId="0" applyFill="1" applyBorder="1" applyAlignment="1">
      <alignment horizontal="center" vertical="center"/>
    </xf>
    <xf numFmtId="0" fontId="0" fillId="0" borderId="40" xfId="0" applyBorder="1" applyAlignment="1">
      <alignment horizontal="center" vertical="center"/>
    </xf>
    <xf numFmtId="0" fontId="0" fillId="0" borderId="44" xfId="0" applyBorder="1" applyAlignment="1">
      <alignment horizontal="center" vertical="center"/>
    </xf>
    <xf numFmtId="0" fontId="65" fillId="8" borderId="40" xfId="0" applyFont="1" applyFill="1" applyBorder="1" applyAlignment="1">
      <alignment horizontal="center" vertical="center"/>
    </xf>
    <xf numFmtId="1" fontId="0" fillId="0" borderId="36" xfId="0" applyNumberFormat="1" applyBorder="1" applyAlignment="1">
      <alignment horizontal="center" vertical="center"/>
    </xf>
    <xf numFmtId="1" fontId="64" fillId="0" borderId="36" xfId="0" applyNumberFormat="1" applyFont="1" applyBorder="1" applyAlignment="1">
      <alignment horizontal="center" vertical="center"/>
    </xf>
    <xf numFmtId="1" fontId="0" fillId="0" borderId="42" xfId="0" applyNumberFormat="1" applyBorder="1" applyAlignment="1">
      <alignment horizontal="center" vertical="center"/>
    </xf>
    <xf numFmtId="1" fontId="1" fillId="0" borderId="112" xfId="5" applyNumberFormat="1" applyBorder="1" applyAlignment="1">
      <alignment horizontal="center" vertical="center"/>
    </xf>
    <xf numFmtId="0" fontId="55" fillId="7" borderId="44" xfId="0" applyFont="1" applyFill="1" applyBorder="1" applyAlignment="1">
      <alignment horizontal="center" vertical="center" wrapText="1"/>
    </xf>
    <xf numFmtId="0" fontId="55" fillId="7" borderId="125" xfId="0" applyFont="1" applyFill="1" applyBorder="1" applyAlignment="1">
      <alignment horizontal="center" vertical="center" wrapText="1"/>
    </xf>
    <xf numFmtId="0" fontId="1" fillId="0" borderId="122" xfId="0" applyFont="1" applyBorder="1" applyAlignment="1">
      <alignment horizontal="center" vertical="center" wrapText="1"/>
    </xf>
    <xf numFmtId="0" fontId="1" fillId="0" borderId="38" xfId="0" applyFont="1" applyBorder="1" applyAlignment="1">
      <alignment horizontal="center" vertical="center" wrapText="1"/>
    </xf>
    <xf numFmtId="0" fontId="57" fillId="0" borderId="8" xfId="5" applyFont="1" applyBorder="1" applyAlignment="1">
      <alignment horizontal="center" shrinkToFit="1"/>
    </xf>
    <xf numFmtId="0" fontId="6" fillId="0" borderId="47" xfId="5" applyFont="1" applyBorder="1" applyAlignment="1">
      <alignment horizontal="center" wrapText="1"/>
    </xf>
    <xf numFmtId="9" fontId="6" fillId="0" borderId="47" xfId="2" applyFont="1" applyFill="1" applyBorder="1" applyAlignment="1">
      <alignment horizontal="center" vertical="center" shrinkToFit="1"/>
    </xf>
    <xf numFmtId="9" fontId="6" fillId="0" borderId="48" xfId="2" applyFont="1" applyFill="1" applyBorder="1" applyAlignment="1">
      <alignment horizontal="center" vertical="center" shrinkToFit="1"/>
    </xf>
    <xf numFmtId="0" fontId="6" fillId="0" borderId="48" xfId="2" applyNumberFormat="1" applyFont="1" applyFill="1" applyBorder="1" applyAlignment="1">
      <alignment horizontal="center" vertical="center" shrinkToFit="1"/>
    </xf>
    <xf numFmtId="0" fontId="6" fillId="0" borderId="30" xfId="0" applyFont="1" applyBorder="1" applyAlignment="1">
      <alignment horizontal="center" vertical="center" wrapText="1"/>
    </xf>
    <xf numFmtId="0" fontId="1" fillId="0" borderId="35" xfId="0" applyFont="1" applyBorder="1" applyAlignment="1">
      <alignment horizontal="center" shrinkToFit="1"/>
    </xf>
    <xf numFmtId="1" fontId="1" fillId="0" borderId="42" xfId="0" applyNumberFormat="1" applyFont="1" applyBorder="1" applyAlignment="1">
      <alignment horizontal="center" vertical="center" shrinkToFit="1"/>
    </xf>
    <xf numFmtId="0" fontId="1" fillId="0" borderId="140" xfId="0" applyFont="1" applyBorder="1" applyAlignment="1">
      <alignment horizontal="center" vertical="center" shrinkToFit="1"/>
    </xf>
    <xf numFmtId="0" fontId="1" fillId="0" borderId="102" xfId="0" applyFont="1" applyBorder="1" applyAlignment="1">
      <alignment horizontal="center" vertical="center" shrinkToFit="1"/>
    </xf>
    <xf numFmtId="0" fontId="1" fillId="0" borderId="36" xfId="0" applyFont="1" applyBorder="1" applyAlignment="1">
      <alignment horizontal="left" vertical="center"/>
    </xf>
    <xf numFmtId="0" fontId="55" fillId="12" borderId="124" xfId="0" applyFont="1" applyFill="1" applyBorder="1" applyAlignment="1">
      <alignment horizontal="center" vertical="center" wrapText="1"/>
    </xf>
    <xf numFmtId="0" fontId="1" fillId="0" borderId="138" xfId="0" applyFont="1" applyBorder="1" applyAlignment="1">
      <alignment horizontal="centerContinuous" vertical="center" shrinkToFit="1"/>
    </xf>
    <xf numFmtId="0" fontId="20" fillId="0" borderId="131" xfId="0" applyFont="1" applyBorder="1" applyAlignment="1">
      <alignment horizontal="centerContinuous" vertical="center"/>
    </xf>
    <xf numFmtId="0" fontId="20" fillId="0" borderId="141" xfId="0" applyFont="1" applyBorder="1" applyAlignment="1">
      <alignment horizontal="centerContinuous" vertical="center"/>
    </xf>
    <xf numFmtId="0" fontId="1" fillId="0" borderId="139" xfId="0" applyFont="1" applyBorder="1" applyAlignment="1">
      <alignment horizontal="center" vertical="center"/>
    </xf>
    <xf numFmtId="0" fontId="1" fillId="0" borderId="39" xfId="0" applyFont="1" applyBorder="1" applyAlignment="1">
      <alignment horizontal="center" vertical="center"/>
    </xf>
    <xf numFmtId="0" fontId="1" fillId="0" borderId="132" xfId="0" applyFont="1" applyBorder="1" applyAlignment="1">
      <alignment horizontal="centerContinuous" vertical="center"/>
    </xf>
    <xf numFmtId="164" fontId="4" fillId="0" borderId="110" xfId="0" applyNumberFormat="1" applyFont="1" applyBorder="1" applyAlignment="1">
      <alignment horizontal="centerContinuous" vertical="center"/>
    </xf>
    <xf numFmtId="164" fontId="4" fillId="12" borderId="131" xfId="0" applyNumberFormat="1" applyFont="1" applyFill="1" applyBorder="1" applyAlignment="1">
      <alignment horizontal="centerContinuous" vertical="center"/>
    </xf>
    <xf numFmtId="164" fontId="1" fillId="10" borderId="73" xfId="0" applyNumberFormat="1" applyFont="1" applyFill="1" applyBorder="1" applyAlignment="1">
      <alignment horizontal="centerContinuous" vertical="center"/>
    </xf>
    <xf numFmtId="0" fontId="61" fillId="0" borderId="0" xfId="0" applyFont="1" applyAlignment="1">
      <alignment vertical="center"/>
    </xf>
    <xf numFmtId="49" fontId="6" fillId="0" borderId="64" xfId="0" applyNumberFormat="1" applyFont="1" applyBorder="1" applyAlignment="1">
      <alignment horizontal="center" vertical="center"/>
    </xf>
    <xf numFmtId="49" fontId="6" fillId="0" borderId="29" xfId="0" applyNumberFormat="1" applyFont="1" applyBorder="1" applyAlignment="1">
      <alignment horizontal="center" vertical="center"/>
    </xf>
    <xf numFmtId="0" fontId="64" fillId="0" borderId="40" xfId="0" applyFont="1" applyBorder="1" applyAlignment="1">
      <alignment horizontal="center" vertical="center"/>
    </xf>
    <xf numFmtId="49" fontId="16" fillId="0" borderId="29" xfId="0" applyNumberFormat="1" applyFont="1" applyBorder="1" applyAlignment="1">
      <alignment horizontal="center" shrinkToFit="1"/>
    </xf>
    <xf numFmtId="0" fontId="66" fillId="0" borderId="0" xfId="0" applyFont="1" applyAlignment="1">
      <alignment horizontal="centerContinuous" vertical="center"/>
    </xf>
    <xf numFmtId="0" fontId="6" fillId="0" borderId="25" xfId="0" quotePrefix="1" applyFont="1" applyBorder="1" applyAlignment="1">
      <alignment horizontal="center"/>
    </xf>
    <xf numFmtId="0" fontId="67" fillId="0" borderId="2" xfId="0" quotePrefix="1" applyFont="1" applyBorder="1" applyAlignment="1">
      <alignment horizontal="center" vertical="center"/>
    </xf>
    <xf numFmtId="0" fontId="6" fillId="6" borderId="24" xfId="0" applyFont="1" applyFill="1" applyBorder="1" applyAlignment="1">
      <alignment horizontal="center" vertical="center"/>
    </xf>
    <xf numFmtId="0" fontId="6" fillId="0" borderId="13" xfId="0" applyFont="1" applyBorder="1" applyAlignment="1">
      <alignment horizontal="center" vertical="center"/>
    </xf>
    <xf numFmtId="37" fontId="6" fillId="0" borderId="22" xfId="9" applyNumberFormat="1" applyFont="1" applyFill="1" applyBorder="1" applyAlignment="1">
      <alignment horizontal="centerContinuous" vertical="center"/>
    </xf>
    <xf numFmtId="0" fontId="6" fillId="0" borderId="142" xfId="0" applyFont="1" applyBorder="1" applyAlignment="1">
      <alignment horizontal="centerContinuous" vertical="center"/>
    </xf>
    <xf numFmtId="0" fontId="6" fillId="0" borderId="31" xfId="0" quotePrefix="1" applyFont="1" applyBorder="1" applyAlignment="1">
      <alignment horizontal="center" vertical="center" shrinkToFit="1"/>
    </xf>
    <xf numFmtId="0" fontId="6" fillId="0" borderId="49" xfId="0" applyFont="1" applyBorder="1" applyAlignment="1">
      <alignment horizontal="center" vertical="center" shrinkToFit="1"/>
    </xf>
    <xf numFmtId="0" fontId="5" fillId="0" borderId="78" xfId="0" applyFont="1" applyBorder="1" applyAlignment="1">
      <alignment horizontal="centerContinuous" vertical="center" shrinkToFit="1"/>
    </xf>
    <xf numFmtId="0" fontId="68" fillId="0" borderId="88" xfId="0" applyFont="1" applyBorder="1" applyAlignment="1">
      <alignment horizontal="centerContinuous" vertical="top" shrinkToFit="1"/>
    </xf>
    <xf numFmtId="0" fontId="6" fillId="0" borderId="31" xfId="0" applyFont="1" applyBorder="1" applyAlignment="1">
      <alignment horizontal="centerContinuous" vertical="center" shrinkToFit="1"/>
    </xf>
    <xf numFmtId="0" fontId="6" fillId="0" borderId="49" xfId="0" quotePrefix="1" applyFont="1" applyBorder="1" applyAlignment="1">
      <alignment horizontal="center" vertical="center" shrinkToFit="1"/>
    </xf>
    <xf numFmtId="0" fontId="42" fillId="14" borderId="32" xfId="0" applyFont="1" applyFill="1" applyBorder="1" applyAlignment="1">
      <alignment horizontal="center" vertical="center"/>
    </xf>
    <xf numFmtId="0" fontId="40" fillId="14" borderId="24" xfId="0" applyFont="1" applyFill="1" applyBorder="1" applyAlignment="1">
      <alignment horizontal="center" vertical="center"/>
    </xf>
    <xf numFmtId="0" fontId="40" fillId="14" borderId="59" xfId="0" applyFont="1" applyFill="1" applyBorder="1" applyAlignment="1">
      <alignment horizontal="center" vertical="center"/>
    </xf>
    <xf numFmtId="0" fontId="40" fillId="14" borderId="23" xfId="0" applyFont="1" applyFill="1" applyBorder="1" applyAlignment="1">
      <alignment horizontal="center" vertical="center"/>
    </xf>
    <xf numFmtId="0" fontId="40" fillId="14" borderId="47" xfId="0" applyFont="1" applyFill="1" applyBorder="1" applyAlignment="1">
      <alignment horizontal="center" vertical="center"/>
    </xf>
    <xf numFmtId="0" fontId="43" fillId="14" borderId="20" xfId="0" applyFont="1" applyFill="1" applyBorder="1" applyAlignment="1">
      <alignment horizontal="center" vertical="center"/>
    </xf>
    <xf numFmtId="1" fontId="44" fillId="14" borderId="68" xfId="0" applyNumberFormat="1" applyFont="1" applyFill="1" applyBorder="1" applyAlignment="1">
      <alignment horizontal="center" vertical="center"/>
    </xf>
    <xf numFmtId="0" fontId="1" fillId="14" borderId="114" xfId="0" applyFont="1" applyFill="1" applyBorder="1" applyAlignment="1">
      <alignment horizontal="center" vertical="center" shrinkToFit="1"/>
    </xf>
    <xf numFmtId="1" fontId="44" fillId="14" borderId="107" xfId="0" applyNumberFormat="1" applyFont="1" applyFill="1" applyBorder="1" applyAlignment="1">
      <alignment horizontal="center" vertical="center"/>
    </xf>
    <xf numFmtId="1" fontId="44" fillId="14" borderId="128" xfId="0" applyNumberFormat="1" applyFont="1" applyFill="1" applyBorder="1" applyAlignment="1">
      <alignment horizontal="center" vertical="center"/>
    </xf>
    <xf numFmtId="1" fontId="44" fillId="14" borderId="48" xfId="0" applyNumberFormat="1" applyFont="1" applyFill="1" applyBorder="1" applyAlignment="1">
      <alignment horizontal="center" vertical="center"/>
    </xf>
    <xf numFmtId="1" fontId="44" fillId="14" borderId="24" xfId="0" applyNumberFormat="1" applyFont="1" applyFill="1" applyBorder="1" applyAlignment="1">
      <alignment horizontal="center" vertical="center"/>
    </xf>
    <xf numFmtId="1" fontId="44" fillId="14" borderId="72" xfId="0" applyNumberFormat="1" applyFont="1" applyFill="1" applyBorder="1" applyAlignment="1">
      <alignment horizontal="center" vertical="center"/>
    </xf>
    <xf numFmtId="164" fontId="1" fillId="12" borderId="130" xfId="0" applyNumberFormat="1" applyFont="1" applyFill="1" applyBorder="1" applyAlignment="1">
      <alignment horizontal="centerContinuous" vertical="center"/>
    </xf>
    <xf numFmtId="0" fontId="1" fillId="12" borderId="132" xfId="0" quotePrefix="1" applyFont="1" applyFill="1" applyBorder="1" applyAlignment="1">
      <alignment horizontal="centerContinuous" vertical="center"/>
    </xf>
    <xf numFmtId="0" fontId="1" fillId="0" borderId="138" xfId="0" applyFont="1" applyBorder="1" applyAlignment="1">
      <alignment horizontal="center" shrinkToFit="1"/>
    </xf>
    <xf numFmtId="164" fontId="1" fillId="0" borderId="42" xfId="0" applyNumberFormat="1" applyFont="1" applyBorder="1" applyAlignment="1">
      <alignment horizontal="center" vertical="center" shrinkToFit="1"/>
    </xf>
    <xf numFmtId="0" fontId="1" fillId="0" borderId="44" xfId="0" applyFont="1" applyBorder="1" applyAlignment="1">
      <alignment horizontal="left" vertical="center" shrinkToFit="1"/>
    </xf>
    <xf numFmtId="0" fontId="3" fillId="12" borderId="94" xfId="0" applyFont="1" applyFill="1" applyBorder="1" applyAlignment="1">
      <alignment horizontal="center" vertical="center"/>
    </xf>
    <xf numFmtId="0" fontId="6" fillId="12" borderId="3" xfId="0" quotePrefix="1" applyFont="1" applyFill="1" applyBorder="1" applyAlignment="1">
      <alignment horizontal="center" vertical="center"/>
    </xf>
    <xf numFmtId="0" fontId="1" fillId="15" borderId="30" xfId="0" applyFont="1" applyFill="1" applyBorder="1" applyAlignment="1">
      <alignment horizontal="center" vertical="center"/>
    </xf>
    <xf numFmtId="0" fontId="1" fillId="12" borderId="144" xfId="0" applyFont="1" applyFill="1" applyBorder="1" applyAlignment="1">
      <alignment horizontal="center" vertical="center"/>
    </xf>
    <xf numFmtId="0" fontId="1" fillId="12" borderId="59" xfId="0" applyFont="1" applyFill="1" applyBorder="1" applyAlignment="1">
      <alignment horizontal="center" vertical="center"/>
    </xf>
    <xf numFmtId="49" fontId="1" fillId="12" borderId="59" xfId="2" applyNumberFormat="1" applyFont="1" applyFill="1" applyBorder="1" applyAlignment="1">
      <alignment horizontal="center" vertical="center"/>
    </xf>
    <xf numFmtId="0" fontId="1" fillId="12" borderId="59" xfId="0" applyFont="1" applyFill="1" applyBorder="1" applyAlignment="1">
      <alignment horizontal="center" vertical="center" shrinkToFit="1"/>
    </xf>
    <xf numFmtId="164" fontId="1" fillId="12" borderId="59" xfId="0" applyNumberFormat="1" applyFont="1" applyFill="1" applyBorder="1" applyAlignment="1">
      <alignment horizontal="center" vertical="center"/>
    </xf>
    <xf numFmtId="0" fontId="1" fillId="12" borderId="15" xfId="0" applyFont="1" applyFill="1" applyBorder="1" applyAlignment="1">
      <alignment horizontal="center" vertical="center"/>
    </xf>
    <xf numFmtId="0" fontId="1" fillId="12" borderId="29" xfId="0" applyFont="1" applyFill="1" applyBorder="1" applyAlignment="1">
      <alignment horizontal="center" vertical="center"/>
    </xf>
    <xf numFmtId="0" fontId="4" fillId="0" borderId="112" xfId="0" applyFont="1" applyBorder="1" applyAlignment="1">
      <alignment vertical="center"/>
    </xf>
    <xf numFmtId="1" fontId="1" fillId="0" borderId="143" xfId="0" applyNumberFormat="1" applyFont="1" applyBorder="1" applyAlignment="1">
      <alignment horizontal="center" vertical="center"/>
    </xf>
    <xf numFmtId="1" fontId="1" fillId="12" borderId="15" xfId="0" applyNumberFormat="1" applyFont="1" applyFill="1" applyBorder="1" applyAlignment="1">
      <alignment horizontal="center" vertical="center"/>
    </xf>
    <xf numFmtId="0" fontId="1" fillId="0" borderId="95" xfId="0" applyFont="1" applyBorder="1" applyAlignment="1">
      <alignment horizontal="center" vertical="center"/>
    </xf>
    <xf numFmtId="0" fontId="1" fillId="0" borderId="66" xfId="2" applyNumberFormat="1" applyFont="1" applyFill="1" applyBorder="1" applyAlignment="1">
      <alignment horizontal="center" vertical="center"/>
    </xf>
    <xf numFmtId="0" fontId="1" fillId="0" borderId="94" xfId="2" applyNumberFormat="1" applyFont="1" applyFill="1" applyBorder="1" applyAlignment="1">
      <alignment horizontal="center" vertical="center"/>
    </xf>
    <xf numFmtId="0" fontId="6" fillId="0" borderId="92" xfId="0" quotePrefix="1" applyFont="1" applyBorder="1" applyAlignment="1">
      <alignment horizontal="center" vertical="center" shrinkToFit="1"/>
    </xf>
    <xf numFmtId="1" fontId="1" fillId="0" borderId="55" xfId="0" applyNumberFormat="1" applyFont="1" applyBorder="1" applyAlignment="1">
      <alignment horizontal="center" vertical="center" shrinkToFit="1"/>
    </xf>
    <xf numFmtId="0" fontId="1" fillId="0" borderId="37" xfId="0" quotePrefix="1" applyFont="1" applyBorder="1" applyAlignment="1">
      <alignment horizontal="left" vertical="center"/>
    </xf>
    <xf numFmtId="165" fontId="4" fillId="0" borderId="0" xfId="0" applyNumberFormat="1" applyFont="1" applyAlignment="1">
      <alignment vertical="center"/>
    </xf>
    <xf numFmtId="0" fontId="1" fillId="0" borderId="145" xfId="0" applyFont="1" applyBorder="1" applyAlignment="1">
      <alignment horizontal="center" vertical="center"/>
    </xf>
    <xf numFmtId="0" fontId="1" fillId="0" borderId="145" xfId="0" quotePrefix="1" applyFont="1" applyBorder="1" applyAlignment="1">
      <alignment horizontal="center" vertical="center"/>
    </xf>
    <xf numFmtId="9" fontId="1" fillId="0" borderId="145" xfId="0" applyNumberFormat="1" applyFont="1" applyBorder="1" applyAlignment="1">
      <alignment horizontal="center" vertical="center"/>
    </xf>
    <xf numFmtId="49" fontId="1" fillId="0" borderId="145" xfId="0" quotePrefix="1" applyNumberFormat="1" applyFont="1" applyBorder="1" applyAlignment="1">
      <alignment horizontal="center" vertical="center"/>
    </xf>
    <xf numFmtId="0" fontId="1" fillId="0" borderId="0" xfId="0" applyFont="1" applyAlignment="1">
      <alignment horizontal="center" vertical="center" wrapText="1"/>
    </xf>
    <xf numFmtId="0" fontId="58" fillId="2" borderId="80" xfId="0" applyFont="1" applyFill="1" applyBorder="1" applyAlignment="1">
      <alignment horizontal="right" vertical="center"/>
    </xf>
    <xf numFmtId="1" fontId="6" fillId="15" borderId="62" xfId="0" applyNumberFormat="1" applyFont="1" applyFill="1" applyBorder="1" applyAlignment="1">
      <alignment horizontal="centerContinuous" vertical="center"/>
    </xf>
    <xf numFmtId="1" fontId="1" fillId="15" borderId="63" xfId="0" applyNumberFormat="1" applyFont="1" applyFill="1" applyBorder="1" applyAlignment="1">
      <alignment horizontal="centerContinuous" vertical="center"/>
    </xf>
    <xf numFmtId="164" fontId="1" fillId="0" borderId="68" xfId="0" applyNumberFormat="1" applyFont="1" applyBorder="1" applyAlignment="1">
      <alignment horizontal="center" vertical="center"/>
    </xf>
    <xf numFmtId="0" fontId="1" fillId="0" borderId="69" xfId="0" quotePrefix="1" applyFont="1" applyBorder="1" applyAlignment="1">
      <alignment horizontal="center" vertical="center"/>
    </xf>
    <xf numFmtId="0" fontId="1" fillId="0" borderId="93" xfId="0" applyFont="1" applyBorder="1" applyAlignment="1">
      <alignment horizontal="center" vertical="center"/>
    </xf>
    <xf numFmtId="0" fontId="1" fillId="0" borderId="94" xfId="0" applyFont="1" applyBorder="1" applyAlignment="1">
      <alignment horizontal="center" vertical="center"/>
    </xf>
    <xf numFmtId="0" fontId="1" fillId="0" borderId="94" xfId="0" quotePrefix="1" applyFont="1" applyBorder="1" applyAlignment="1">
      <alignment horizontal="center" vertical="center" wrapText="1"/>
    </xf>
    <xf numFmtId="0" fontId="1" fillId="0" borderId="95" xfId="0" quotePrefix="1" applyFont="1" applyBorder="1" applyAlignment="1">
      <alignment horizontal="center" vertical="center"/>
    </xf>
    <xf numFmtId="1" fontId="6" fillId="15" borderId="26" xfId="0" applyNumberFormat="1" applyFont="1" applyFill="1" applyBorder="1" applyAlignment="1">
      <alignment horizontal="center" vertical="center"/>
    </xf>
    <xf numFmtId="0" fontId="1" fillId="15" borderId="66" xfId="2" applyNumberFormat="1" applyFont="1" applyFill="1" applyBorder="1" applyAlignment="1">
      <alignment horizontal="center" vertical="center"/>
    </xf>
    <xf numFmtId="0" fontId="1" fillId="15" borderId="94" xfId="2" applyNumberFormat="1" applyFont="1" applyFill="1" applyBorder="1" applyAlignment="1">
      <alignment horizontal="center" vertical="center"/>
    </xf>
    <xf numFmtId="0" fontId="69" fillId="2" borderId="4" xfId="0" applyFont="1" applyFill="1" applyBorder="1" applyAlignment="1">
      <alignment horizontal="right" vertical="center"/>
    </xf>
    <xf numFmtId="0" fontId="1" fillId="16" borderId="35" xfId="0" applyFont="1" applyFill="1" applyBorder="1" applyAlignment="1">
      <alignment horizontal="center" vertical="center" shrinkToFit="1"/>
    </xf>
    <xf numFmtId="1" fontId="1" fillId="16" borderId="36" xfId="0" applyNumberFormat="1" applyFont="1" applyFill="1" applyBorder="1" applyAlignment="1">
      <alignment horizontal="center" vertical="center" shrinkToFit="1"/>
    </xf>
    <xf numFmtId="164" fontId="1" fillId="16" borderId="36" xfId="0" applyNumberFormat="1" applyFont="1" applyFill="1" applyBorder="1" applyAlignment="1">
      <alignment horizontal="center" vertical="center" shrinkToFit="1"/>
    </xf>
    <xf numFmtId="0" fontId="1" fillId="16" borderId="36" xfId="0" applyFont="1" applyFill="1" applyBorder="1" applyAlignment="1">
      <alignment horizontal="left" vertical="center"/>
    </xf>
    <xf numFmtId="0" fontId="1" fillId="16" borderId="38" xfId="0" applyFont="1" applyFill="1" applyBorder="1" applyAlignment="1">
      <alignment horizontal="left" vertical="center" shrinkToFit="1"/>
    </xf>
    <xf numFmtId="1" fontId="1" fillId="16" borderId="31" xfId="0" applyNumberFormat="1" applyFont="1" applyFill="1" applyBorder="1" applyAlignment="1">
      <alignment horizontal="center" vertical="center" shrinkToFit="1"/>
    </xf>
    <xf numFmtId="1" fontId="1" fillId="0" borderId="102" xfId="0" applyNumberFormat="1" applyFont="1" applyBorder="1" applyAlignment="1">
      <alignment horizontal="center" vertical="center" shrinkToFit="1"/>
    </xf>
    <xf numFmtId="0" fontId="6" fillId="15" borderId="3" xfId="0" quotePrefix="1" applyFont="1" applyFill="1" applyBorder="1" applyAlignment="1">
      <alignment horizontal="center" vertical="center"/>
    </xf>
    <xf numFmtId="0" fontId="8" fillId="15" borderId="3" xfId="0" quotePrefix="1" applyFont="1" applyFill="1" applyBorder="1" applyAlignment="1">
      <alignment horizontal="center" vertical="center"/>
    </xf>
    <xf numFmtId="0" fontId="6" fillId="15" borderId="22" xfId="0" quotePrefix="1" applyFont="1" applyFill="1" applyBorder="1" applyAlignment="1">
      <alignment horizontal="center" vertical="center"/>
    </xf>
    <xf numFmtId="0" fontId="6" fillId="15" borderId="15" xfId="0" applyFont="1" applyFill="1" applyBorder="1" applyAlignment="1">
      <alignment horizontal="center" vertical="center"/>
    </xf>
    <xf numFmtId="0" fontId="1" fillId="0" borderId="0" xfId="0" applyFont="1" applyAlignment="1">
      <alignment horizontal="center" vertical="center" shrinkToFit="1"/>
    </xf>
    <xf numFmtId="0" fontId="70" fillId="0" borderId="0" xfId="0" applyFont="1" applyAlignment="1">
      <alignment vertical="center"/>
    </xf>
    <xf numFmtId="0" fontId="1" fillId="0" borderId="0" xfId="0" applyFont="1" applyAlignment="1">
      <alignment horizontal="left" vertical="center" shrinkToFit="1"/>
    </xf>
    <xf numFmtId="9" fontId="1" fillId="0" borderId="0" xfId="7" applyFont="1" applyBorder="1" applyAlignment="1">
      <alignment horizontal="center" vertical="center"/>
    </xf>
    <xf numFmtId="164" fontId="1" fillId="0" borderId="0" xfId="0" applyNumberFormat="1" applyFont="1" applyAlignment="1">
      <alignment horizontal="center" vertical="center"/>
    </xf>
  </cellXfs>
  <cellStyles count="10">
    <cellStyle name="Comma 2" xfId="9" xr:uid="{73F0D331-245D-4959-9A42-5F532CE0D8F9}"/>
    <cellStyle name="Excel Built-in Normal" xfId="6" xr:uid="{00000000-0005-0000-0000-000001000000}"/>
    <cellStyle name="Hyperlink" xfId="1" builtinId="8"/>
    <cellStyle name="Normal" xfId="0" builtinId="0"/>
    <cellStyle name="Normal 2" xfId="4" xr:uid="{00000000-0005-0000-0000-000004000000}"/>
    <cellStyle name="Normal 2 2" xfId="5" xr:uid="{00000000-0005-0000-0000-000005000000}"/>
    <cellStyle name="Normal 4" xfId="8" xr:uid="{00000000-0005-0000-0000-000006000000}"/>
    <cellStyle name="Percent" xfId="2" builtinId="5"/>
    <cellStyle name="Percent 2" xfId="3" xr:uid="{00000000-0005-0000-0000-000008000000}"/>
    <cellStyle name="Percent 2 2" xfId="7" xr:uid="{00000000-0005-0000-0000-000009000000}"/>
  </cellStyles>
  <dxfs count="41">
    <dxf>
      <fill>
        <patternFill>
          <bgColor rgb="FFFF0000"/>
        </patternFill>
      </fill>
    </dxf>
    <dxf>
      <font>
        <color rgb="FFFF0000"/>
      </font>
    </dxf>
    <dxf>
      <font>
        <color rgb="FFFF0000"/>
      </font>
    </dxf>
    <dxf>
      <font>
        <color rgb="FFFF0000"/>
      </font>
    </dxf>
    <dxf>
      <fill>
        <gradientFill type="path" left="0.5" right="0.5" top="0.5" bottom="0.5">
          <stop position="0">
            <color rgb="FFFF0000"/>
          </stop>
          <stop position="1">
            <color rgb="FFFFC000"/>
          </stop>
        </gradientFill>
      </fill>
    </dxf>
    <dxf>
      <fill>
        <gradientFill type="path" left="0.5" right="0.5" top="0.5" bottom="0.5">
          <stop position="0">
            <color rgb="FFFF0000"/>
          </stop>
          <stop position="1">
            <color rgb="FFFFC000"/>
          </stop>
        </gradient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i val="0"/>
        <color theme="9" tint="-0.499984740745262"/>
      </font>
      <fill>
        <patternFill>
          <bgColor rgb="FF99FF99"/>
        </patternFill>
      </fill>
    </dxf>
    <dxf>
      <font>
        <b val="0"/>
        <i/>
        <color auto="1"/>
      </font>
      <fill>
        <patternFill>
          <bgColor theme="0" tint="-0.24994659260841701"/>
        </patternFill>
      </fill>
    </dxf>
    <dxf>
      <font>
        <b/>
        <i val="0"/>
      </font>
      <fill>
        <patternFill>
          <bgColor rgb="FF00FF00"/>
        </patternFill>
      </fill>
    </dxf>
    <dxf>
      <font>
        <b/>
        <i val="0"/>
        <condense val="0"/>
        <extend val="0"/>
      </font>
      <fill>
        <patternFill>
          <bgColor indexed="51"/>
        </patternFill>
      </fill>
    </dxf>
    <dxf>
      <font>
        <b/>
        <i val="0"/>
        <condense val="0"/>
        <extend val="0"/>
      </font>
      <fill>
        <patternFill>
          <bgColor indexed="10"/>
        </patternFill>
      </fill>
    </dxf>
  </dxfs>
  <tableStyles count="0" defaultTableStyle="TableStyleMedium2" defaultPivotStyle="PivotStyleLight16"/>
  <colors>
    <mruColors>
      <color rgb="FFCCFFCC"/>
      <color rgb="FF9966FF"/>
      <color rgb="FF0000FF"/>
      <color rgb="FF00FF00"/>
      <color rgb="FF00FFFF"/>
      <color rgb="FF9933FF"/>
      <color rgb="FFFF6600"/>
      <color rgb="FF66FF33"/>
      <color rgb="FF99FF99"/>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26670</xdr:colOff>
      <xdr:row>19</xdr:row>
      <xdr:rowOff>34290</xdr:rowOff>
    </xdr:from>
    <xdr:to>
      <xdr:col>6</xdr:col>
      <xdr:colOff>861060</xdr:colOff>
      <xdr:row>60</xdr:row>
      <xdr:rowOff>148590</xdr:rowOff>
    </xdr:to>
    <xdr:sp macro="" textlink="">
      <xdr:nvSpPr>
        <xdr:cNvPr id="4" name="Text 6">
          <a:extLst>
            <a:ext uri="{FF2B5EF4-FFF2-40B4-BE49-F238E27FC236}">
              <a16:creationId xmlns:a16="http://schemas.microsoft.com/office/drawing/2014/main" id="{00000000-0008-0000-0000-000004000000}"/>
            </a:ext>
          </a:extLst>
        </xdr:cNvPr>
        <xdr:cNvSpPr txBox="1">
          <a:spLocks noChangeArrowheads="1"/>
        </xdr:cNvSpPr>
      </xdr:nvSpPr>
      <xdr:spPr bwMode="auto">
        <a:xfrm>
          <a:off x="26670" y="3745230"/>
          <a:ext cx="6054090" cy="9083040"/>
        </a:xfrm>
        <a:prstGeom prst="rect">
          <a:avLst/>
        </a:prstGeom>
        <a:solidFill>
          <a:srgbClr val="FFFFFF"/>
        </a:solidFill>
        <a:ln w="9525">
          <a:noFill/>
          <a:miter lim="800000"/>
          <a:headEnd/>
          <a:tailEnd/>
        </a:ln>
      </xdr:spPr>
      <xdr:txBody>
        <a:bodyPr vertOverflow="clip" wrap="square" lIns="27432" tIns="27432" rIns="27432" bIns="0" anchor="t" upright="1"/>
        <a:lstStyle/>
        <a:p>
          <a:pPr algn="just"/>
          <a:r>
            <a:rPr lang="en-US" sz="1200" b="1">
              <a:effectLst/>
              <a:latin typeface="Times New Roman" panose="02020603050405020304" pitchFamily="18" charset="0"/>
              <a:ea typeface="+mn-ea"/>
              <a:cs typeface="Times New Roman" panose="02020603050405020304" pitchFamily="18" charset="0"/>
            </a:rPr>
            <a:t>Appearance</a:t>
          </a:r>
        </a:p>
        <a:p>
          <a:pPr algn="just"/>
          <a:endParaRPr lang="en-US" sz="1200" b="1">
            <a:effectLst/>
            <a:latin typeface="Times New Roman" panose="02020603050405020304" pitchFamily="18" charset="0"/>
            <a:ea typeface="+mn-ea"/>
            <a:cs typeface="Times New Roman" panose="02020603050405020304" pitchFamily="18" charset="0"/>
          </a:endParaRPr>
        </a:p>
        <a:p>
          <a:pPr algn="just"/>
          <a:r>
            <a:rPr lang="en-US" sz="1200">
              <a:effectLst/>
              <a:latin typeface="Times New Roman" panose="02020603050405020304" pitchFamily="18" charset="0"/>
              <a:ea typeface="+mn-ea"/>
              <a:cs typeface="Times New Roman" panose="02020603050405020304" pitchFamily="18" charset="0"/>
            </a:rPr>
            <a:t>Steelshade had vitiligo when she was a child, though it has stopped progressing when she reached puberty.  She is slightly above average height for a human woman, and she is in excellent physical condition.</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b="1">
              <a:effectLst/>
              <a:latin typeface="Times New Roman" panose="02020603050405020304" pitchFamily="18" charset="0"/>
              <a:ea typeface="+mn-ea"/>
              <a:cs typeface="Times New Roman" panose="02020603050405020304" pitchFamily="18" charset="0"/>
            </a:rPr>
            <a:t>History</a:t>
          </a:r>
        </a:p>
        <a:p>
          <a:pPr algn="just"/>
          <a:endParaRPr lang="en-US" sz="1200" b="1">
            <a:effectLst/>
            <a:latin typeface="Times New Roman" panose="02020603050405020304" pitchFamily="18" charset="0"/>
            <a:ea typeface="+mn-ea"/>
            <a:cs typeface="Times New Roman" panose="02020603050405020304" pitchFamily="18" charset="0"/>
          </a:endParaRPr>
        </a:p>
        <a:p>
          <a:pPr algn="just"/>
          <a:r>
            <a:rPr lang="en-US" sz="1200">
              <a:effectLst/>
              <a:latin typeface="Times New Roman" panose="02020603050405020304" pitchFamily="18" charset="0"/>
              <a:ea typeface="+mn-ea"/>
              <a:cs typeface="Times New Roman" panose="02020603050405020304" pitchFamily="18" charset="0"/>
            </a:rPr>
            <a:t>Maternal grandfather: Chaos Dragon - Zymmintyss</a:t>
          </a:r>
        </a:p>
        <a:p>
          <a:pPr algn="just"/>
          <a:r>
            <a:rPr lang="en-US" sz="1200">
              <a:effectLst/>
              <a:latin typeface="Times New Roman" panose="02020603050405020304" pitchFamily="18" charset="0"/>
              <a:ea typeface="+mn-ea"/>
              <a:cs typeface="Times New Roman" panose="02020603050405020304" pitchFamily="18" charset="0"/>
            </a:rPr>
            <a:t>Maternal grandmother: Human - Sophi Bladewinds</a:t>
          </a:r>
        </a:p>
        <a:p>
          <a:pPr algn="just"/>
          <a:r>
            <a:rPr lang="en-US" sz="1200">
              <a:effectLst/>
              <a:latin typeface="Times New Roman" panose="02020603050405020304" pitchFamily="18" charset="0"/>
              <a:ea typeface="+mn-ea"/>
              <a:cs typeface="Times New Roman" panose="02020603050405020304" pitchFamily="18" charset="0"/>
            </a:rPr>
            <a:t>Mother: Half-dragon - Ithilsa</a:t>
          </a:r>
        </a:p>
        <a:p>
          <a:pPr algn="just"/>
          <a:r>
            <a:rPr lang="en-US" sz="1200">
              <a:effectLst/>
              <a:latin typeface="Times New Roman" panose="02020603050405020304" pitchFamily="18" charset="0"/>
              <a:ea typeface="+mn-ea"/>
              <a:cs typeface="Times New Roman" panose="02020603050405020304" pitchFamily="18" charset="0"/>
            </a:rPr>
            <a:t>Father: Welvzyr “Grand Sage” scion of House Arkenlyl - “Mages of the Blade”</a:t>
          </a:r>
        </a:p>
        <a:p>
          <a:pPr algn="just"/>
          <a:r>
            <a:rPr lang="en-US" sz="1200">
              <a:effectLst/>
              <a:latin typeface="Times New Roman" panose="02020603050405020304" pitchFamily="18" charset="0"/>
              <a:ea typeface="+mn-ea"/>
              <a:cs typeface="Times New Roman" panose="02020603050405020304" pitchFamily="18" charset="0"/>
            </a:rPr>
            <a:t>True Name: Chenfryn “Secret Champion” of House Arkenlyl</a:t>
          </a:r>
        </a:p>
        <a:p>
          <a:pPr algn="just"/>
          <a:r>
            <a:rPr lang="en-US" sz="1200">
              <a:effectLst/>
              <a:latin typeface="Times New Roman" panose="02020603050405020304" pitchFamily="18" charset="0"/>
              <a:ea typeface="+mn-ea"/>
              <a:cs typeface="Times New Roman" panose="02020603050405020304" pitchFamily="18" charset="0"/>
            </a:rPr>
            <a:t>Elven Name: Angren’halya</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Her mother raised her in a hamlet at the edge of the High Forest, a day’s ride from Loudwater.  The village’s main occupations are hunting and logging, and it boasts a woodworking shop that draws customers from as far as Cormanthor, thanks to the Black Road’s merchants.  She learned the sword and magic at an early age, and then she found the way to combine them into one art form.</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Her first job was as a caravan guard, and she traveled extensively along the rivers and trade routes to and from Loudwater.  She ranged north to the Silver Marches, west to the Sword Coast, south to Amn, and east to Cormyr.</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Her mother taught her about Aasterinian, who had somehow allied with her parents in a battle to free a group of drow whom her father led.  Other drow houses were angry with House Arkenlyl, so her mother moved away from the Underdark to live among the surface dwellers.  She doesn’t remember her father at all, nor does she even know where he lives.</a:t>
          </a:r>
        </a:p>
        <a:p>
          <a:pPr algn="just"/>
          <a:endParaRPr lang="en-US" sz="1200" b="1">
            <a:effectLst/>
            <a:latin typeface="Times New Roman" panose="02020603050405020304" pitchFamily="18" charset="0"/>
            <a:ea typeface="+mn-ea"/>
            <a:cs typeface="Times New Roman" panose="02020603050405020304" pitchFamily="18" charset="0"/>
          </a:endParaRPr>
        </a:p>
        <a:p>
          <a:pPr algn="just"/>
          <a:r>
            <a:rPr lang="en-US" sz="1200" b="1">
              <a:effectLst/>
              <a:latin typeface="Times New Roman" panose="02020603050405020304" pitchFamily="18" charset="0"/>
              <a:ea typeface="+mn-ea"/>
              <a:cs typeface="Times New Roman" panose="02020603050405020304" pitchFamily="18" charset="0"/>
            </a:rPr>
            <a:t>Personality</a:t>
          </a:r>
        </a:p>
        <a:p>
          <a:pPr algn="just"/>
          <a:endParaRPr lang="en-US" sz="1200" b="1">
            <a:effectLst/>
            <a:latin typeface="Times New Roman" panose="02020603050405020304" pitchFamily="18" charset="0"/>
            <a:ea typeface="+mn-ea"/>
            <a:cs typeface="Times New Roman" panose="02020603050405020304" pitchFamily="18" charset="0"/>
          </a:endParaRPr>
        </a:p>
        <a:p>
          <a:pPr algn="just"/>
          <a:r>
            <a:rPr lang="en-US" sz="1200">
              <a:effectLst/>
              <a:latin typeface="Times New Roman" panose="02020603050405020304" pitchFamily="18" charset="0"/>
              <a:ea typeface="+mn-ea"/>
              <a:cs typeface="Times New Roman" panose="02020603050405020304" pitchFamily="18" charset="0"/>
            </a:rPr>
            <a:t>Steelshade, though she uses her elven name Angren’halya, usually shortened to Angren, is easygoing and friendly.  She’s not bothered when people react to her appearance, even when they mistake her draconic features for orcish ones.  To avoid problems, she habitually wears a hooded cloak, or a scarf and a shemagh in hot weather.</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Her love life has been exactly nil due to her appearance and her work ethic.  She is pragmatic, and jaded about close relationships with other people.  There is no one like her, and no one to truly understand her heritage.  She does know that she is firmly heretosexual, but she has no ideal male she would find attractive.</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She is diligent about her training, and she has recently heard of a new art form called a “Warblade”.  It’s interesting to her, but she intends to first complete her duskblade training.</a:t>
          </a:r>
        </a:p>
        <a:p>
          <a:pPr algn="just"/>
          <a:r>
            <a:rPr lang="en-US" sz="1200">
              <a:effectLst/>
              <a:latin typeface="Times New Roman" panose="02020603050405020304" pitchFamily="18" charset="0"/>
              <a:ea typeface="+mn-ea"/>
              <a:cs typeface="Times New Roman" panose="02020603050405020304" pitchFamily="18" charset="0"/>
            </a:rPr>
            <a:t> </a:t>
          </a:r>
        </a:p>
        <a:p>
          <a:pPr algn="just"/>
          <a:r>
            <a:rPr lang="en-US" sz="1200">
              <a:effectLst/>
              <a:latin typeface="Times New Roman" panose="02020603050405020304" pitchFamily="18" charset="0"/>
              <a:ea typeface="+mn-ea"/>
              <a:cs typeface="Times New Roman" panose="02020603050405020304" pitchFamily="18" charset="0"/>
            </a:rPr>
            <a:t>Some things Steelshade doesn’t know:  House Arkenlyl, and Welzyr’s ancestors, drew Zymmintyss’ attention as they fought to distance themselves from the oppressive drow society.  The chaos dragon brought Aasterinian into the struggle, and the goddess in turn brought in Sophi Bladewinds as her champion.  The unlikely alliance has succeeded in creating a separate society for those drow who are tired of the endless cycle of selfishness and cruelty that is the drow race’s lot under their horrid goddess.  Whether the brave new drow world can survive is still in question.</a:t>
          </a:r>
        </a:p>
      </xdr:txBody>
    </xdr:sp>
    <xdr:clientData/>
  </xdr:twoCellAnchor>
  <xdr:twoCellAnchor>
    <xdr:from>
      <xdr:col>5</xdr:col>
      <xdr:colOff>80555</xdr:colOff>
      <xdr:row>17</xdr:row>
      <xdr:rowOff>15240</xdr:rowOff>
    </xdr:from>
    <xdr:to>
      <xdr:col>6</xdr:col>
      <xdr:colOff>818605</xdr:colOff>
      <xdr:row>18</xdr:row>
      <xdr:rowOff>249554</xdr:rowOff>
    </xdr:to>
    <xdr:sp macro="" textlink="">
      <xdr:nvSpPr>
        <xdr:cNvPr id="5" name="Text Box 60">
          <a:extLst>
            <a:ext uri="{FF2B5EF4-FFF2-40B4-BE49-F238E27FC236}">
              <a16:creationId xmlns:a16="http://schemas.microsoft.com/office/drawing/2014/main" id="{00000000-0008-0000-0000-000005000000}"/>
            </a:ext>
          </a:extLst>
        </xdr:cNvPr>
        <xdr:cNvSpPr txBox="1">
          <a:spLocks noChangeArrowheads="1"/>
        </xdr:cNvSpPr>
      </xdr:nvSpPr>
      <xdr:spPr bwMode="auto">
        <a:xfrm>
          <a:off x="4413069" y="3420291"/>
          <a:ext cx="1630679" cy="456383"/>
        </a:xfrm>
        <a:prstGeom prst="rect">
          <a:avLst/>
        </a:prstGeom>
        <a:solidFill>
          <a:srgbClr xmlns:mc="http://schemas.openxmlformats.org/markup-compatibility/2006" xmlns:a14="http://schemas.microsoft.com/office/drawing/2010/main" val="CCFFFF" mc:Ignorable="a14" a14:legacySpreadsheetColorIndex="41">
            <a:alpha val="52000"/>
          </a:srgbClr>
        </a:solidFill>
        <a:ln w="38100" cmpd="dbl">
          <a:solidFill>
            <a:srgbClr xmlns:mc="http://schemas.openxmlformats.org/markup-compatibility/2006" xmlns:a14="http://schemas.microsoft.com/office/drawing/2010/main" val="00FF00" mc:Ignorable="a14" a14:legacySpreadsheetColorIndex="11"/>
          </a:solidFill>
          <a:miter lim="800000"/>
          <a:headEnd/>
          <a:tailEnd/>
        </a:ln>
      </xdr:spPr>
      <xdr:txBody>
        <a:bodyPr vertOverflow="clip" wrap="square" lIns="27432" tIns="27432" rIns="27432" bIns="0" anchor="ctr" upright="1"/>
        <a:lstStyle/>
        <a:p>
          <a:pPr algn="ctr" rtl="0">
            <a:defRPr sz="1000"/>
          </a:pPr>
          <a:endParaRPr lang="en-US" sz="1200" b="0" i="1" u="none" strike="noStrike" baseline="0">
            <a:solidFill>
              <a:srgbClr val="000000"/>
            </a:solidFill>
            <a:latin typeface="Times New Roman"/>
            <a:cs typeface="Times New Roman"/>
          </a:endParaRPr>
        </a:p>
      </xdr:txBody>
    </xdr:sp>
    <xdr:clientData/>
  </xdr:twoCellAnchor>
  <xdr:twoCellAnchor editAs="oneCell">
    <xdr:from>
      <xdr:col>5</xdr:col>
      <xdr:colOff>67637</xdr:colOff>
      <xdr:row>1</xdr:row>
      <xdr:rowOff>70274</xdr:rowOff>
    </xdr:from>
    <xdr:to>
      <xdr:col>6</xdr:col>
      <xdr:colOff>822216</xdr:colOff>
      <xdr:row>14</xdr:row>
      <xdr:rowOff>160020</xdr:rowOff>
    </xdr:to>
    <xdr:pic>
      <xdr:nvPicPr>
        <xdr:cNvPr id="3" name="Picture 2">
          <a:extLst>
            <a:ext uri="{FF2B5EF4-FFF2-40B4-BE49-F238E27FC236}">
              <a16:creationId xmlns:a16="http://schemas.microsoft.com/office/drawing/2014/main" id="{4186FFB2-D9AB-47E5-A5A5-6A2345DB6BF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197677" y="443654"/>
          <a:ext cx="1646119" cy="2901526"/>
        </a:xfrm>
        <a:prstGeom prst="rect">
          <a:avLst/>
        </a:prstGeom>
        <a:ln w="31750" cmpd="dbl">
          <a:solidFill>
            <a:srgbClr val="9933FF"/>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228600</xdr:colOff>
      <xdr:row>0</xdr:row>
      <xdr:rowOff>0</xdr:rowOff>
    </xdr:from>
    <xdr:to>
      <xdr:col>10</xdr:col>
      <xdr:colOff>0</xdr:colOff>
      <xdr:row>0</xdr:row>
      <xdr:rowOff>0</xdr:rowOff>
    </xdr:to>
    <xdr:sp macro="" textlink="">
      <xdr:nvSpPr>
        <xdr:cNvPr id="13396" name="Rectangle 1">
          <a:extLst>
            <a:ext uri="{FF2B5EF4-FFF2-40B4-BE49-F238E27FC236}">
              <a16:creationId xmlns:a16="http://schemas.microsoft.com/office/drawing/2014/main" id="{00000000-0008-0000-0100-000054340000}"/>
            </a:ext>
          </a:extLst>
        </xdr:cNvPr>
        <xdr:cNvSpPr>
          <a:spLocks noChangeArrowheads="1"/>
        </xdr:cNvSpPr>
      </xdr:nvSpPr>
      <xdr:spPr bwMode="auto">
        <a:xfrm>
          <a:off x="4619625" y="0"/>
          <a:ext cx="2867025"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228600</xdr:colOff>
      <xdr:row>0</xdr:row>
      <xdr:rowOff>0</xdr:rowOff>
    </xdr:from>
    <xdr:to>
      <xdr:col>8</xdr:col>
      <xdr:colOff>0</xdr:colOff>
      <xdr:row>0</xdr:row>
      <xdr:rowOff>0</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7162800" y="0"/>
          <a:ext cx="7620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0</xdr:colOff>
      <xdr:row>0</xdr:row>
      <xdr:rowOff>0</xdr:rowOff>
    </xdr:to>
    <xdr:sp macro="" textlink="">
      <xdr:nvSpPr>
        <xdr:cNvPr id="19460" name="Rectangle 1">
          <a:extLst>
            <a:ext uri="{FF2B5EF4-FFF2-40B4-BE49-F238E27FC236}">
              <a16:creationId xmlns:a16="http://schemas.microsoft.com/office/drawing/2014/main" id="{00000000-0008-0000-0300-0000044C0000}"/>
            </a:ext>
          </a:extLst>
        </xdr:cNvPr>
        <xdr:cNvSpPr>
          <a:spLocks noChangeArrowheads="1"/>
        </xdr:cNvSpPr>
      </xdr:nvSpPr>
      <xdr:spPr bwMode="auto">
        <a:xfrm>
          <a:off x="5000625" y="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76200</xdr:colOff>
      <xdr:row>18</xdr:row>
      <xdr:rowOff>175260</xdr:rowOff>
    </xdr:from>
    <xdr:to>
      <xdr:col>3</xdr:col>
      <xdr:colOff>106680</xdr:colOff>
      <xdr:row>36</xdr:row>
      <xdr:rowOff>38100</xdr:rowOff>
    </xdr:to>
    <xdr:sp macro="" textlink="">
      <xdr:nvSpPr>
        <xdr:cNvPr id="2" name="TextBox 1">
          <a:extLst>
            <a:ext uri="{FF2B5EF4-FFF2-40B4-BE49-F238E27FC236}">
              <a16:creationId xmlns:a16="http://schemas.microsoft.com/office/drawing/2014/main" id="{72F8CE74-429B-4AB2-9555-884F4AB96C83}"/>
            </a:ext>
          </a:extLst>
        </xdr:cNvPr>
        <xdr:cNvSpPr txBox="1"/>
      </xdr:nvSpPr>
      <xdr:spPr>
        <a:xfrm>
          <a:off x="2270760" y="4480560"/>
          <a:ext cx="2415540" cy="37261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b="1">
              <a:effectLst/>
            </a:rPr>
            <a:t>These Stack</a:t>
          </a:r>
        </a:p>
        <a:p>
          <a:pPr algn="just"/>
          <a:endParaRPr lang="en-US" b="1">
            <a:effectLst/>
          </a:endParaRPr>
        </a:p>
        <a:p>
          <a:pPr algn="just"/>
          <a:r>
            <a:rPr lang="en-US" b="1">
              <a:effectLst/>
            </a:rPr>
            <a:t>Blade of Blood </a:t>
          </a:r>
          <a:r>
            <a:rPr lang="en-US">
              <a:effectLst/>
            </a:rPr>
            <a:t>is a </a:t>
          </a:r>
          <a:r>
            <a:rPr lang="en-US" b="1">
              <a:effectLst/>
            </a:rPr>
            <a:t>swift</a:t>
          </a:r>
          <a:r>
            <a:rPr lang="en-US">
              <a:effectLst/>
            </a:rPr>
            <a:t> action cast, and adds either 1d6 or 3d6 damage to a single attack.</a:t>
          </a:r>
        </a:p>
        <a:p>
          <a:pPr algn="just"/>
          <a:endParaRPr lang="en-US" b="1">
            <a:effectLst/>
          </a:endParaRPr>
        </a:p>
        <a:p>
          <a:pPr algn="just"/>
          <a:r>
            <a:rPr lang="en-US" b="1">
              <a:effectLst/>
            </a:rPr>
            <a:t>Arcane Channeling </a:t>
          </a:r>
          <a:r>
            <a:rPr lang="en-US">
              <a:effectLst/>
            </a:rPr>
            <a:t>is a </a:t>
          </a:r>
          <a:r>
            <a:rPr lang="en-US" b="1">
              <a:effectLst/>
            </a:rPr>
            <a:t>standard</a:t>
          </a:r>
          <a:r>
            <a:rPr lang="en-US">
              <a:effectLst/>
            </a:rPr>
            <a:t> action, and lets a standard action spell get used through the weapon.</a:t>
          </a:r>
        </a:p>
        <a:p>
          <a:pPr algn="just"/>
          <a:endParaRPr lang="en-US" b="1">
            <a:effectLst/>
          </a:endParaRPr>
        </a:p>
        <a:p>
          <a:pPr algn="just"/>
          <a:r>
            <a:rPr lang="en-US" b="1">
              <a:effectLst/>
            </a:rPr>
            <a:t>Arcane Strike </a:t>
          </a:r>
          <a:r>
            <a:rPr lang="en-US">
              <a:effectLst/>
            </a:rPr>
            <a:t>is a </a:t>
          </a:r>
          <a:r>
            <a:rPr lang="en-US" b="1">
              <a:effectLst/>
            </a:rPr>
            <a:t>free</a:t>
          </a:r>
          <a:r>
            <a:rPr lang="en-US">
              <a:effectLst/>
            </a:rPr>
            <a:t> action, and applies to all attacks for the round.</a:t>
          </a:r>
        </a:p>
        <a:p>
          <a:pPr algn="just"/>
          <a:endParaRPr lang="en-US" b="1">
            <a:effectLst/>
          </a:endParaRPr>
        </a:p>
        <a:p>
          <a:pPr algn="just"/>
          <a:r>
            <a:rPr lang="en-US" b="1">
              <a:effectLst/>
            </a:rPr>
            <a:t>All three can be used in a single round.</a:t>
          </a:r>
        </a:p>
        <a:p>
          <a:pPr algn="just"/>
          <a:endParaRPr lang="en-US" b="1">
            <a:effectLst/>
          </a:endParaRPr>
        </a:p>
        <a:p>
          <a:pPr algn="just"/>
          <a:r>
            <a:rPr lang="en-US" b="1">
              <a:effectLst/>
            </a:rPr>
            <a:t>Blade of Blood </a:t>
          </a:r>
          <a:r>
            <a:rPr lang="en-US">
              <a:effectLst/>
            </a:rPr>
            <a:t>applies to the </a:t>
          </a:r>
          <a:r>
            <a:rPr lang="en-US" b="1">
              <a:effectLst/>
            </a:rPr>
            <a:t>first attack</a:t>
          </a:r>
          <a:r>
            <a:rPr lang="en-US">
              <a:effectLst/>
            </a:rPr>
            <a:t>. </a:t>
          </a:r>
          <a:r>
            <a:rPr lang="en-US" b="1">
              <a:effectLst/>
            </a:rPr>
            <a:t>Channeling </a:t>
          </a:r>
          <a:r>
            <a:rPr lang="en-US">
              <a:effectLst/>
            </a:rPr>
            <a:t>applies once to </a:t>
          </a:r>
          <a:r>
            <a:rPr lang="en-US" b="1">
              <a:effectLst/>
            </a:rPr>
            <a:t>each target </a:t>
          </a:r>
          <a:r>
            <a:rPr lang="en-US">
              <a:effectLst/>
            </a:rPr>
            <a:t>hit during a full attack, and </a:t>
          </a:r>
          <a:r>
            <a:rPr lang="en-US" b="1">
              <a:effectLst/>
            </a:rPr>
            <a:t>Arcane Strike </a:t>
          </a:r>
          <a:r>
            <a:rPr lang="en-US">
              <a:effectLst/>
            </a:rPr>
            <a:t>applies to </a:t>
          </a:r>
          <a:r>
            <a:rPr lang="en-US" b="1">
              <a:effectLst/>
            </a:rPr>
            <a:t>every attack and hit</a:t>
          </a:r>
          <a:r>
            <a:rPr lang="en-US">
              <a:effectLst/>
            </a:rPr>
            <a:t>.</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66675</xdr:colOff>
      <xdr:row>1</xdr:row>
      <xdr:rowOff>123825</xdr:rowOff>
    </xdr:from>
    <xdr:to>
      <xdr:col>1</xdr:col>
      <xdr:colOff>763905</xdr:colOff>
      <xdr:row>2</xdr:row>
      <xdr:rowOff>66675</xdr:rowOff>
    </xdr:to>
    <xdr:sp macro="" textlink="">
      <xdr:nvSpPr>
        <xdr:cNvPr id="3078" name="Text Box 6" hidden="1">
          <a:extLst>
            <a:ext uri="{FF2B5EF4-FFF2-40B4-BE49-F238E27FC236}">
              <a16:creationId xmlns:a16="http://schemas.microsoft.com/office/drawing/2014/main" id="{00000000-0008-0000-0400-0000060C0000}"/>
            </a:ext>
          </a:extLst>
        </xdr:cNvPr>
        <xdr:cNvSpPr txBox="1">
          <a:spLocks noChangeArrowheads="1"/>
        </xdr:cNvSpPr>
      </xdr:nvSpPr>
      <xdr:spPr bwMode="auto">
        <a:xfrm>
          <a:off x="2476500" y="428625"/>
          <a:ext cx="695325" cy="16192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18288" tIns="0" rIns="0" bIns="0" anchor="t" upright="1"/>
        <a:lstStyle/>
        <a:p>
          <a:pPr algn="ctr" rtl="0">
            <a:defRPr sz="1000"/>
          </a:pPr>
          <a:endParaRPr lang="es-VE"/>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0</xdr:row>
      <xdr:rowOff>68581</xdr:rowOff>
    </xdr:from>
    <xdr:to>
      <xdr:col>7</xdr:col>
      <xdr:colOff>302</xdr:colOff>
      <xdr:row>14</xdr:row>
      <xdr:rowOff>106680</xdr:rowOff>
    </xdr:to>
    <xdr:pic>
      <xdr:nvPicPr>
        <xdr:cNvPr id="2" name="Picture 1">
          <a:extLst>
            <a:ext uri="{FF2B5EF4-FFF2-40B4-BE49-F238E27FC236}">
              <a16:creationId xmlns:a16="http://schemas.microsoft.com/office/drawing/2014/main" id="{2257A69A-D5E4-42D3-93BD-2699F06E75F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996940" y="68581"/>
          <a:ext cx="2743502" cy="2811779"/>
        </a:xfrm>
        <a:prstGeom prst="rect">
          <a:avLst/>
        </a:prstGeom>
      </xdr:spPr>
    </xdr:pic>
    <xdr:clientData/>
  </xdr:twoCellAnchor>
  <xdr:twoCellAnchor editAs="oneCell">
    <xdr:from>
      <xdr:col>0</xdr:col>
      <xdr:colOff>0</xdr:colOff>
      <xdr:row>15</xdr:row>
      <xdr:rowOff>0</xdr:rowOff>
    </xdr:from>
    <xdr:to>
      <xdr:col>2</xdr:col>
      <xdr:colOff>220980</xdr:colOff>
      <xdr:row>31</xdr:row>
      <xdr:rowOff>120650</xdr:rowOff>
    </xdr:to>
    <xdr:pic>
      <xdr:nvPicPr>
        <xdr:cNvPr id="5" name="Picture 4">
          <a:extLst>
            <a:ext uri="{FF2B5EF4-FFF2-40B4-BE49-F238E27FC236}">
              <a16:creationId xmlns:a16="http://schemas.microsoft.com/office/drawing/2014/main" id="{4CB74DB9-467F-4270-99D4-97A3BA0D3FB2}"/>
            </a:ext>
          </a:extLst>
        </xdr:cNvPr>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0" y="2971800"/>
          <a:ext cx="5943600" cy="3290570"/>
        </a:xfrm>
        <a:prstGeom prst="rect">
          <a:avLst/>
        </a:prstGeom>
        <a:noFill/>
        <a:ln>
          <a:noFill/>
        </a:ln>
      </xdr:spPr>
    </xdr:pic>
    <xdr:clientData/>
  </xdr:twoCellAnchor>
  <xdr:twoCellAnchor editAs="oneCell">
    <xdr:from>
      <xdr:col>2</xdr:col>
      <xdr:colOff>160020</xdr:colOff>
      <xdr:row>15</xdr:row>
      <xdr:rowOff>0</xdr:rowOff>
    </xdr:from>
    <xdr:to>
      <xdr:col>8</xdr:col>
      <xdr:colOff>2186940</xdr:colOff>
      <xdr:row>31</xdr:row>
      <xdr:rowOff>196215</xdr:rowOff>
    </xdr:to>
    <xdr:pic>
      <xdr:nvPicPr>
        <xdr:cNvPr id="4" name="Picture 3">
          <a:extLst>
            <a:ext uri="{FF2B5EF4-FFF2-40B4-BE49-F238E27FC236}">
              <a16:creationId xmlns:a16="http://schemas.microsoft.com/office/drawing/2014/main" id="{8CE8F949-499E-468C-BF15-23262619190C}"/>
            </a:ext>
          </a:extLst>
        </xdr:cNvPr>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5669280" y="2971800"/>
          <a:ext cx="5943600" cy="336613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JR'%20%3cjoertexas@earthlink.net%3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62"/>
  <sheetViews>
    <sheetView showGridLines="0" tabSelected="1" zoomScaleNormal="100" workbookViewId="0"/>
  </sheetViews>
  <sheetFormatPr defaultColWidth="13" defaultRowHeight="15.6" x14ac:dyDescent="0.3"/>
  <cols>
    <col min="1" max="1" width="22.59765625" style="49" customWidth="1"/>
    <col min="2" max="3" width="8.8984375" style="50" customWidth="1"/>
    <col min="4" max="4" width="13.69921875" style="49" bestFit="1" customWidth="1"/>
    <col min="5" max="5" width="12" style="50" bestFit="1" customWidth="1"/>
    <col min="6" max="6" width="11.69921875" style="49" customWidth="1"/>
    <col min="7" max="7" width="11.69921875" style="50" customWidth="1"/>
    <col min="8" max="16384" width="13" style="12"/>
  </cols>
  <sheetData>
    <row r="1" spans="1:7" ht="29.4" thickTop="1" thickBot="1" x14ac:dyDescent="0.35">
      <c r="A1" s="549" t="s">
        <v>395</v>
      </c>
      <c r="B1" s="338" t="s">
        <v>396</v>
      </c>
      <c r="C1" s="162"/>
      <c r="D1" s="163"/>
      <c r="E1" s="281"/>
      <c r="F1" s="163"/>
      <c r="G1" s="339" t="s">
        <v>336</v>
      </c>
    </row>
    <row r="2" spans="1:7" ht="17.399999999999999" thickTop="1" x14ac:dyDescent="0.3">
      <c r="A2" s="13" t="s">
        <v>271</v>
      </c>
      <c r="B2" s="206" t="s">
        <v>375</v>
      </c>
      <c r="C2" s="206"/>
      <c r="D2" s="16" t="s">
        <v>284</v>
      </c>
      <c r="E2" s="15" t="s">
        <v>92</v>
      </c>
      <c r="F2" s="17"/>
      <c r="G2" s="18"/>
    </row>
    <row r="3" spans="1:7" ht="16.8" x14ac:dyDescent="0.3">
      <c r="A3" s="13" t="s">
        <v>379</v>
      </c>
      <c r="B3" s="493" t="s">
        <v>378</v>
      </c>
      <c r="C3" s="206"/>
      <c r="D3" s="16" t="s">
        <v>285</v>
      </c>
      <c r="E3" s="15">
        <v>32</v>
      </c>
      <c r="F3" s="17"/>
      <c r="G3" s="18"/>
    </row>
    <row r="4" spans="1:7" ht="16.8" x14ac:dyDescent="0.3">
      <c r="A4" s="13" t="s">
        <v>371</v>
      </c>
      <c r="B4" s="206" t="s">
        <v>376</v>
      </c>
      <c r="C4" s="206"/>
      <c r="D4" s="16" t="s">
        <v>372</v>
      </c>
      <c r="E4" s="15">
        <v>1</v>
      </c>
      <c r="F4" s="16"/>
      <c r="G4" s="18"/>
    </row>
    <row r="5" spans="1:7" ht="16.8" x14ac:dyDescent="0.3">
      <c r="A5" s="13" t="s">
        <v>272</v>
      </c>
      <c r="B5" s="206" t="s">
        <v>91</v>
      </c>
      <c r="C5" s="206"/>
      <c r="D5" s="16" t="s">
        <v>89</v>
      </c>
      <c r="E5" s="15">
        <v>19</v>
      </c>
      <c r="F5" s="16"/>
      <c r="G5" s="18"/>
    </row>
    <row r="6" spans="1:7" ht="16.8" x14ac:dyDescent="0.3">
      <c r="A6" s="13" t="s">
        <v>272</v>
      </c>
      <c r="B6" s="206" t="s">
        <v>389</v>
      </c>
      <c r="C6" s="206"/>
      <c r="D6" s="16" t="s">
        <v>89</v>
      </c>
      <c r="E6" s="15">
        <v>0</v>
      </c>
      <c r="F6" s="16"/>
      <c r="G6" s="18"/>
    </row>
    <row r="7" spans="1:7" ht="16.8" x14ac:dyDescent="0.3">
      <c r="A7" s="13" t="s">
        <v>273</v>
      </c>
      <c r="B7" s="206" t="s">
        <v>365</v>
      </c>
      <c r="C7" s="206"/>
      <c r="D7" s="16"/>
      <c r="E7" s="15"/>
      <c r="F7" s="16"/>
      <c r="G7" s="18"/>
    </row>
    <row r="8" spans="1:7" ht="16.8" x14ac:dyDescent="0.3">
      <c r="A8" s="13" t="s">
        <v>398</v>
      </c>
      <c r="B8" s="206" t="s">
        <v>399</v>
      </c>
      <c r="C8" s="206"/>
      <c r="D8" s="16" t="s">
        <v>286</v>
      </c>
      <c r="E8" s="15" t="s">
        <v>374</v>
      </c>
      <c r="F8" s="16"/>
      <c r="G8" s="18"/>
    </row>
    <row r="9" spans="1:7" ht="17.399999999999999" thickBot="1" x14ac:dyDescent="0.35">
      <c r="A9" s="13" t="s">
        <v>274</v>
      </c>
      <c r="B9" s="206" t="s">
        <v>158</v>
      </c>
      <c r="C9" s="206"/>
      <c r="D9" s="16" t="s">
        <v>287</v>
      </c>
      <c r="E9" s="15" t="s">
        <v>366</v>
      </c>
      <c r="F9" s="16"/>
      <c r="G9" s="18"/>
    </row>
    <row r="10" spans="1:7" ht="17.399999999999999" thickTop="1" x14ac:dyDescent="0.3">
      <c r="A10" s="19" t="s">
        <v>275</v>
      </c>
      <c r="B10" s="550">
        <f>'Personal File'!E5+1</f>
        <v>20</v>
      </c>
      <c r="C10" s="551"/>
      <c r="D10" s="20" t="s">
        <v>288</v>
      </c>
      <c r="E10" s="489" t="s">
        <v>86</v>
      </c>
      <c r="F10" s="21"/>
      <c r="G10" s="18"/>
    </row>
    <row r="11" spans="1:7" ht="16.8" x14ac:dyDescent="0.3">
      <c r="A11" s="22" t="s">
        <v>276</v>
      </c>
      <c r="B11" s="386">
        <f>C14+4</f>
        <v>9</v>
      </c>
      <c r="C11" s="387"/>
      <c r="D11" s="23" t="s">
        <v>289</v>
      </c>
      <c r="E11" s="490" t="s">
        <v>86</v>
      </c>
      <c r="F11" s="21"/>
      <c r="G11" s="18"/>
    </row>
    <row r="12" spans="1:7" ht="17.399999999999999" thickBot="1" x14ac:dyDescent="0.35">
      <c r="A12" s="24" t="s">
        <v>277</v>
      </c>
      <c r="B12" s="498">
        <v>196000</v>
      </c>
      <c r="C12" s="499"/>
      <c r="D12" s="308" t="s">
        <v>388</v>
      </c>
      <c r="E12" s="497">
        <f>SUM(E4:E6)</f>
        <v>20</v>
      </c>
      <c r="F12" s="21"/>
      <c r="G12" s="18"/>
    </row>
    <row r="13" spans="1:7" ht="17.399999999999999" thickTop="1" x14ac:dyDescent="0.3">
      <c r="A13" s="25" t="s">
        <v>278</v>
      </c>
      <c r="B13" s="572">
        <f>25+4</f>
        <v>29</v>
      </c>
      <c r="C13" s="388" t="str">
        <f t="shared" ref="C13:C18" si="0">IF(B13&gt;9.9,CONCATENATE("+",ROUNDDOWN((B13-10)/2,0)),ROUNDUP((B13-10)/2,0))</f>
        <v>+9</v>
      </c>
      <c r="D13" s="26" t="s">
        <v>290</v>
      </c>
      <c r="E13" s="492" t="s">
        <v>373</v>
      </c>
      <c r="F13" s="21"/>
      <c r="G13" s="18"/>
    </row>
    <row r="14" spans="1:7" ht="16.8" x14ac:dyDescent="0.3">
      <c r="A14" s="27" t="s">
        <v>279</v>
      </c>
      <c r="B14" s="525">
        <f>12+4+4</f>
        <v>20</v>
      </c>
      <c r="C14" s="389" t="str">
        <f t="shared" si="0"/>
        <v>+5</v>
      </c>
      <c r="D14" s="28" t="s">
        <v>291</v>
      </c>
      <c r="E14" s="29">
        <f>SUM(Martial!H3:H52,Equipment!C3:C23)+60</f>
        <v>88</v>
      </c>
      <c r="F14" s="21"/>
      <c r="G14" s="18"/>
    </row>
    <row r="15" spans="1:7" ht="16.8" x14ac:dyDescent="0.3">
      <c r="A15" s="561" t="s">
        <v>280</v>
      </c>
      <c r="B15" s="569">
        <f>16+4</f>
        <v>20</v>
      </c>
      <c r="C15" s="390" t="str">
        <f t="shared" si="0"/>
        <v>+5</v>
      </c>
      <c r="D15" s="28" t="s">
        <v>292</v>
      </c>
      <c r="E15" s="30">
        <f>ROUNDUP((('Personal File'!E5*8)*0.75)+('Personal File'!E5*C15),0)</f>
        <v>209</v>
      </c>
      <c r="F15" s="21"/>
      <c r="G15" s="18"/>
    </row>
    <row r="16" spans="1:7" ht="16.8" x14ac:dyDescent="0.3">
      <c r="A16" s="31" t="s">
        <v>281</v>
      </c>
      <c r="B16" s="570">
        <f>18+4</f>
        <v>22</v>
      </c>
      <c r="C16" s="389" t="str">
        <f t="shared" si="0"/>
        <v>+6</v>
      </c>
      <c r="D16" s="32" t="s">
        <v>293</v>
      </c>
      <c r="E16" s="558">
        <f>10+C14+1</f>
        <v>16</v>
      </c>
      <c r="F16" s="13"/>
      <c r="G16" s="18"/>
    </row>
    <row r="17" spans="1:7" ht="16.8" x14ac:dyDescent="0.3">
      <c r="A17" s="33" t="s">
        <v>282</v>
      </c>
      <c r="B17" s="570">
        <f>15+4</f>
        <v>19</v>
      </c>
      <c r="C17" s="389" t="str">
        <f t="shared" si="0"/>
        <v>+4</v>
      </c>
      <c r="D17" s="32" t="s">
        <v>294</v>
      </c>
      <c r="E17" s="385">
        <f>E18-C14</f>
        <v>36</v>
      </c>
      <c r="F17" s="21"/>
      <c r="G17" s="18"/>
    </row>
    <row r="18" spans="1:7" ht="17.399999999999999" thickBot="1" x14ac:dyDescent="0.35">
      <c r="A18" s="34" t="s">
        <v>283</v>
      </c>
      <c r="B18" s="571">
        <f>14+4</f>
        <v>18</v>
      </c>
      <c r="C18" s="391" t="str">
        <f t="shared" si="0"/>
        <v>+4</v>
      </c>
      <c r="D18" s="35" t="s">
        <v>297</v>
      </c>
      <c r="E18" s="444">
        <f>E16+SUM(Martial!$B$43:$B$49)</f>
        <v>41</v>
      </c>
      <c r="F18" s="21"/>
      <c r="G18" s="18"/>
    </row>
    <row r="19" spans="1:7" ht="24" thickTop="1" thickBot="1" x14ac:dyDescent="0.35">
      <c r="A19" s="36" t="s">
        <v>17</v>
      </c>
      <c r="B19" s="37"/>
      <c r="C19" s="37"/>
      <c r="D19" s="38"/>
      <c r="E19" s="38"/>
      <c r="F19" s="38"/>
      <c r="G19" s="39"/>
    </row>
    <row r="20" spans="1:7" s="43" customFormat="1" ht="17.399999999999999" thickTop="1" x14ac:dyDescent="0.3">
      <c r="A20" s="40"/>
      <c r="B20" s="41"/>
      <c r="C20" s="41"/>
      <c r="D20" s="41"/>
      <c r="E20" s="41"/>
      <c r="F20" s="41"/>
      <c r="G20" s="42"/>
    </row>
    <row r="21" spans="1:7" s="43" customFormat="1" ht="16.8" x14ac:dyDescent="0.3">
      <c r="A21" s="44"/>
      <c r="B21" s="14"/>
      <c r="C21" s="14"/>
      <c r="D21" s="14"/>
      <c r="E21" s="14"/>
      <c r="F21" s="14"/>
      <c r="G21" s="45"/>
    </row>
    <row r="22" spans="1:7" s="43" customFormat="1" ht="16.8" x14ac:dyDescent="0.3">
      <c r="A22" s="44"/>
      <c r="B22" s="14"/>
      <c r="C22" s="14"/>
      <c r="D22" s="14"/>
      <c r="E22" s="14"/>
      <c r="F22" s="14"/>
      <c r="G22" s="45"/>
    </row>
    <row r="23" spans="1:7" s="43" customFormat="1" ht="16.8" x14ac:dyDescent="0.3">
      <c r="A23" s="44"/>
      <c r="B23" s="14"/>
      <c r="C23" s="14"/>
      <c r="D23" s="14"/>
      <c r="E23" s="14"/>
      <c r="F23" s="14"/>
      <c r="G23" s="45"/>
    </row>
    <row r="24" spans="1:7" s="43" customFormat="1" ht="16.8" x14ac:dyDescent="0.3">
      <c r="A24" s="44"/>
      <c r="B24" s="14"/>
      <c r="C24" s="14"/>
      <c r="D24" s="14"/>
      <c r="E24" s="14"/>
      <c r="F24" s="14"/>
      <c r="G24" s="45"/>
    </row>
    <row r="25" spans="1:7" s="43" customFormat="1" ht="16.8" x14ac:dyDescent="0.3">
      <c r="A25" s="44"/>
      <c r="B25" s="14"/>
      <c r="C25" s="14"/>
      <c r="D25" s="14"/>
      <c r="E25" s="14"/>
      <c r="F25" s="14"/>
      <c r="G25" s="45"/>
    </row>
    <row r="26" spans="1:7" s="43" customFormat="1" ht="16.8" x14ac:dyDescent="0.3">
      <c r="A26" s="44"/>
      <c r="B26" s="14"/>
      <c r="C26" s="14"/>
      <c r="D26" s="14"/>
      <c r="E26" s="14"/>
      <c r="F26" s="14"/>
      <c r="G26" s="45"/>
    </row>
    <row r="27" spans="1:7" s="43" customFormat="1" ht="16.8" x14ac:dyDescent="0.3">
      <c r="A27" s="44"/>
      <c r="B27" s="14"/>
      <c r="C27" s="14"/>
      <c r="D27" s="14"/>
      <c r="E27" s="14"/>
      <c r="F27" s="14"/>
      <c r="G27" s="45"/>
    </row>
    <row r="28" spans="1:7" s="43" customFormat="1" ht="16.8" x14ac:dyDescent="0.3">
      <c r="A28" s="44"/>
      <c r="B28" s="14"/>
      <c r="C28" s="14"/>
      <c r="D28" s="14"/>
      <c r="E28" s="14"/>
      <c r="F28" s="14"/>
      <c r="G28" s="45"/>
    </row>
    <row r="29" spans="1:7" s="43" customFormat="1" ht="16.8" x14ac:dyDescent="0.3">
      <c r="A29" s="44"/>
      <c r="B29" s="14"/>
      <c r="C29" s="14"/>
      <c r="D29" s="14"/>
      <c r="E29" s="14"/>
      <c r="F29" s="14"/>
      <c r="G29" s="45"/>
    </row>
    <row r="30" spans="1:7" s="43" customFormat="1" ht="16.8" x14ac:dyDescent="0.3">
      <c r="A30" s="44"/>
      <c r="B30" s="14"/>
      <c r="C30" s="14"/>
      <c r="D30" s="14"/>
      <c r="E30" s="14"/>
      <c r="F30" s="14"/>
      <c r="G30" s="45"/>
    </row>
    <row r="31" spans="1:7" s="43" customFormat="1" ht="16.8" x14ac:dyDescent="0.3">
      <c r="A31" s="44"/>
      <c r="B31" s="14"/>
      <c r="C31" s="14"/>
      <c r="D31" s="14"/>
      <c r="E31" s="14"/>
      <c r="F31" s="14"/>
      <c r="G31" s="45"/>
    </row>
    <row r="32" spans="1:7" s="43" customFormat="1" ht="16.8" x14ac:dyDescent="0.3">
      <c r="A32" s="44"/>
      <c r="B32" s="14"/>
      <c r="C32" s="14"/>
      <c r="D32" s="14"/>
      <c r="E32" s="14"/>
      <c r="F32" s="14"/>
      <c r="G32" s="45"/>
    </row>
    <row r="33" spans="1:7" s="43" customFormat="1" ht="16.8" x14ac:dyDescent="0.3">
      <c r="A33" s="44"/>
      <c r="B33" s="14"/>
      <c r="C33" s="14"/>
      <c r="D33" s="14"/>
      <c r="E33" s="14"/>
      <c r="F33" s="14"/>
      <c r="G33" s="45"/>
    </row>
    <row r="34" spans="1:7" s="43" customFormat="1" ht="16.8" x14ac:dyDescent="0.3">
      <c r="A34" s="44"/>
      <c r="B34" s="14"/>
      <c r="C34" s="14"/>
      <c r="D34" s="14"/>
      <c r="E34" s="14"/>
      <c r="F34" s="14"/>
      <c r="G34" s="45"/>
    </row>
    <row r="35" spans="1:7" s="43" customFormat="1" ht="16.8" x14ac:dyDescent="0.3">
      <c r="A35" s="44"/>
      <c r="B35" s="14"/>
      <c r="C35" s="14"/>
      <c r="D35" s="14"/>
      <c r="E35" s="14"/>
      <c r="F35" s="14"/>
      <c r="G35" s="45"/>
    </row>
    <row r="36" spans="1:7" s="43" customFormat="1" ht="16.8" x14ac:dyDescent="0.3">
      <c r="A36" s="44"/>
      <c r="B36" s="14"/>
      <c r="C36" s="14"/>
      <c r="D36" s="14"/>
      <c r="E36" s="14"/>
      <c r="F36" s="14"/>
      <c r="G36" s="45"/>
    </row>
    <row r="37" spans="1:7" s="43" customFormat="1" ht="16.8" x14ac:dyDescent="0.3">
      <c r="A37" s="44"/>
      <c r="B37" s="14"/>
      <c r="C37" s="14"/>
      <c r="D37" s="14"/>
      <c r="E37" s="14"/>
      <c r="F37" s="14"/>
      <c r="G37" s="45"/>
    </row>
    <row r="38" spans="1:7" s="43" customFormat="1" ht="16.8" x14ac:dyDescent="0.3">
      <c r="A38" s="44"/>
      <c r="B38" s="14"/>
      <c r="C38" s="14"/>
      <c r="D38" s="14"/>
      <c r="E38" s="14"/>
      <c r="F38" s="14"/>
      <c r="G38" s="45"/>
    </row>
    <row r="39" spans="1:7" s="43" customFormat="1" ht="16.8" x14ac:dyDescent="0.3">
      <c r="A39" s="44"/>
      <c r="B39" s="14"/>
      <c r="C39" s="14"/>
      <c r="D39" s="14"/>
      <c r="E39" s="14"/>
      <c r="F39" s="14"/>
      <c r="G39" s="45"/>
    </row>
    <row r="40" spans="1:7" s="43" customFormat="1" ht="16.8" x14ac:dyDescent="0.3">
      <c r="A40" s="44"/>
      <c r="B40" s="14"/>
      <c r="C40" s="14"/>
      <c r="D40" s="14"/>
      <c r="E40" s="14"/>
      <c r="F40" s="14"/>
      <c r="G40" s="45"/>
    </row>
    <row r="41" spans="1:7" s="43" customFormat="1" ht="16.8" x14ac:dyDescent="0.3">
      <c r="A41" s="44"/>
      <c r="B41" s="14"/>
      <c r="C41" s="14"/>
      <c r="D41" s="14"/>
      <c r="E41" s="14"/>
      <c r="F41" s="14"/>
      <c r="G41" s="45"/>
    </row>
    <row r="42" spans="1:7" s="43" customFormat="1" ht="16.8" x14ac:dyDescent="0.3">
      <c r="A42" s="44"/>
      <c r="B42" s="14"/>
      <c r="C42" s="14"/>
      <c r="D42" s="14"/>
      <c r="E42" s="14"/>
      <c r="F42" s="14"/>
      <c r="G42" s="45"/>
    </row>
    <row r="43" spans="1:7" s="43" customFormat="1" ht="16.8" x14ac:dyDescent="0.3">
      <c r="A43" s="44"/>
      <c r="B43" s="14"/>
      <c r="C43" s="14"/>
      <c r="D43" s="14"/>
      <c r="E43" s="14"/>
      <c r="F43" s="14"/>
      <c r="G43" s="45"/>
    </row>
    <row r="44" spans="1:7" s="43" customFormat="1" ht="16.8" x14ac:dyDescent="0.3">
      <c r="A44" s="44"/>
      <c r="B44" s="14"/>
      <c r="C44" s="14"/>
      <c r="D44" s="14"/>
      <c r="E44" s="14"/>
      <c r="F44" s="14"/>
      <c r="G44" s="45"/>
    </row>
    <row r="45" spans="1:7" s="43" customFormat="1" ht="16.8" x14ac:dyDescent="0.3">
      <c r="A45" s="44"/>
      <c r="B45" s="14"/>
      <c r="C45" s="14"/>
      <c r="D45" s="14"/>
      <c r="E45" s="14"/>
      <c r="F45" s="14"/>
      <c r="G45" s="45"/>
    </row>
    <row r="46" spans="1:7" s="43" customFormat="1" ht="16.8" x14ac:dyDescent="0.3">
      <c r="A46" s="44"/>
      <c r="B46" s="14"/>
      <c r="C46" s="14"/>
      <c r="D46" s="14"/>
      <c r="E46" s="14"/>
      <c r="F46" s="14"/>
      <c r="G46" s="45"/>
    </row>
    <row r="47" spans="1:7" s="43" customFormat="1" ht="16.8" x14ac:dyDescent="0.3">
      <c r="A47" s="44"/>
      <c r="B47" s="14"/>
      <c r="C47" s="14"/>
      <c r="D47" s="14"/>
      <c r="E47" s="14"/>
      <c r="F47" s="14"/>
      <c r="G47" s="45"/>
    </row>
    <row r="48" spans="1:7" s="43" customFormat="1" ht="16.8" x14ac:dyDescent="0.3">
      <c r="A48" s="44"/>
      <c r="B48" s="14"/>
      <c r="C48" s="14"/>
      <c r="D48" s="14"/>
      <c r="E48" s="14"/>
      <c r="F48" s="14"/>
      <c r="G48" s="45"/>
    </row>
    <row r="49" spans="1:8" s="43" customFormat="1" ht="16.8" x14ac:dyDescent="0.3">
      <c r="A49" s="44"/>
      <c r="B49" s="14"/>
      <c r="C49" s="14"/>
      <c r="D49" s="14"/>
      <c r="E49" s="14"/>
      <c r="F49" s="14"/>
      <c r="G49" s="45"/>
    </row>
    <row r="50" spans="1:8" s="43" customFormat="1" ht="16.8" x14ac:dyDescent="0.3">
      <c r="A50" s="44"/>
      <c r="B50" s="14"/>
      <c r="C50" s="14"/>
      <c r="D50" s="14"/>
      <c r="E50" s="14"/>
      <c r="F50" s="14"/>
      <c r="G50" s="45"/>
    </row>
    <row r="51" spans="1:8" s="43" customFormat="1" ht="16.8" x14ac:dyDescent="0.3">
      <c r="A51" s="44"/>
      <c r="B51" s="14"/>
      <c r="C51" s="14"/>
      <c r="D51" s="14"/>
      <c r="E51" s="14"/>
      <c r="F51" s="14"/>
      <c r="G51" s="45"/>
    </row>
    <row r="52" spans="1:8" s="43" customFormat="1" ht="16.8" x14ac:dyDescent="0.3">
      <c r="A52" s="44"/>
      <c r="B52" s="14"/>
      <c r="C52" s="14"/>
      <c r="D52" s="14"/>
      <c r="E52" s="14"/>
      <c r="F52" s="14"/>
      <c r="G52" s="45"/>
    </row>
    <row r="53" spans="1:8" s="43" customFormat="1" ht="16.8" x14ac:dyDescent="0.3">
      <c r="A53" s="44"/>
      <c r="B53" s="14"/>
      <c r="C53" s="14"/>
      <c r="D53" s="14"/>
      <c r="E53" s="14"/>
      <c r="F53" s="14"/>
      <c r="G53" s="45"/>
    </row>
    <row r="54" spans="1:8" s="43" customFormat="1" ht="16.8" x14ac:dyDescent="0.3">
      <c r="A54" s="44"/>
      <c r="B54" s="14"/>
      <c r="C54" s="14"/>
      <c r="D54" s="14"/>
      <c r="E54" s="14"/>
      <c r="F54" s="14"/>
      <c r="G54" s="45"/>
    </row>
    <row r="55" spans="1:8" s="43" customFormat="1" ht="16.8" x14ac:dyDescent="0.3">
      <c r="A55" s="44"/>
      <c r="B55" s="14"/>
      <c r="C55" s="14"/>
      <c r="D55" s="14"/>
      <c r="E55" s="14"/>
      <c r="F55" s="14"/>
      <c r="G55" s="45"/>
    </row>
    <row r="56" spans="1:8" s="43" customFormat="1" ht="16.8" x14ac:dyDescent="0.3">
      <c r="A56" s="44"/>
      <c r="B56" s="14"/>
      <c r="C56" s="14"/>
      <c r="D56" s="14"/>
      <c r="E56" s="14"/>
      <c r="F56" s="14"/>
      <c r="G56" s="45"/>
    </row>
    <row r="57" spans="1:8" s="43" customFormat="1" ht="16.8" x14ac:dyDescent="0.3">
      <c r="A57" s="44"/>
      <c r="B57" s="14"/>
      <c r="C57" s="14"/>
      <c r="D57" s="14"/>
      <c r="E57" s="14"/>
      <c r="F57" s="14"/>
      <c r="G57" s="45"/>
    </row>
    <row r="58" spans="1:8" s="43" customFormat="1" ht="16.8" x14ac:dyDescent="0.3">
      <c r="A58" s="44"/>
      <c r="B58" s="14"/>
      <c r="C58" s="14"/>
      <c r="D58" s="14"/>
      <c r="E58" s="14"/>
      <c r="F58" s="14"/>
      <c r="G58" s="45"/>
    </row>
    <row r="59" spans="1:8" s="43" customFormat="1" ht="16.8" x14ac:dyDescent="0.3">
      <c r="A59" s="44"/>
      <c r="B59" s="14"/>
      <c r="C59" s="14"/>
      <c r="D59" s="14"/>
      <c r="E59" s="14"/>
      <c r="F59" s="14"/>
      <c r="G59" s="45"/>
    </row>
    <row r="60" spans="1:8" s="43" customFormat="1" ht="16.8" x14ac:dyDescent="0.3">
      <c r="A60" s="44"/>
      <c r="B60" s="14"/>
      <c r="C60" s="14"/>
      <c r="D60" s="14"/>
      <c r="E60" s="14"/>
      <c r="F60" s="14"/>
      <c r="G60" s="45"/>
    </row>
    <row r="61" spans="1:8" ht="17.399999999999999" thickBot="1" x14ac:dyDescent="0.35">
      <c r="A61" s="46"/>
      <c r="B61" s="47"/>
      <c r="C61" s="47"/>
      <c r="D61" s="47"/>
      <c r="E61" s="47"/>
      <c r="F61" s="47"/>
      <c r="G61" s="48"/>
      <c r="H61" s="43"/>
    </row>
    <row r="62" spans="1:8" ht="16.2" thickTop="1" x14ac:dyDescent="0.3"/>
  </sheetData>
  <phoneticPr fontId="0" type="noConversion"/>
  <conditionalFormatting sqref="E14">
    <cfRule type="cellIs" dxfId="40" priority="4" stopIfTrue="1" operator="greaterThan">
      <formula>266</formula>
    </cfRule>
    <cfRule type="cellIs" dxfId="39" priority="5" stopIfTrue="1" operator="between">
      <formula>133</formula>
      <formula>266</formula>
    </cfRule>
  </conditionalFormatting>
  <hyperlinks>
    <hyperlink ref="G1" r:id="rId1" xr:uid="{00000000-0004-0000-0000-000000000000}"/>
  </hyperlinks>
  <printOptions gridLinesSet="0"/>
  <pageMargins left="0.62" right="0.33" top="0.5" bottom="0.63" header="0.5" footer="0.5"/>
  <pageSetup orientation="portrait" horizontalDpi="120" verticalDpi="144" r:id="rId2"/>
  <headerFooter alignWithMargins="0"/>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6"/>
  <sheetViews>
    <sheetView showGridLines="0" zoomScaleNormal="100" workbookViewId="0">
      <pane ySplit="2" topLeftCell="A3" activePane="bottomLeft" state="frozen"/>
      <selection pane="bottomLeft" activeCell="A3" sqref="A3"/>
    </sheetView>
  </sheetViews>
  <sheetFormatPr defaultColWidth="13" defaultRowHeight="15.6" x14ac:dyDescent="0.3"/>
  <cols>
    <col min="1" max="1" width="28" style="49" bestFit="1" customWidth="1"/>
    <col min="2" max="2" width="5.8984375" style="49" bestFit="1" customWidth="1"/>
    <col min="3" max="3" width="11.59765625" style="50" hidden="1" customWidth="1"/>
    <col min="4" max="4" width="5.796875" style="50" hidden="1" customWidth="1"/>
    <col min="5" max="5" width="9.19921875" style="50" bestFit="1" customWidth="1"/>
    <col min="6" max="6" width="8.19921875" style="50" bestFit="1" customWidth="1"/>
    <col min="7" max="7" width="6" style="50" bestFit="1" customWidth="1"/>
    <col min="8" max="8" width="5.19921875" style="50" bestFit="1" customWidth="1"/>
    <col min="9" max="9" width="6.8984375" style="50" bestFit="1" customWidth="1"/>
    <col min="10" max="10" width="65.19921875" style="49" bestFit="1" customWidth="1"/>
    <col min="11" max="16384" width="13" style="12"/>
  </cols>
  <sheetData>
    <row r="1" spans="1:10" ht="23.4" thickBot="1" x14ac:dyDescent="0.35">
      <c r="A1" s="51" t="s">
        <v>7</v>
      </c>
      <c r="B1" s="52"/>
      <c r="C1" s="52"/>
      <c r="D1" s="52"/>
      <c r="E1" s="52"/>
      <c r="F1" s="52"/>
      <c r="G1" s="52"/>
      <c r="H1" s="52"/>
      <c r="I1" s="52"/>
      <c r="J1" s="52"/>
    </row>
    <row r="2" spans="1:10" s="43" customFormat="1" ht="34.200000000000003" thickBot="1" x14ac:dyDescent="0.35">
      <c r="A2" s="1" t="s">
        <v>264</v>
      </c>
      <c r="B2" s="2" t="s">
        <v>22</v>
      </c>
      <c r="C2" s="2" t="s">
        <v>24</v>
      </c>
      <c r="D2" s="2" t="s">
        <v>21</v>
      </c>
      <c r="E2" s="3" t="s">
        <v>49</v>
      </c>
      <c r="F2" s="3" t="s">
        <v>25</v>
      </c>
      <c r="G2" s="2" t="s">
        <v>51</v>
      </c>
      <c r="H2" s="506" t="s">
        <v>77</v>
      </c>
      <c r="I2" s="2" t="s">
        <v>63</v>
      </c>
      <c r="J2" s="4" t="s">
        <v>0</v>
      </c>
    </row>
    <row r="3" spans="1:10" s="43" customFormat="1" ht="16.8" x14ac:dyDescent="0.3">
      <c r="A3" s="53" t="s">
        <v>52</v>
      </c>
      <c r="B3" s="54">
        <f>12</f>
        <v>12</v>
      </c>
      <c r="C3" s="54" t="s">
        <v>280</v>
      </c>
      <c r="D3" s="54" t="str">
        <f>VLOOKUP(C3,'Personal File'!$A$13:$C$18,3,FALSE)</f>
        <v>+5</v>
      </c>
      <c r="E3" s="433" t="str">
        <f t="shared" ref="E3:E46" si="0">CONCATENATE(LEFT(C3,3)," (",D3,")")</f>
        <v>Con (+5)</v>
      </c>
      <c r="F3" s="434">
        <v>3</v>
      </c>
      <c r="G3" s="435">
        <f t="shared" ref="G3:G46" si="1">B3+D3+F3</f>
        <v>20</v>
      </c>
      <c r="H3" s="507">
        <f t="shared" ref="H3:H46" ca="1" si="2">RANDBETWEEN(1,20)</f>
        <v>16</v>
      </c>
      <c r="I3" s="436">
        <f t="shared" ref="I3:I5" ca="1" si="3">SUM(G3:H3)</f>
        <v>36</v>
      </c>
      <c r="J3" s="495" t="s">
        <v>384</v>
      </c>
    </row>
    <row r="4" spans="1:10" s="43" customFormat="1" ht="16.8" x14ac:dyDescent="0.3">
      <c r="A4" s="55" t="s">
        <v>53</v>
      </c>
      <c r="B4" s="54">
        <f>6</f>
        <v>6</v>
      </c>
      <c r="C4" s="54" t="s">
        <v>279</v>
      </c>
      <c r="D4" s="54" t="str">
        <f>VLOOKUP(C4,'Personal File'!$A$13:$C$18,3,FALSE)</f>
        <v>+5</v>
      </c>
      <c r="E4" s="56" t="str">
        <f t="shared" si="0"/>
        <v>Dex (+5)</v>
      </c>
      <c r="F4" s="434">
        <v>3</v>
      </c>
      <c r="G4" s="435">
        <f t="shared" si="1"/>
        <v>14</v>
      </c>
      <c r="H4" s="507">
        <f t="shared" ca="1" si="2"/>
        <v>5</v>
      </c>
      <c r="I4" s="436">
        <f t="shared" ca="1" si="3"/>
        <v>19</v>
      </c>
      <c r="J4" s="494" t="s">
        <v>385</v>
      </c>
    </row>
    <row r="5" spans="1:10" s="43" customFormat="1" ht="16.8" x14ac:dyDescent="0.3">
      <c r="A5" s="57" t="s">
        <v>54</v>
      </c>
      <c r="B5" s="58">
        <f>12</f>
        <v>12</v>
      </c>
      <c r="C5" s="58" t="s">
        <v>282</v>
      </c>
      <c r="D5" s="58" t="str">
        <f>VLOOKUP(C5,'Personal File'!$A$13:$C$18,3,FALSE)</f>
        <v>+4</v>
      </c>
      <c r="E5" s="437" t="str">
        <f t="shared" si="0"/>
        <v>Wis (+4)</v>
      </c>
      <c r="F5" s="438">
        <v>3</v>
      </c>
      <c r="G5" s="439">
        <f t="shared" si="1"/>
        <v>19</v>
      </c>
      <c r="H5" s="508">
        <f t="shared" ca="1" si="2"/>
        <v>1</v>
      </c>
      <c r="I5" s="440">
        <f t="shared" ca="1" si="3"/>
        <v>20</v>
      </c>
      <c r="J5" s="176" t="s">
        <v>386</v>
      </c>
    </row>
    <row r="6" spans="1:10" s="65" customFormat="1" ht="16.8" x14ac:dyDescent="0.3">
      <c r="A6" s="59" t="s">
        <v>26</v>
      </c>
      <c r="B6" s="54">
        <v>0</v>
      </c>
      <c r="C6" s="60" t="s">
        <v>281</v>
      </c>
      <c r="D6" s="61" t="str">
        <f>VLOOKUP(C6,'Personal File'!$A$13:$C$18,3,FALSE)</f>
        <v>+6</v>
      </c>
      <c r="E6" s="62" t="str">
        <f t="shared" si="0"/>
        <v>Int (+6)</v>
      </c>
      <c r="F6" s="63" t="s">
        <v>50</v>
      </c>
      <c r="G6" s="63">
        <f t="shared" si="1"/>
        <v>6</v>
      </c>
      <c r="H6" s="507">
        <f t="shared" ca="1" si="2"/>
        <v>19</v>
      </c>
      <c r="I6" s="63">
        <f t="shared" ref="I6:I7" ca="1" si="4">SUM(G6:H6)</f>
        <v>25</v>
      </c>
      <c r="J6" s="369"/>
    </row>
    <row r="7" spans="1:10" s="69" customFormat="1" ht="16.8" x14ac:dyDescent="0.3">
      <c r="A7" s="107" t="s">
        <v>27</v>
      </c>
      <c r="B7" s="76">
        <v>2</v>
      </c>
      <c r="C7" s="108" t="s">
        <v>279</v>
      </c>
      <c r="D7" s="109" t="str">
        <f>VLOOKUP(C7,'Personal File'!$A$13:$C$18,3,FALSE)</f>
        <v>+5</v>
      </c>
      <c r="E7" s="110" t="str">
        <f t="shared" si="0"/>
        <v>Dex (+5)</v>
      </c>
      <c r="F7" s="80" t="s">
        <v>116</v>
      </c>
      <c r="G7" s="80">
        <f t="shared" si="1"/>
        <v>5</v>
      </c>
      <c r="H7" s="509">
        <f t="shared" ca="1" si="2"/>
        <v>15</v>
      </c>
      <c r="I7" s="80">
        <f t="shared" ca="1" si="4"/>
        <v>20</v>
      </c>
      <c r="J7" s="81"/>
    </row>
    <row r="8" spans="1:10" s="74" customFormat="1" ht="16.8" x14ac:dyDescent="0.3">
      <c r="A8" s="70" t="s">
        <v>28</v>
      </c>
      <c r="B8" s="54">
        <v>0</v>
      </c>
      <c r="C8" s="71" t="s">
        <v>283</v>
      </c>
      <c r="D8" s="72" t="str">
        <f>VLOOKUP(C8,'Personal File'!$A$13:$C$18,3,FALSE)</f>
        <v>+4</v>
      </c>
      <c r="E8" s="73" t="str">
        <f t="shared" si="0"/>
        <v>Cha (+4)</v>
      </c>
      <c r="F8" s="63" t="s">
        <v>50</v>
      </c>
      <c r="G8" s="63">
        <f t="shared" si="1"/>
        <v>4</v>
      </c>
      <c r="H8" s="509">
        <f t="shared" ca="1" si="2"/>
        <v>13</v>
      </c>
      <c r="I8" s="63">
        <f t="shared" ref="I8:I46" ca="1" si="5">SUM(G8:H8)</f>
        <v>17</v>
      </c>
      <c r="J8" s="369"/>
    </row>
    <row r="9" spans="1:10" s="82" customFormat="1" ht="16.8" x14ac:dyDescent="0.3">
      <c r="A9" s="99" t="s">
        <v>29</v>
      </c>
      <c r="B9" s="54">
        <v>0</v>
      </c>
      <c r="C9" s="100" t="s">
        <v>278</v>
      </c>
      <c r="D9" s="101" t="str">
        <f>VLOOKUP(C9,'Personal File'!$A$13:$C$18,3,FALSE)</f>
        <v>+9</v>
      </c>
      <c r="E9" s="102" t="str">
        <f t="shared" si="0"/>
        <v>Str (+9)</v>
      </c>
      <c r="F9" s="63" t="s">
        <v>116</v>
      </c>
      <c r="G9" s="63">
        <f t="shared" si="1"/>
        <v>7</v>
      </c>
      <c r="H9" s="509">
        <f t="shared" ca="1" si="2"/>
        <v>19</v>
      </c>
      <c r="I9" s="63">
        <f t="shared" ca="1" si="5"/>
        <v>26</v>
      </c>
      <c r="J9" s="369"/>
    </row>
    <row r="10" spans="1:10" s="82" customFormat="1" ht="16.8" x14ac:dyDescent="0.3">
      <c r="A10" s="172" t="s">
        <v>8</v>
      </c>
      <c r="B10" s="76">
        <v>11</v>
      </c>
      <c r="C10" s="173" t="s">
        <v>280</v>
      </c>
      <c r="D10" s="174" t="str">
        <f>VLOOKUP(C10,'Personal File'!$A$13:$C$18,3,FALSE)</f>
        <v>+5</v>
      </c>
      <c r="E10" s="175" t="str">
        <f t="shared" si="0"/>
        <v>Con (+5)</v>
      </c>
      <c r="F10" s="80" t="s">
        <v>50</v>
      </c>
      <c r="G10" s="80">
        <f t="shared" si="1"/>
        <v>16</v>
      </c>
      <c r="H10" s="509">
        <f t="shared" ca="1" si="2"/>
        <v>12</v>
      </c>
      <c r="I10" s="80">
        <f t="shared" ca="1" si="5"/>
        <v>28</v>
      </c>
      <c r="J10" s="81"/>
    </row>
    <row r="11" spans="1:10" s="65" customFormat="1" ht="16.8" x14ac:dyDescent="0.3">
      <c r="A11" s="59" t="s">
        <v>99</v>
      </c>
      <c r="B11" s="54">
        <v>0</v>
      </c>
      <c r="C11" s="60" t="s">
        <v>281</v>
      </c>
      <c r="D11" s="61" t="str">
        <f>VLOOKUP(C11,'Personal File'!$A$13:$C$18,3,FALSE)</f>
        <v>+6</v>
      </c>
      <c r="E11" s="62" t="str">
        <f t="shared" si="0"/>
        <v>Int (+6)</v>
      </c>
      <c r="F11" s="63" t="s">
        <v>50</v>
      </c>
      <c r="G11" s="63">
        <f t="shared" si="1"/>
        <v>6</v>
      </c>
      <c r="H11" s="509">
        <f t="shared" ca="1" si="2"/>
        <v>18</v>
      </c>
      <c r="I11" s="63">
        <f t="shared" ca="1" si="5"/>
        <v>24</v>
      </c>
      <c r="J11" s="64"/>
    </row>
    <row r="12" spans="1:10" s="94" customFormat="1" ht="16.8" x14ac:dyDescent="0.3">
      <c r="A12" s="87" t="s">
        <v>30</v>
      </c>
      <c r="B12" s="88">
        <v>0</v>
      </c>
      <c r="C12" s="89" t="s">
        <v>281</v>
      </c>
      <c r="D12" s="90" t="str">
        <f>VLOOKUP(C12,'Personal File'!$A$13:$C$18,3,FALSE)</f>
        <v>+6</v>
      </c>
      <c r="E12" s="91" t="str">
        <f t="shared" si="0"/>
        <v>Int (+6)</v>
      </c>
      <c r="F12" s="92" t="s">
        <v>50</v>
      </c>
      <c r="G12" s="92">
        <f t="shared" si="1"/>
        <v>6</v>
      </c>
      <c r="H12" s="509">
        <f t="shared" ca="1" si="2"/>
        <v>17</v>
      </c>
      <c r="I12" s="92">
        <f t="shared" ca="1" si="5"/>
        <v>23</v>
      </c>
      <c r="J12" s="93"/>
    </row>
    <row r="13" spans="1:10" s="69" customFormat="1" ht="16.8" x14ac:dyDescent="0.3">
      <c r="A13" s="207" t="s">
        <v>31</v>
      </c>
      <c r="B13" s="76">
        <v>7</v>
      </c>
      <c r="C13" s="441" t="s">
        <v>283</v>
      </c>
      <c r="D13" s="442" t="str">
        <f>VLOOKUP(C13,'Personal File'!$A$13:$C$18,3,FALSE)</f>
        <v>+4</v>
      </c>
      <c r="E13" s="443" t="str">
        <f t="shared" si="0"/>
        <v>Cha (+4)</v>
      </c>
      <c r="F13" s="80" t="s">
        <v>71</v>
      </c>
      <c r="G13" s="80">
        <f t="shared" si="1"/>
        <v>13</v>
      </c>
      <c r="H13" s="509">
        <f t="shared" ca="1" si="2"/>
        <v>19</v>
      </c>
      <c r="I13" s="80">
        <f t="shared" ca="1" si="5"/>
        <v>32</v>
      </c>
      <c r="J13" s="81" t="s">
        <v>145</v>
      </c>
    </row>
    <row r="14" spans="1:10" s="69" customFormat="1" ht="16.8" x14ac:dyDescent="0.3">
      <c r="A14" s="87" t="s">
        <v>32</v>
      </c>
      <c r="B14" s="88">
        <v>0</v>
      </c>
      <c r="C14" s="89" t="s">
        <v>281</v>
      </c>
      <c r="D14" s="90" t="str">
        <f>VLOOKUP(C14,'Personal File'!$A$13:$C$18,3,FALSE)</f>
        <v>+6</v>
      </c>
      <c r="E14" s="91" t="str">
        <f t="shared" si="0"/>
        <v>Int (+6)</v>
      </c>
      <c r="F14" s="92" t="s">
        <v>50</v>
      </c>
      <c r="G14" s="92">
        <f t="shared" si="1"/>
        <v>6</v>
      </c>
      <c r="H14" s="509">
        <f t="shared" ca="1" si="2"/>
        <v>4</v>
      </c>
      <c r="I14" s="92">
        <f t="shared" ca="1" si="5"/>
        <v>10</v>
      </c>
      <c r="J14" s="93"/>
    </row>
    <row r="15" spans="1:10" s="69" customFormat="1" ht="16.8" x14ac:dyDescent="0.3">
      <c r="A15" s="70" t="s">
        <v>33</v>
      </c>
      <c r="B15" s="54">
        <v>0</v>
      </c>
      <c r="C15" s="71" t="s">
        <v>283</v>
      </c>
      <c r="D15" s="72" t="str">
        <f>VLOOKUP(C15,'Personal File'!$A$13:$C$18,3,FALSE)</f>
        <v>+4</v>
      </c>
      <c r="E15" s="73" t="str">
        <f t="shared" si="0"/>
        <v>Cha (+4)</v>
      </c>
      <c r="F15" s="63" t="s">
        <v>50</v>
      </c>
      <c r="G15" s="63">
        <f t="shared" si="1"/>
        <v>4</v>
      </c>
      <c r="H15" s="509">
        <f t="shared" ca="1" si="2"/>
        <v>4</v>
      </c>
      <c r="I15" s="63">
        <f t="shared" ca="1" si="5"/>
        <v>8</v>
      </c>
      <c r="J15" s="64"/>
    </row>
    <row r="16" spans="1:10" s="69" customFormat="1" ht="16.8" x14ac:dyDescent="0.3">
      <c r="A16" s="107" t="s">
        <v>34</v>
      </c>
      <c r="B16" s="76">
        <v>2</v>
      </c>
      <c r="C16" s="108" t="s">
        <v>279</v>
      </c>
      <c r="D16" s="109" t="str">
        <f>VLOOKUP(C16,'Personal File'!$A$13:$C$18,3,FALSE)</f>
        <v>+5</v>
      </c>
      <c r="E16" s="110" t="str">
        <f t="shared" si="0"/>
        <v>Dex (+5)</v>
      </c>
      <c r="F16" s="80" t="s">
        <v>116</v>
      </c>
      <c r="G16" s="80">
        <f t="shared" si="1"/>
        <v>5</v>
      </c>
      <c r="H16" s="509">
        <f t="shared" ca="1" si="2"/>
        <v>9</v>
      </c>
      <c r="I16" s="80">
        <f t="shared" ca="1" si="5"/>
        <v>14</v>
      </c>
      <c r="J16" s="81" t="s">
        <v>401</v>
      </c>
    </row>
    <row r="17" spans="1:10" s="69" customFormat="1" ht="16.8" x14ac:dyDescent="0.3">
      <c r="A17" s="59" t="s">
        <v>35</v>
      </c>
      <c r="B17" s="54">
        <v>0</v>
      </c>
      <c r="C17" s="60" t="s">
        <v>281</v>
      </c>
      <c r="D17" s="61" t="str">
        <f>VLOOKUP(C17,'Personal File'!$A$13:$C$18,3,FALSE)</f>
        <v>+6</v>
      </c>
      <c r="E17" s="62" t="str">
        <f t="shared" si="0"/>
        <v>Int (+6)</v>
      </c>
      <c r="F17" s="63" t="s">
        <v>50</v>
      </c>
      <c r="G17" s="63">
        <f t="shared" si="1"/>
        <v>6</v>
      </c>
      <c r="H17" s="509">
        <f t="shared" ca="1" si="2"/>
        <v>1</v>
      </c>
      <c r="I17" s="63">
        <f t="shared" ca="1" si="5"/>
        <v>7</v>
      </c>
      <c r="J17" s="64"/>
    </row>
    <row r="18" spans="1:10" s="69" customFormat="1" ht="16.8" x14ac:dyDescent="0.3">
      <c r="A18" s="207" t="s">
        <v>36</v>
      </c>
      <c r="B18" s="76">
        <v>2</v>
      </c>
      <c r="C18" s="441" t="s">
        <v>283</v>
      </c>
      <c r="D18" s="442" t="str">
        <f>VLOOKUP(C18,'Personal File'!$A$13:$C$18,3,FALSE)</f>
        <v>+4</v>
      </c>
      <c r="E18" s="443" t="str">
        <f t="shared" si="0"/>
        <v>Cha (+4)</v>
      </c>
      <c r="F18" s="80" t="s">
        <v>71</v>
      </c>
      <c r="G18" s="80">
        <f t="shared" si="1"/>
        <v>8</v>
      </c>
      <c r="H18" s="509">
        <f t="shared" ca="1" si="2"/>
        <v>5</v>
      </c>
      <c r="I18" s="80">
        <f t="shared" ca="1" si="5"/>
        <v>13</v>
      </c>
      <c r="J18" s="81"/>
    </row>
    <row r="19" spans="1:10" s="69" customFormat="1" ht="16.8" x14ac:dyDescent="0.3">
      <c r="A19" s="70" t="s">
        <v>10</v>
      </c>
      <c r="B19" s="54">
        <v>0</v>
      </c>
      <c r="C19" s="71" t="s">
        <v>283</v>
      </c>
      <c r="D19" s="72" t="str">
        <f>VLOOKUP(C19,'Personal File'!$A$13:$C$18,3,FALSE)</f>
        <v>+4</v>
      </c>
      <c r="E19" s="73" t="str">
        <f t="shared" si="0"/>
        <v>Cha (+4)</v>
      </c>
      <c r="F19" s="63" t="s">
        <v>50</v>
      </c>
      <c r="G19" s="63">
        <f t="shared" si="1"/>
        <v>4</v>
      </c>
      <c r="H19" s="509">
        <f t="shared" ca="1" si="2"/>
        <v>5</v>
      </c>
      <c r="I19" s="63">
        <f t="shared" ca="1" si="5"/>
        <v>9</v>
      </c>
      <c r="J19" s="64"/>
    </row>
    <row r="20" spans="1:10" s="69" customFormat="1" ht="16.8" x14ac:dyDescent="0.3">
      <c r="A20" s="111" t="s">
        <v>37</v>
      </c>
      <c r="B20" s="54">
        <v>0</v>
      </c>
      <c r="C20" s="112" t="s">
        <v>282</v>
      </c>
      <c r="D20" s="113" t="str">
        <f>VLOOKUP(C20,'Personal File'!$A$13:$C$18,3,FALSE)</f>
        <v>+4</v>
      </c>
      <c r="E20" s="114" t="str">
        <f t="shared" si="0"/>
        <v>Wis (+4)</v>
      </c>
      <c r="F20" s="63" t="s">
        <v>50</v>
      </c>
      <c r="G20" s="63">
        <f t="shared" si="1"/>
        <v>4</v>
      </c>
      <c r="H20" s="509">
        <f t="shared" ca="1" si="2"/>
        <v>20</v>
      </c>
      <c r="I20" s="63">
        <f t="shared" ca="1" si="5"/>
        <v>24</v>
      </c>
      <c r="J20" s="64"/>
    </row>
    <row r="21" spans="1:10" s="69" customFormat="1" ht="16.8" x14ac:dyDescent="0.3">
      <c r="A21" s="66" t="s">
        <v>38</v>
      </c>
      <c r="B21" s="54">
        <v>0</v>
      </c>
      <c r="C21" s="67" t="s">
        <v>279</v>
      </c>
      <c r="D21" s="68" t="str">
        <f>VLOOKUP(C21,'Personal File'!$A$13:$C$18,3,FALSE)</f>
        <v>+5</v>
      </c>
      <c r="E21" s="56" t="str">
        <f t="shared" si="0"/>
        <v>Dex (+5)</v>
      </c>
      <c r="F21" s="63" t="s">
        <v>116</v>
      </c>
      <c r="G21" s="63">
        <f t="shared" si="1"/>
        <v>3</v>
      </c>
      <c r="H21" s="509">
        <f t="shared" ca="1" si="2"/>
        <v>18</v>
      </c>
      <c r="I21" s="63">
        <f t="shared" ca="1" si="5"/>
        <v>21</v>
      </c>
      <c r="J21" s="64"/>
    </row>
    <row r="22" spans="1:10" s="69" customFormat="1" ht="16.8" x14ac:dyDescent="0.3">
      <c r="A22" s="207" t="s">
        <v>39</v>
      </c>
      <c r="B22" s="76">
        <v>1</v>
      </c>
      <c r="C22" s="441" t="s">
        <v>283</v>
      </c>
      <c r="D22" s="442" t="str">
        <f>VLOOKUP(C22,'Personal File'!$A$13:$C$18,3,FALSE)</f>
        <v>+4</v>
      </c>
      <c r="E22" s="443" t="str">
        <f t="shared" si="0"/>
        <v>Cha (+4)</v>
      </c>
      <c r="F22" s="80" t="s">
        <v>71</v>
      </c>
      <c r="G22" s="80">
        <f t="shared" si="1"/>
        <v>7</v>
      </c>
      <c r="H22" s="509">
        <f t="shared" ca="1" si="2"/>
        <v>20</v>
      </c>
      <c r="I22" s="80">
        <f t="shared" ca="1" si="5"/>
        <v>27</v>
      </c>
      <c r="J22" s="81"/>
    </row>
    <row r="23" spans="1:10" s="69" customFormat="1" ht="16.8" x14ac:dyDescent="0.3">
      <c r="A23" s="75" t="s">
        <v>40</v>
      </c>
      <c r="B23" s="76">
        <v>1</v>
      </c>
      <c r="C23" s="77" t="s">
        <v>278</v>
      </c>
      <c r="D23" s="78" t="str">
        <f>VLOOKUP(C23,'Personal File'!$A$13:$C$18,3,FALSE)</f>
        <v>+9</v>
      </c>
      <c r="E23" s="79" t="str">
        <f t="shared" si="0"/>
        <v>Str (+9)</v>
      </c>
      <c r="F23" s="80" t="s">
        <v>116</v>
      </c>
      <c r="G23" s="80">
        <f t="shared" si="1"/>
        <v>8</v>
      </c>
      <c r="H23" s="509">
        <f t="shared" ca="1" si="2"/>
        <v>20</v>
      </c>
      <c r="I23" s="80">
        <f t="shared" ca="1" si="5"/>
        <v>28</v>
      </c>
      <c r="J23" s="81"/>
    </row>
    <row r="24" spans="1:10" s="69" customFormat="1" ht="16.8" x14ac:dyDescent="0.3">
      <c r="A24" s="83" t="s">
        <v>79</v>
      </c>
      <c r="B24" s="76">
        <v>9</v>
      </c>
      <c r="C24" s="84" t="s">
        <v>281</v>
      </c>
      <c r="D24" s="85" t="str">
        <f>VLOOKUP(C24,'Personal File'!$A$13:$C$18,3,FALSE)</f>
        <v>+6</v>
      </c>
      <c r="E24" s="86" t="str">
        <f t="shared" si="0"/>
        <v>Int (+6)</v>
      </c>
      <c r="F24" s="80" t="s">
        <v>50</v>
      </c>
      <c r="G24" s="80">
        <f t="shared" ref="G24:G29" si="6">B24+D24+F24</f>
        <v>15</v>
      </c>
      <c r="H24" s="509">
        <f t="shared" ca="1" si="2"/>
        <v>7</v>
      </c>
      <c r="I24" s="80">
        <f t="shared" ref="I24:I29" ca="1" si="7">SUM(G24:H24)</f>
        <v>22</v>
      </c>
      <c r="J24" s="81"/>
    </row>
    <row r="25" spans="1:10" s="69" customFormat="1" ht="16.8" x14ac:dyDescent="0.3">
      <c r="A25" s="83" t="s">
        <v>93</v>
      </c>
      <c r="B25" s="76">
        <v>11</v>
      </c>
      <c r="C25" s="84" t="s">
        <v>281</v>
      </c>
      <c r="D25" s="85" t="str">
        <f>VLOOKUP(C25,'Personal File'!$A$13:$C$18,3,FALSE)</f>
        <v>+6</v>
      </c>
      <c r="E25" s="86" t="str">
        <f t="shared" si="0"/>
        <v>Int (+6)</v>
      </c>
      <c r="F25" s="80" t="s">
        <v>50</v>
      </c>
      <c r="G25" s="80">
        <f t="shared" ref="G25:G28" si="8">B25+D25+F25</f>
        <v>17</v>
      </c>
      <c r="H25" s="509">
        <f t="shared" ca="1" si="2"/>
        <v>11</v>
      </c>
      <c r="I25" s="80">
        <f t="shared" ref="I25:I28" ca="1" si="9">SUM(G25:H25)</f>
        <v>28</v>
      </c>
      <c r="J25" s="81"/>
    </row>
    <row r="26" spans="1:10" s="69" customFormat="1" ht="16.8" x14ac:dyDescent="0.3">
      <c r="A26" s="83" t="s">
        <v>94</v>
      </c>
      <c r="B26" s="76">
        <v>5</v>
      </c>
      <c r="C26" s="84" t="s">
        <v>281</v>
      </c>
      <c r="D26" s="85" t="str">
        <f>VLOOKUP(C26,'Personal File'!$A$13:$C$18,3,FALSE)</f>
        <v>+6</v>
      </c>
      <c r="E26" s="86" t="str">
        <f t="shared" si="0"/>
        <v>Int (+6)</v>
      </c>
      <c r="F26" s="80" t="s">
        <v>50</v>
      </c>
      <c r="G26" s="80">
        <f t="shared" si="8"/>
        <v>11</v>
      </c>
      <c r="H26" s="509">
        <f t="shared" ca="1" si="2"/>
        <v>17</v>
      </c>
      <c r="I26" s="80">
        <f t="shared" ca="1" si="9"/>
        <v>28</v>
      </c>
      <c r="J26" s="81"/>
    </row>
    <row r="27" spans="1:10" s="69" customFormat="1" ht="16.8" x14ac:dyDescent="0.3">
      <c r="A27" s="83" t="s">
        <v>95</v>
      </c>
      <c r="B27" s="76">
        <v>7</v>
      </c>
      <c r="C27" s="84" t="s">
        <v>281</v>
      </c>
      <c r="D27" s="85" t="str">
        <f>VLOOKUP(C27,'Personal File'!$A$13:$C$18,3,FALSE)</f>
        <v>+6</v>
      </c>
      <c r="E27" s="86" t="str">
        <f t="shared" si="0"/>
        <v>Int (+6)</v>
      </c>
      <c r="F27" s="80" t="s">
        <v>50</v>
      </c>
      <c r="G27" s="80">
        <f t="shared" si="8"/>
        <v>13</v>
      </c>
      <c r="H27" s="509">
        <f t="shared" ca="1" si="2"/>
        <v>10</v>
      </c>
      <c r="I27" s="80">
        <f t="shared" ca="1" si="9"/>
        <v>23</v>
      </c>
      <c r="J27" s="81"/>
    </row>
    <row r="28" spans="1:10" s="69" customFormat="1" ht="16.8" x14ac:dyDescent="0.3">
      <c r="A28" s="83" t="s">
        <v>96</v>
      </c>
      <c r="B28" s="76">
        <v>4</v>
      </c>
      <c r="C28" s="84" t="s">
        <v>281</v>
      </c>
      <c r="D28" s="85" t="str">
        <f>VLOOKUP(C28,'Personal File'!$A$13:$C$18,3,FALSE)</f>
        <v>+6</v>
      </c>
      <c r="E28" s="86" t="str">
        <f t="shared" si="0"/>
        <v>Int (+6)</v>
      </c>
      <c r="F28" s="80" t="s">
        <v>50</v>
      </c>
      <c r="G28" s="80">
        <f t="shared" si="8"/>
        <v>10</v>
      </c>
      <c r="H28" s="509">
        <f t="shared" ca="1" si="2"/>
        <v>4</v>
      </c>
      <c r="I28" s="80">
        <f t="shared" ca="1" si="9"/>
        <v>14</v>
      </c>
      <c r="J28" s="81"/>
    </row>
    <row r="29" spans="1:10" s="69" customFormat="1" ht="16.8" x14ac:dyDescent="0.3">
      <c r="A29" s="83" t="s">
        <v>97</v>
      </c>
      <c r="B29" s="76">
        <v>16</v>
      </c>
      <c r="C29" s="84" t="s">
        <v>281</v>
      </c>
      <c r="D29" s="85" t="str">
        <f>VLOOKUP(C29,'Personal File'!$A$13:$C$18,3,FALSE)</f>
        <v>+6</v>
      </c>
      <c r="E29" s="86" t="str">
        <f t="shared" si="0"/>
        <v>Int (+6)</v>
      </c>
      <c r="F29" s="80" t="s">
        <v>50</v>
      </c>
      <c r="G29" s="80">
        <f t="shared" si="6"/>
        <v>22</v>
      </c>
      <c r="H29" s="509">
        <f t="shared" ca="1" si="2"/>
        <v>17</v>
      </c>
      <c r="I29" s="80">
        <f t="shared" ca="1" si="7"/>
        <v>39</v>
      </c>
      <c r="J29" s="81"/>
    </row>
    <row r="30" spans="1:10" s="69" customFormat="1" ht="16.8" x14ac:dyDescent="0.3">
      <c r="A30" s="95" t="s">
        <v>41</v>
      </c>
      <c r="B30" s="76">
        <v>2</v>
      </c>
      <c r="C30" s="96" t="s">
        <v>282</v>
      </c>
      <c r="D30" s="97" t="str">
        <f>VLOOKUP(C30,'Personal File'!$A$13:$C$18,3,FALSE)</f>
        <v>+4</v>
      </c>
      <c r="E30" s="98" t="str">
        <f t="shared" si="0"/>
        <v>Wis (+4)</v>
      </c>
      <c r="F30" s="80" t="s">
        <v>72</v>
      </c>
      <c r="G30" s="80">
        <f t="shared" si="1"/>
        <v>7</v>
      </c>
      <c r="H30" s="509">
        <f t="shared" ca="1" si="2"/>
        <v>9</v>
      </c>
      <c r="I30" s="80">
        <f t="shared" ca="1" si="5"/>
        <v>16</v>
      </c>
      <c r="J30" s="81"/>
    </row>
    <row r="31" spans="1:10" s="69" customFormat="1" ht="16.8" x14ac:dyDescent="0.3">
      <c r="A31" s="107" t="s">
        <v>11</v>
      </c>
      <c r="B31" s="76">
        <v>2</v>
      </c>
      <c r="C31" s="108" t="s">
        <v>279</v>
      </c>
      <c r="D31" s="109" t="str">
        <f>VLOOKUP(C31,'Personal File'!$A$13:$C$18,3,FALSE)</f>
        <v>+5</v>
      </c>
      <c r="E31" s="110" t="str">
        <f t="shared" si="0"/>
        <v>Dex (+5)</v>
      </c>
      <c r="F31" s="80" t="s">
        <v>116</v>
      </c>
      <c r="G31" s="80">
        <f t="shared" si="1"/>
        <v>5</v>
      </c>
      <c r="H31" s="509">
        <f t="shared" ca="1" si="2"/>
        <v>15</v>
      </c>
      <c r="I31" s="80">
        <f t="shared" ca="1" si="5"/>
        <v>20</v>
      </c>
      <c r="J31" s="81" t="s">
        <v>145</v>
      </c>
    </row>
    <row r="32" spans="1:10" s="69" customFormat="1" ht="16.8" x14ac:dyDescent="0.3">
      <c r="A32" s="103" t="s">
        <v>42</v>
      </c>
      <c r="B32" s="88">
        <v>0</v>
      </c>
      <c r="C32" s="104" t="s">
        <v>279</v>
      </c>
      <c r="D32" s="105" t="str">
        <f>VLOOKUP(C32,'Personal File'!$A$13:$C$18,3,FALSE)</f>
        <v>+5</v>
      </c>
      <c r="E32" s="106" t="str">
        <f t="shared" si="0"/>
        <v>Dex (+5)</v>
      </c>
      <c r="F32" s="92" t="s">
        <v>50</v>
      </c>
      <c r="G32" s="92">
        <f t="shared" si="1"/>
        <v>5</v>
      </c>
      <c r="H32" s="509">
        <f t="shared" ca="1" si="2"/>
        <v>6</v>
      </c>
      <c r="I32" s="92">
        <f t="shared" ca="1" si="5"/>
        <v>11</v>
      </c>
      <c r="J32" s="93"/>
    </row>
    <row r="33" spans="1:10" ht="16.8" x14ac:dyDescent="0.3">
      <c r="A33" s="70" t="s">
        <v>78</v>
      </c>
      <c r="B33" s="54">
        <v>0</v>
      </c>
      <c r="C33" s="71" t="s">
        <v>283</v>
      </c>
      <c r="D33" s="72" t="str">
        <f>VLOOKUP(C33,'Personal File'!$A$13:$C$18,3,FALSE)</f>
        <v>+4</v>
      </c>
      <c r="E33" s="73" t="str">
        <f t="shared" si="0"/>
        <v>Cha (+4)</v>
      </c>
      <c r="F33" s="63" t="s">
        <v>50</v>
      </c>
      <c r="G33" s="63">
        <f t="shared" si="1"/>
        <v>4</v>
      </c>
      <c r="H33" s="509">
        <f t="shared" ca="1" si="2"/>
        <v>20</v>
      </c>
      <c r="I33" s="63">
        <f t="shared" ca="1" si="5"/>
        <v>24</v>
      </c>
      <c r="J33" s="64"/>
    </row>
    <row r="34" spans="1:10" ht="16.8" x14ac:dyDescent="0.3">
      <c r="A34" s="207" t="s">
        <v>327</v>
      </c>
      <c r="B34" s="76">
        <v>3</v>
      </c>
      <c r="C34" s="96" t="s">
        <v>282</v>
      </c>
      <c r="D34" s="97" t="str">
        <f>VLOOKUP(C34,'Personal File'!$A$13:$C$18,3,FALSE)</f>
        <v>+4</v>
      </c>
      <c r="E34" s="98" t="str">
        <f t="shared" si="0"/>
        <v>Wis (+4)</v>
      </c>
      <c r="F34" s="80" t="s">
        <v>50</v>
      </c>
      <c r="G34" s="80">
        <f t="shared" si="1"/>
        <v>7</v>
      </c>
      <c r="H34" s="509">
        <f t="shared" ca="1" si="2"/>
        <v>6</v>
      </c>
      <c r="I34" s="80">
        <f t="shared" ca="1" si="5"/>
        <v>13</v>
      </c>
      <c r="J34" s="81" t="s">
        <v>145</v>
      </c>
    </row>
    <row r="35" spans="1:10" ht="16.8" x14ac:dyDescent="0.3">
      <c r="A35" s="107" t="s">
        <v>12</v>
      </c>
      <c r="B35" s="76">
        <v>4</v>
      </c>
      <c r="C35" s="108" t="s">
        <v>279</v>
      </c>
      <c r="D35" s="109" t="str">
        <f>VLOOKUP(C35,'Personal File'!$A$13:$C$18,3,FALSE)</f>
        <v>+5</v>
      </c>
      <c r="E35" s="110" t="str">
        <f t="shared" si="0"/>
        <v>Dex (+5)</v>
      </c>
      <c r="F35" s="80" t="s">
        <v>50</v>
      </c>
      <c r="G35" s="80">
        <f t="shared" si="1"/>
        <v>9</v>
      </c>
      <c r="H35" s="509">
        <f t="shared" ca="1" si="2"/>
        <v>8</v>
      </c>
      <c r="I35" s="80">
        <f t="shared" ca="1" si="5"/>
        <v>17</v>
      </c>
      <c r="J35" s="81"/>
    </row>
    <row r="36" spans="1:10" ht="16.8" x14ac:dyDescent="0.3">
      <c r="A36" s="83" t="s">
        <v>13</v>
      </c>
      <c r="B36" s="76">
        <v>4</v>
      </c>
      <c r="C36" s="84" t="s">
        <v>281</v>
      </c>
      <c r="D36" s="85" t="str">
        <f>VLOOKUP(C36,'Personal File'!$A$13:$C$18,3,FALSE)</f>
        <v>+6</v>
      </c>
      <c r="E36" s="86" t="str">
        <f t="shared" si="0"/>
        <v>Int (+6)</v>
      </c>
      <c r="F36" s="80" t="s">
        <v>72</v>
      </c>
      <c r="G36" s="80">
        <f t="shared" si="1"/>
        <v>11</v>
      </c>
      <c r="H36" s="509">
        <f t="shared" ca="1" si="2"/>
        <v>8</v>
      </c>
      <c r="I36" s="80">
        <f t="shared" ca="1" si="5"/>
        <v>19</v>
      </c>
      <c r="J36" s="81"/>
    </row>
    <row r="37" spans="1:10" ht="16.8" x14ac:dyDescent="0.3">
      <c r="A37" s="95" t="s">
        <v>43</v>
      </c>
      <c r="B37" s="76">
        <v>8</v>
      </c>
      <c r="C37" s="96" t="s">
        <v>282</v>
      </c>
      <c r="D37" s="97" t="str">
        <f>VLOOKUP(C37,'Personal File'!$A$13:$C$18,3,FALSE)</f>
        <v>+4</v>
      </c>
      <c r="E37" s="98" t="str">
        <f t="shared" si="0"/>
        <v>Wis (+4)</v>
      </c>
      <c r="F37" s="80" t="s">
        <v>50</v>
      </c>
      <c r="G37" s="80">
        <f t="shared" si="1"/>
        <v>12</v>
      </c>
      <c r="H37" s="509">
        <f t="shared" ca="1" si="2"/>
        <v>4</v>
      </c>
      <c r="I37" s="80">
        <f t="shared" ca="1" si="5"/>
        <v>16</v>
      </c>
      <c r="J37" s="81"/>
    </row>
    <row r="38" spans="1:10" ht="16.8" x14ac:dyDescent="0.3">
      <c r="A38" s="103" t="s">
        <v>66</v>
      </c>
      <c r="B38" s="88">
        <v>0</v>
      </c>
      <c r="C38" s="104" t="s">
        <v>279</v>
      </c>
      <c r="D38" s="105" t="str">
        <f>VLOOKUP(C38,'Personal File'!$A$13:$C$18,3,FALSE)</f>
        <v>+5</v>
      </c>
      <c r="E38" s="106" t="str">
        <f t="shared" si="0"/>
        <v>Dex (+5)</v>
      </c>
      <c r="F38" s="92" t="s">
        <v>116</v>
      </c>
      <c r="G38" s="92">
        <f t="shared" si="1"/>
        <v>3</v>
      </c>
      <c r="H38" s="509">
        <f t="shared" ca="1" si="2"/>
        <v>16</v>
      </c>
      <c r="I38" s="92">
        <f t="shared" ca="1" si="5"/>
        <v>19</v>
      </c>
      <c r="J38" s="93"/>
    </row>
    <row r="39" spans="1:10" ht="16.8" x14ac:dyDescent="0.3">
      <c r="A39" s="87" t="s">
        <v>98</v>
      </c>
      <c r="B39" s="88">
        <v>0</v>
      </c>
      <c r="C39" s="89" t="s">
        <v>281</v>
      </c>
      <c r="D39" s="90" t="str">
        <f>VLOOKUP(C39,'Personal File'!$A$13:$C$18,3,FALSE)</f>
        <v>+6</v>
      </c>
      <c r="E39" s="91" t="str">
        <f t="shared" si="0"/>
        <v>Int (+6)</v>
      </c>
      <c r="F39" s="92" t="s">
        <v>50</v>
      </c>
      <c r="G39" s="92">
        <f t="shared" ref="G39" si="10">B39+D39+F39</f>
        <v>6</v>
      </c>
      <c r="H39" s="509">
        <f t="shared" ca="1" si="2"/>
        <v>15</v>
      </c>
      <c r="I39" s="92">
        <f t="shared" ref="I39" ca="1" si="11">SUM(G39:H39)</f>
        <v>21</v>
      </c>
      <c r="J39" s="164"/>
    </row>
    <row r="40" spans="1:10" ht="16.8" x14ac:dyDescent="0.3">
      <c r="A40" s="83" t="s">
        <v>44</v>
      </c>
      <c r="B40" s="76">
        <v>8</v>
      </c>
      <c r="C40" s="84" t="s">
        <v>281</v>
      </c>
      <c r="D40" s="85" t="str">
        <f>VLOOKUP(C40,'Personal File'!$A$13:$C$18,3,FALSE)</f>
        <v>+6</v>
      </c>
      <c r="E40" s="86" t="str">
        <f t="shared" si="0"/>
        <v>Int (+6)</v>
      </c>
      <c r="F40" s="80" t="s">
        <v>50</v>
      </c>
      <c r="G40" s="80">
        <f t="shared" ref="G40" si="12">B40+D40+F40</f>
        <v>14</v>
      </c>
      <c r="H40" s="509">
        <f t="shared" ca="1" si="2"/>
        <v>1</v>
      </c>
      <c r="I40" s="80">
        <f t="shared" ref="I40" ca="1" si="13">SUM(G40:H40)</f>
        <v>15</v>
      </c>
      <c r="J40" s="115"/>
    </row>
    <row r="41" spans="1:10" ht="16.8" x14ac:dyDescent="0.3">
      <c r="A41" s="95" t="s">
        <v>45</v>
      </c>
      <c r="B41" s="76">
        <v>4</v>
      </c>
      <c r="C41" s="96" t="s">
        <v>282</v>
      </c>
      <c r="D41" s="97" t="str">
        <f>VLOOKUP(C41,'Personal File'!$A$13:$C$18,3,FALSE)</f>
        <v>+4</v>
      </c>
      <c r="E41" s="98" t="str">
        <f t="shared" si="0"/>
        <v>Wis (+4)</v>
      </c>
      <c r="F41" s="496">
        <f>1+2</f>
        <v>3</v>
      </c>
      <c r="G41" s="80">
        <f t="shared" si="1"/>
        <v>11</v>
      </c>
      <c r="H41" s="509">
        <f t="shared" ca="1" si="2"/>
        <v>13</v>
      </c>
      <c r="I41" s="80">
        <f t="shared" ca="1" si="5"/>
        <v>24</v>
      </c>
      <c r="J41" s="115"/>
    </row>
    <row r="42" spans="1:10" ht="16.8" x14ac:dyDescent="0.3">
      <c r="A42" s="95" t="s">
        <v>67</v>
      </c>
      <c r="B42" s="76">
        <v>4</v>
      </c>
      <c r="C42" s="96" t="s">
        <v>282</v>
      </c>
      <c r="D42" s="97" t="str">
        <f>VLOOKUP(C42,'Personal File'!$A$13:$C$18,3,FALSE)</f>
        <v>+4</v>
      </c>
      <c r="E42" s="98" t="str">
        <f t="shared" si="0"/>
        <v>Wis (+4)</v>
      </c>
      <c r="F42" s="80" t="s">
        <v>50</v>
      </c>
      <c r="G42" s="80">
        <f t="shared" si="1"/>
        <v>8</v>
      </c>
      <c r="H42" s="509">
        <f t="shared" ca="1" si="2"/>
        <v>12</v>
      </c>
      <c r="I42" s="80">
        <f t="shared" ca="1" si="5"/>
        <v>20</v>
      </c>
      <c r="J42" s="81"/>
    </row>
    <row r="43" spans="1:10" ht="16.8" x14ac:dyDescent="0.3">
      <c r="A43" s="75" t="s">
        <v>14</v>
      </c>
      <c r="B43" s="76">
        <v>2</v>
      </c>
      <c r="C43" s="77" t="s">
        <v>278</v>
      </c>
      <c r="D43" s="78" t="str">
        <f>VLOOKUP(C43,'Personal File'!$A$13:$C$18,3,FALSE)</f>
        <v>+9</v>
      </c>
      <c r="E43" s="79" t="str">
        <f t="shared" si="0"/>
        <v>Str (+9)</v>
      </c>
      <c r="F43" s="80" t="s">
        <v>50</v>
      </c>
      <c r="G43" s="80">
        <f t="shared" si="1"/>
        <v>11</v>
      </c>
      <c r="H43" s="509">
        <f t="shared" ca="1" si="2"/>
        <v>15</v>
      </c>
      <c r="I43" s="80">
        <f t="shared" ca="1" si="5"/>
        <v>26</v>
      </c>
      <c r="J43" s="81"/>
    </row>
    <row r="44" spans="1:10" ht="16.8" x14ac:dyDescent="0.3">
      <c r="A44" s="107" t="s">
        <v>46</v>
      </c>
      <c r="B44" s="76">
        <v>2</v>
      </c>
      <c r="C44" s="108" t="s">
        <v>279</v>
      </c>
      <c r="D44" s="109" t="str">
        <f>VLOOKUP(C44,'Personal File'!$A$13:$C$18,3,FALSE)</f>
        <v>+5</v>
      </c>
      <c r="E44" s="110" t="str">
        <f t="shared" si="0"/>
        <v>Dex (+5)</v>
      </c>
      <c r="F44" s="80" t="s">
        <v>116</v>
      </c>
      <c r="G44" s="80">
        <f t="shared" si="1"/>
        <v>5</v>
      </c>
      <c r="H44" s="509">
        <f t="shared" ca="1" si="2"/>
        <v>3</v>
      </c>
      <c r="I44" s="80">
        <f t="shared" ca="1" si="5"/>
        <v>8</v>
      </c>
      <c r="J44" s="81" t="s">
        <v>145</v>
      </c>
    </row>
    <row r="45" spans="1:10" ht="16.8" x14ac:dyDescent="0.3">
      <c r="A45" s="207" t="s">
        <v>47</v>
      </c>
      <c r="B45" s="76">
        <v>5</v>
      </c>
      <c r="C45" s="441" t="s">
        <v>283</v>
      </c>
      <c r="D45" s="442" t="str">
        <f>VLOOKUP(C45,'Personal File'!$A$13:$C$18,3,FALSE)</f>
        <v>+4</v>
      </c>
      <c r="E45" s="443" t="str">
        <f t="shared" si="0"/>
        <v>Cha (+4)</v>
      </c>
      <c r="F45" s="80" t="s">
        <v>50</v>
      </c>
      <c r="G45" s="80">
        <f t="shared" si="1"/>
        <v>9</v>
      </c>
      <c r="H45" s="509">
        <f t="shared" ca="1" si="2"/>
        <v>14</v>
      </c>
      <c r="I45" s="80">
        <f t="shared" ca="1" si="5"/>
        <v>23</v>
      </c>
      <c r="J45" s="81"/>
    </row>
    <row r="46" spans="1:10" ht="17.399999999999999" thickBot="1" x14ac:dyDescent="0.35">
      <c r="A46" s="165" t="s">
        <v>48</v>
      </c>
      <c r="B46" s="166">
        <v>0</v>
      </c>
      <c r="C46" s="167" t="s">
        <v>279</v>
      </c>
      <c r="D46" s="168" t="str">
        <f>VLOOKUP(C46,'Personal File'!$A$13:$C$18,3,FALSE)</f>
        <v>+5</v>
      </c>
      <c r="E46" s="169" t="str">
        <f t="shared" si="0"/>
        <v>Dex (+5)</v>
      </c>
      <c r="F46" s="170" t="s">
        <v>50</v>
      </c>
      <c r="G46" s="170">
        <f t="shared" si="1"/>
        <v>5</v>
      </c>
      <c r="H46" s="510">
        <f t="shared" ca="1" si="2"/>
        <v>9</v>
      </c>
      <c r="I46" s="170">
        <f t="shared" ca="1" si="5"/>
        <v>14</v>
      </c>
      <c r="J46" s="171"/>
    </row>
    <row r="47" spans="1:10" ht="16.2" thickTop="1" x14ac:dyDescent="0.3">
      <c r="B47" s="215">
        <f>SUM(B6:B46,B13,B31,B34,B44)</f>
        <v>140</v>
      </c>
      <c r="E47" s="215">
        <f>SUM(E48:E66)</f>
        <v>176</v>
      </c>
      <c r="F47" s="117" t="s">
        <v>51</v>
      </c>
    </row>
    <row r="48" spans="1:10" x14ac:dyDescent="0.3">
      <c r="E48" s="158">
        <f>4*(2+'Personal File'!$C$16)</f>
        <v>32</v>
      </c>
      <c r="F48" s="119" t="s">
        <v>100</v>
      </c>
    </row>
    <row r="49" spans="2:6" x14ac:dyDescent="0.3">
      <c r="B49" s="116"/>
      <c r="E49" s="158">
        <f>2+'Personal File'!$C$16</f>
        <v>8</v>
      </c>
      <c r="F49" s="119" t="s">
        <v>101</v>
      </c>
    </row>
    <row r="50" spans="2:6" x14ac:dyDescent="0.3">
      <c r="B50" s="116"/>
      <c r="E50" s="158">
        <f>2+'Personal File'!$C$16</f>
        <v>8</v>
      </c>
      <c r="F50" s="119" t="s">
        <v>102</v>
      </c>
    </row>
    <row r="51" spans="2:6" x14ac:dyDescent="0.3">
      <c r="B51" s="116"/>
      <c r="E51" s="158">
        <f>2+'Personal File'!$C$16</f>
        <v>8</v>
      </c>
      <c r="F51" s="119" t="s">
        <v>103</v>
      </c>
    </row>
    <row r="52" spans="2:6" x14ac:dyDescent="0.3">
      <c r="E52" s="158">
        <f>2+'Personal File'!$C$16</f>
        <v>8</v>
      </c>
      <c r="F52" s="119" t="s">
        <v>154</v>
      </c>
    </row>
    <row r="53" spans="2:6" x14ac:dyDescent="0.3">
      <c r="E53" s="158">
        <f>2+'Personal File'!$C$16</f>
        <v>8</v>
      </c>
      <c r="F53" s="119" t="s">
        <v>155</v>
      </c>
    </row>
    <row r="54" spans="2:6" x14ac:dyDescent="0.3">
      <c r="E54" s="158">
        <f>2+'Personal File'!$C$16</f>
        <v>8</v>
      </c>
      <c r="F54" s="119" t="s">
        <v>156</v>
      </c>
    </row>
    <row r="55" spans="2:6" x14ac:dyDescent="0.3">
      <c r="E55" s="158">
        <f>2+'Personal File'!$C$16</f>
        <v>8</v>
      </c>
      <c r="F55" s="119" t="s">
        <v>157</v>
      </c>
    </row>
    <row r="56" spans="2:6" x14ac:dyDescent="0.3">
      <c r="E56" s="158">
        <f>2+'Personal File'!$C$16</f>
        <v>8</v>
      </c>
      <c r="F56" s="119" t="s">
        <v>195</v>
      </c>
    </row>
    <row r="57" spans="2:6" x14ac:dyDescent="0.3">
      <c r="E57" s="158">
        <f>2+'Personal File'!$C$16</f>
        <v>8</v>
      </c>
      <c r="F57" s="119" t="s">
        <v>211</v>
      </c>
    </row>
    <row r="58" spans="2:6" x14ac:dyDescent="0.3">
      <c r="E58" s="158">
        <f>2+'Personal File'!$C$16</f>
        <v>8</v>
      </c>
      <c r="F58" s="119" t="s">
        <v>230</v>
      </c>
    </row>
    <row r="59" spans="2:6" x14ac:dyDescent="0.3">
      <c r="E59" s="158">
        <f>2+'Personal File'!$C$16</f>
        <v>8</v>
      </c>
      <c r="F59" s="119" t="s">
        <v>231</v>
      </c>
    </row>
    <row r="60" spans="2:6" x14ac:dyDescent="0.3">
      <c r="E60" s="158">
        <f>2+'Personal File'!$C$16</f>
        <v>8</v>
      </c>
      <c r="F60" s="119" t="s">
        <v>270</v>
      </c>
    </row>
    <row r="61" spans="2:6" x14ac:dyDescent="0.3">
      <c r="E61" s="158">
        <f>2+'Personal File'!$C$16</f>
        <v>8</v>
      </c>
      <c r="F61" s="119" t="s">
        <v>308</v>
      </c>
    </row>
    <row r="62" spans="2:6" x14ac:dyDescent="0.3">
      <c r="E62" s="158">
        <f>2+'Personal File'!$C$16</f>
        <v>8</v>
      </c>
      <c r="F62" s="119" t="s">
        <v>309</v>
      </c>
    </row>
    <row r="63" spans="2:6" x14ac:dyDescent="0.3">
      <c r="E63" s="158">
        <f>2+'Personal File'!$C$16</f>
        <v>8</v>
      </c>
      <c r="F63" s="119" t="s">
        <v>326</v>
      </c>
    </row>
    <row r="64" spans="2:6" x14ac:dyDescent="0.3">
      <c r="E64" s="158">
        <f>2+'Personal File'!$C$16</f>
        <v>8</v>
      </c>
      <c r="F64" s="119" t="s">
        <v>329</v>
      </c>
    </row>
    <row r="65" spans="5:6" x14ac:dyDescent="0.3">
      <c r="E65" s="158">
        <f>2+'Personal File'!$C$16</f>
        <v>8</v>
      </c>
      <c r="F65" s="119" t="s">
        <v>415</v>
      </c>
    </row>
    <row r="66" spans="5:6" x14ac:dyDescent="0.3">
      <c r="E66" s="158">
        <f>2+'Personal File'!$C$16</f>
        <v>8</v>
      </c>
      <c r="F66" s="119" t="s">
        <v>415</v>
      </c>
    </row>
  </sheetData>
  <phoneticPr fontId="0" type="noConversion"/>
  <printOptions gridLinesSet="0"/>
  <pageMargins left="0.62" right="0.33" top="0.5" bottom="0.63" header="0.5" footer="0.5"/>
  <pageSetup orientation="portrait" horizontalDpi="120" verticalDpi="144"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45"/>
  <sheetViews>
    <sheetView showGridLines="0" zoomScaleNormal="100" workbookViewId="0">
      <pane ySplit="2" topLeftCell="A3" activePane="bottomLeft" state="frozen"/>
      <selection pane="bottomLeft" activeCell="A3" sqref="A3"/>
    </sheetView>
  </sheetViews>
  <sheetFormatPr defaultColWidth="18.19921875" defaultRowHeight="15.6" x14ac:dyDescent="0.3"/>
  <cols>
    <col min="1" max="1" width="23.69921875" style="190" bestFit="1" customWidth="1"/>
    <col min="2" max="2" width="6.19921875" style="190" bestFit="1" customWidth="1"/>
    <col min="3" max="3" width="13.59765625" style="191" bestFit="1" customWidth="1"/>
    <col min="4" max="4" width="11.296875" style="191" bestFit="1" customWidth="1"/>
    <col min="5" max="5" width="7.296875" style="191" bestFit="1" customWidth="1"/>
    <col min="6" max="6" width="13.19921875" style="191" bestFit="1" customWidth="1"/>
    <col min="7" max="7" width="9.796875" style="191" bestFit="1" customWidth="1"/>
    <col min="8" max="8" width="21.69921875" style="190" bestFit="1" customWidth="1"/>
    <col min="9" max="9" width="5.5" style="189" bestFit="1" customWidth="1"/>
    <col min="10" max="10" width="4.8984375" style="189" bestFit="1" customWidth="1"/>
    <col min="11" max="16384" width="18.19921875" style="189"/>
  </cols>
  <sheetData>
    <row r="1" spans="1:10" ht="23.4" thickBot="1" x14ac:dyDescent="0.45">
      <c r="A1" s="335" t="s">
        <v>137</v>
      </c>
      <c r="B1" s="201"/>
      <c r="C1" s="201"/>
      <c r="D1" s="201"/>
      <c r="E1" s="201"/>
      <c r="F1" s="201"/>
      <c r="G1" s="201"/>
      <c r="H1" s="201"/>
    </row>
    <row r="2" spans="1:10" s="223" customFormat="1" ht="16.8" x14ac:dyDescent="0.3">
      <c r="A2" s="330" t="s">
        <v>136</v>
      </c>
      <c r="B2" s="331" t="s">
        <v>89</v>
      </c>
      <c r="C2" s="331" t="s">
        <v>135</v>
      </c>
      <c r="D2" s="332" t="s">
        <v>134</v>
      </c>
      <c r="E2" s="332" t="s">
        <v>133</v>
      </c>
      <c r="F2" s="331" t="s">
        <v>132</v>
      </c>
      <c r="G2" s="331" t="s">
        <v>131</v>
      </c>
      <c r="H2" s="333" t="s">
        <v>140</v>
      </c>
      <c r="I2" s="334" t="s">
        <v>141</v>
      </c>
      <c r="J2" s="488" t="s">
        <v>300</v>
      </c>
    </row>
    <row r="3" spans="1:10" s="200" customFormat="1" ht="16.8" x14ac:dyDescent="0.3">
      <c r="A3" s="336" t="s">
        <v>167</v>
      </c>
      <c r="B3" s="196">
        <v>0</v>
      </c>
      <c r="C3" s="224" t="s">
        <v>130</v>
      </c>
      <c r="D3" s="194" t="s">
        <v>120</v>
      </c>
      <c r="E3" s="225" t="s">
        <v>119</v>
      </c>
      <c r="F3" s="202" t="s">
        <v>128</v>
      </c>
      <c r="G3" s="202" t="s">
        <v>117</v>
      </c>
      <c r="H3" s="202" t="s">
        <v>138</v>
      </c>
      <c r="I3" s="203">
        <v>196</v>
      </c>
    </row>
    <row r="4" spans="1:10" ht="16.8" x14ac:dyDescent="0.3">
      <c r="A4" s="336" t="s">
        <v>142</v>
      </c>
      <c r="B4" s="196">
        <v>0</v>
      </c>
      <c r="C4" s="199" t="s">
        <v>143</v>
      </c>
      <c r="D4" s="194" t="s">
        <v>124</v>
      </c>
      <c r="E4" s="197" t="s">
        <v>119</v>
      </c>
      <c r="F4" s="197" t="s">
        <v>128</v>
      </c>
      <c r="G4" s="197" t="s">
        <v>122</v>
      </c>
      <c r="H4" s="202" t="s">
        <v>138</v>
      </c>
      <c r="I4" s="203">
        <v>217</v>
      </c>
    </row>
    <row r="5" spans="1:10" ht="16.8" x14ac:dyDescent="0.3">
      <c r="A5" s="336" t="s">
        <v>129</v>
      </c>
      <c r="B5" s="196">
        <v>0</v>
      </c>
      <c r="C5" s="199" t="s">
        <v>150</v>
      </c>
      <c r="D5" s="198" t="s">
        <v>120</v>
      </c>
      <c r="E5" s="197" t="s">
        <v>119</v>
      </c>
      <c r="F5" s="197" t="s">
        <v>128</v>
      </c>
      <c r="G5" s="197" t="s">
        <v>117</v>
      </c>
      <c r="H5" s="202" t="s">
        <v>138</v>
      </c>
      <c r="I5" s="203">
        <v>223</v>
      </c>
    </row>
    <row r="6" spans="1:10" ht="16.8" x14ac:dyDescent="0.3">
      <c r="A6" s="336" t="s">
        <v>196</v>
      </c>
      <c r="B6" s="196">
        <v>0</v>
      </c>
      <c r="C6" s="227" t="s">
        <v>173</v>
      </c>
      <c r="D6" s="194" t="s">
        <v>120</v>
      </c>
      <c r="E6" s="225" t="s">
        <v>119</v>
      </c>
      <c r="F6" s="202" t="s">
        <v>171</v>
      </c>
      <c r="G6" s="202" t="s">
        <v>117</v>
      </c>
      <c r="H6" s="202" t="s">
        <v>138</v>
      </c>
      <c r="I6" s="203">
        <v>246</v>
      </c>
    </row>
    <row r="7" spans="1:10" ht="16.8" x14ac:dyDescent="0.3">
      <c r="A7" s="337" t="s">
        <v>168</v>
      </c>
      <c r="B7" s="192">
        <v>0</v>
      </c>
      <c r="C7" s="282" t="s">
        <v>150</v>
      </c>
      <c r="D7" s="283" t="s">
        <v>124</v>
      </c>
      <c r="E7" s="285" t="s">
        <v>119</v>
      </c>
      <c r="F7" s="285" t="s">
        <v>126</v>
      </c>
      <c r="G7" s="285" t="s">
        <v>125</v>
      </c>
      <c r="H7" s="204" t="s">
        <v>138</v>
      </c>
      <c r="I7" s="205">
        <v>294</v>
      </c>
    </row>
    <row r="8" spans="1:10" ht="16.8" x14ac:dyDescent="0.3">
      <c r="A8" s="336" t="s">
        <v>197</v>
      </c>
      <c r="B8" s="196">
        <v>1</v>
      </c>
      <c r="C8" s="227" t="s">
        <v>150</v>
      </c>
      <c r="D8" s="194" t="s">
        <v>120</v>
      </c>
      <c r="E8" s="225" t="s">
        <v>119</v>
      </c>
      <c r="F8" s="202" t="s">
        <v>126</v>
      </c>
      <c r="G8" s="202" t="s">
        <v>117</v>
      </c>
      <c r="H8" s="202" t="s">
        <v>138</v>
      </c>
      <c r="I8" s="257">
        <v>209</v>
      </c>
    </row>
    <row r="9" spans="1:10" ht="16.8" x14ac:dyDescent="0.3">
      <c r="A9" s="336" t="s">
        <v>198</v>
      </c>
      <c r="B9" s="196">
        <v>1</v>
      </c>
      <c r="C9" s="227" t="s">
        <v>144</v>
      </c>
      <c r="D9" s="194" t="s">
        <v>147</v>
      </c>
      <c r="E9" s="225" t="s">
        <v>200</v>
      </c>
      <c r="F9" s="202" t="s">
        <v>128</v>
      </c>
      <c r="G9" s="202" t="s">
        <v>125</v>
      </c>
      <c r="H9" s="202" t="s">
        <v>138</v>
      </c>
      <c r="I9" s="257">
        <v>229</v>
      </c>
    </row>
    <row r="10" spans="1:10" ht="16.8" x14ac:dyDescent="0.3">
      <c r="A10" s="336" t="s">
        <v>232</v>
      </c>
      <c r="B10" s="196">
        <v>1</v>
      </c>
      <c r="C10" s="227" t="s">
        <v>173</v>
      </c>
      <c r="D10" s="194" t="s">
        <v>147</v>
      </c>
      <c r="E10" s="225" t="s">
        <v>119</v>
      </c>
      <c r="F10" s="202" t="s">
        <v>171</v>
      </c>
      <c r="G10" s="202" t="s">
        <v>122</v>
      </c>
      <c r="H10" s="202" t="s">
        <v>172</v>
      </c>
      <c r="I10" s="203">
        <v>145</v>
      </c>
    </row>
    <row r="11" spans="1:10" ht="16.8" x14ac:dyDescent="0.3">
      <c r="A11" s="336" t="s">
        <v>233</v>
      </c>
      <c r="B11" s="196">
        <v>1</v>
      </c>
      <c r="C11" s="227" t="s">
        <v>144</v>
      </c>
      <c r="D11" s="194" t="s">
        <v>120</v>
      </c>
      <c r="E11" s="225" t="s">
        <v>119</v>
      </c>
      <c r="F11" s="202" t="s">
        <v>171</v>
      </c>
      <c r="G11" s="202" t="s">
        <v>234</v>
      </c>
      <c r="H11" s="202" t="s">
        <v>235</v>
      </c>
      <c r="I11" s="203">
        <v>72</v>
      </c>
    </row>
    <row r="12" spans="1:10" ht="16.8" x14ac:dyDescent="0.3">
      <c r="A12" s="336" t="s">
        <v>127</v>
      </c>
      <c r="B12" s="196">
        <v>1</v>
      </c>
      <c r="C12" s="227" t="s">
        <v>121</v>
      </c>
      <c r="D12" s="194" t="s">
        <v>120</v>
      </c>
      <c r="E12" s="225" t="s">
        <v>119</v>
      </c>
      <c r="F12" s="202" t="s">
        <v>126</v>
      </c>
      <c r="G12" s="202" t="s">
        <v>117</v>
      </c>
      <c r="H12" s="202" t="s">
        <v>138</v>
      </c>
      <c r="I12" s="257">
        <v>279</v>
      </c>
      <c r="J12" s="488"/>
    </row>
    <row r="13" spans="1:10" ht="16.8" x14ac:dyDescent="0.3">
      <c r="A13" s="336" t="s">
        <v>199</v>
      </c>
      <c r="B13" s="196">
        <v>1</v>
      </c>
      <c r="C13" s="199" t="s">
        <v>143</v>
      </c>
      <c r="D13" s="194" t="s">
        <v>176</v>
      </c>
      <c r="E13" s="197" t="s">
        <v>119</v>
      </c>
      <c r="F13" s="197" t="s">
        <v>118</v>
      </c>
      <c r="G13" s="197" t="s">
        <v>170</v>
      </c>
      <c r="H13" s="202" t="s">
        <v>138</v>
      </c>
      <c r="I13" s="203">
        <v>280</v>
      </c>
    </row>
    <row r="14" spans="1:10" ht="16.8" x14ac:dyDescent="0.3">
      <c r="A14" s="336" t="s">
        <v>166</v>
      </c>
      <c r="B14" s="196">
        <v>1</v>
      </c>
      <c r="C14" s="227" t="s">
        <v>144</v>
      </c>
      <c r="D14" s="194" t="s">
        <v>147</v>
      </c>
      <c r="E14" s="225" t="s">
        <v>123</v>
      </c>
      <c r="F14" s="202" t="s">
        <v>171</v>
      </c>
      <c r="G14" s="202" t="s">
        <v>122</v>
      </c>
      <c r="H14" s="202" t="s">
        <v>172</v>
      </c>
      <c r="I14" s="203">
        <v>149</v>
      </c>
      <c r="J14" s="488"/>
    </row>
    <row r="15" spans="1:10" ht="16.8" x14ac:dyDescent="0.3">
      <c r="A15" s="337" t="s">
        <v>165</v>
      </c>
      <c r="B15" s="192">
        <v>1</v>
      </c>
      <c r="C15" s="282" t="s">
        <v>173</v>
      </c>
      <c r="D15" s="283" t="s">
        <v>174</v>
      </c>
      <c r="E15" s="285" t="s">
        <v>119</v>
      </c>
      <c r="F15" s="285" t="s">
        <v>171</v>
      </c>
      <c r="G15" s="285" t="s">
        <v>175</v>
      </c>
      <c r="H15" s="204" t="s">
        <v>138</v>
      </c>
      <c r="I15" s="205">
        <v>296</v>
      </c>
    </row>
    <row r="16" spans="1:10" ht="16.8" x14ac:dyDescent="0.3">
      <c r="A16" s="336" t="s">
        <v>201</v>
      </c>
      <c r="B16" s="196">
        <v>2</v>
      </c>
      <c r="C16" s="227" t="s">
        <v>144</v>
      </c>
      <c r="D16" s="194" t="s">
        <v>208</v>
      </c>
      <c r="E16" s="225" t="s">
        <v>119</v>
      </c>
      <c r="F16" s="202" t="s">
        <v>126</v>
      </c>
      <c r="G16" s="202" t="s">
        <v>177</v>
      </c>
      <c r="H16" s="202" t="s">
        <v>138</v>
      </c>
      <c r="I16" s="203">
        <v>203</v>
      </c>
      <c r="J16" s="488"/>
    </row>
    <row r="17" spans="1:10" ht="16.8" x14ac:dyDescent="0.3">
      <c r="A17" s="336" t="s">
        <v>236</v>
      </c>
      <c r="B17" s="196">
        <v>2</v>
      </c>
      <c r="C17" s="227" t="s">
        <v>237</v>
      </c>
      <c r="D17" s="194" t="s">
        <v>147</v>
      </c>
      <c r="E17" s="225" t="s">
        <v>123</v>
      </c>
      <c r="F17" s="202" t="s">
        <v>171</v>
      </c>
      <c r="G17" s="202" t="s">
        <v>125</v>
      </c>
      <c r="H17" s="202" t="s">
        <v>172</v>
      </c>
      <c r="I17" s="203">
        <v>144</v>
      </c>
    </row>
    <row r="18" spans="1:10" ht="16.8" x14ac:dyDescent="0.3">
      <c r="A18" s="336" t="s">
        <v>169</v>
      </c>
      <c r="B18" s="196">
        <v>2</v>
      </c>
      <c r="C18" s="227" t="s">
        <v>144</v>
      </c>
      <c r="D18" s="194" t="s">
        <v>176</v>
      </c>
      <c r="E18" s="225" t="s">
        <v>119</v>
      </c>
      <c r="F18" s="202" t="s">
        <v>126</v>
      </c>
      <c r="G18" s="202" t="s">
        <v>170</v>
      </c>
      <c r="H18" s="202" t="s">
        <v>138</v>
      </c>
      <c r="I18" s="203">
        <v>207</v>
      </c>
      <c r="J18" s="488"/>
    </row>
    <row r="19" spans="1:10" ht="16.8" x14ac:dyDescent="0.3">
      <c r="A19" s="336" t="s">
        <v>146</v>
      </c>
      <c r="B19" s="196">
        <v>2</v>
      </c>
      <c r="C19" s="227" t="s">
        <v>130</v>
      </c>
      <c r="D19" s="194" t="s">
        <v>147</v>
      </c>
      <c r="E19" s="225" t="s">
        <v>119</v>
      </c>
      <c r="F19" s="202" t="s">
        <v>126</v>
      </c>
      <c r="G19" s="202" t="s">
        <v>117</v>
      </c>
      <c r="H19" s="202" t="s">
        <v>139</v>
      </c>
      <c r="I19" s="203">
        <v>110</v>
      </c>
      <c r="J19" s="488" t="s">
        <v>300</v>
      </c>
    </row>
    <row r="20" spans="1:10" ht="16.8" x14ac:dyDescent="0.3">
      <c r="A20" s="336" t="s">
        <v>202</v>
      </c>
      <c r="B20" s="196">
        <v>2</v>
      </c>
      <c r="C20" s="227" t="s">
        <v>207</v>
      </c>
      <c r="D20" s="194" t="s">
        <v>208</v>
      </c>
      <c r="E20" s="225" t="s">
        <v>119</v>
      </c>
      <c r="F20" s="202" t="s">
        <v>126</v>
      </c>
      <c r="G20" s="202" t="s">
        <v>177</v>
      </c>
      <c r="H20" s="202" t="s">
        <v>138</v>
      </c>
      <c r="I20" s="203">
        <v>272</v>
      </c>
    </row>
    <row r="21" spans="1:10" ht="16.8" x14ac:dyDescent="0.3">
      <c r="A21" s="336" t="s">
        <v>238</v>
      </c>
      <c r="B21" s="196">
        <v>2</v>
      </c>
      <c r="C21" s="195" t="s">
        <v>144</v>
      </c>
      <c r="D21" s="194" t="s">
        <v>147</v>
      </c>
      <c r="E21" s="212" t="s">
        <v>123</v>
      </c>
      <c r="F21" s="193" t="s">
        <v>171</v>
      </c>
      <c r="G21" s="193" t="s">
        <v>122</v>
      </c>
      <c r="H21" s="202" t="s">
        <v>172</v>
      </c>
      <c r="I21" s="203">
        <v>149</v>
      </c>
      <c r="J21" s="488"/>
    </row>
    <row r="22" spans="1:10" ht="16.8" x14ac:dyDescent="0.3">
      <c r="A22" s="336" t="s">
        <v>203</v>
      </c>
      <c r="B22" s="196">
        <v>2</v>
      </c>
      <c r="C22" s="195" t="s">
        <v>143</v>
      </c>
      <c r="D22" s="194" t="s">
        <v>120</v>
      </c>
      <c r="E22" s="212" t="s">
        <v>119</v>
      </c>
      <c r="F22" s="193" t="s">
        <v>126</v>
      </c>
      <c r="G22" s="193" t="s">
        <v>177</v>
      </c>
      <c r="H22" s="202" t="s">
        <v>138</v>
      </c>
      <c r="I22" s="203">
        <v>294</v>
      </c>
    </row>
    <row r="23" spans="1:10" ht="16.8" x14ac:dyDescent="0.3">
      <c r="A23" s="336" t="s">
        <v>204</v>
      </c>
      <c r="B23" s="196">
        <v>2</v>
      </c>
      <c r="C23" s="195" t="s">
        <v>150</v>
      </c>
      <c r="D23" s="194" t="s">
        <v>120</v>
      </c>
      <c r="E23" s="212" t="s">
        <v>119</v>
      </c>
      <c r="F23" s="193" t="s">
        <v>126</v>
      </c>
      <c r="G23" s="193" t="s">
        <v>117</v>
      </c>
      <c r="H23" s="202" t="s">
        <v>172</v>
      </c>
      <c r="I23" s="203">
        <v>158</v>
      </c>
    </row>
    <row r="24" spans="1:10" ht="16.8" x14ac:dyDescent="0.3">
      <c r="A24" s="337" t="s">
        <v>212</v>
      </c>
      <c r="B24" s="192">
        <v>2</v>
      </c>
      <c r="C24" s="258" t="s">
        <v>144</v>
      </c>
      <c r="D24" s="284" t="s">
        <v>120</v>
      </c>
      <c r="E24" s="259" t="s">
        <v>123</v>
      </c>
      <c r="F24" s="286" t="s">
        <v>171</v>
      </c>
      <c r="G24" s="204" t="s">
        <v>122</v>
      </c>
      <c r="H24" s="204" t="s">
        <v>172</v>
      </c>
      <c r="I24" s="287">
        <v>158</v>
      </c>
    </row>
    <row r="25" spans="1:10" ht="16.8" x14ac:dyDescent="0.3">
      <c r="A25" s="336" t="s">
        <v>228</v>
      </c>
      <c r="B25" s="196">
        <v>3</v>
      </c>
      <c r="C25" s="195" t="s">
        <v>144</v>
      </c>
      <c r="D25" s="194" t="s">
        <v>124</v>
      </c>
      <c r="E25" s="212" t="s">
        <v>119</v>
      </c>
      <c r="F25" s="193" t="s">
        <v>128</v>
      </c>
      <c r="G25" s="193" t="s">
        <v>125</v>
      </c>
      <c r="H25" s="202" t="s">
        <v>138</v>
      </c>
      <c r="I25" s="203">
        <v>239</v>
      </c>
      <c r="J25" s="488"/>
    </row>
    <row r="26" spans="1:10" ht="16.8" x14ac:dyDescent="0.3">
      <c r="A26" s="336" t="s">
        <v>205</v>
      </c>
      <c r="B26" s="196">
        <v>3</v>
      </c>
      <c r="C26" s="195" t="s">
        <v>150</v>
      </c>
      <c r="D26" s="194" t="s">
        <v>120</v>
      </c>
      <c r="E26" s="212" t="s">
        <v>119</v>
      </c>
      <c r="F26" s="193" t="s">
        <v>126</v>
      </c>
      <c r="G26" s="193" t="s">
        <v>206</v>
      </c>
      <c r="H26" s="202" t="s">
        <v>138</v>
      </c>
      <c r="I26" s="203">
        <v>244</v>
      </c>
    </row>
    <row r="27" spans="1:10" ht="16.8" x14ac:dyDescent="0.3">
      <c r="A27" s="336" t="s">
        <v>213</v>
      </c>
      <c r="B27" s="196">
        <v>3</v>
      </c>
      <c r="C27" s="227" t="s">
        <v>144</v>
      </c>
      <c r="D27" s="194" t="s">
        <v>120</v>
      </c>
      <c r="E27" s="225" t="s">
        <v>119</v>
      </c>
      <c r="F27" s="202" t="s">
        <v>128</v>
      </c>
      <c r="G27" s="202" t="s">
        <v>177</v>
      </c>
      <c r="H27" s="202" t="s">
        <v>138</v>
      </c>
      <c r="I27" s="203">
        <v>246</v>
      </c>
    </row>
    <row r="28" spans="1:10" ht="16.8" x14ac:dyDescent="0.3">
      <c r="A28" s="336" t="s">
        <v>191</v>
      </c>
      <c r="B28" s="196">
        <v>3</v>
      </c>
      <c r="C28" s="199" t="s">
        <v>150</v>
      </c>
      <c r="D28" s="198" t="s">
        <v>120</v>
      </c>
      <c r="E28" s="197" t="s">
        <v>119</v>
      </c>
      <c r="F28" s="197" t="s">
        <v>126</v>
      </c>
      <c r="G28" s="197" t="s">
        <v>175</v>
      </c>
      <c r="H28" s="202" t="s">
        <v>138</v>
      </c>
      <c r="I28" s="203">
        <v>298</v>
      </c>
      <c r="J28" s="488"/>
    </row>
    <row r="29" spans="1:10" ht="16.8" x14ac:dyDescent="0.3">
      <c r="A29" s="336" t="s">
        <v>219</v>
      </c>
      <c r="B29" s="196">
        <v>3</v>
      </c>
      <c r="C29" s="199" t="s">
        <v>143</v>
      </c>
      <c r="D29" s="198" t="s">
        <v>147</v>
      </c>
      <c r="E29" s="197" t="s">
        <v>119</v>
      </c>
      <c r="F29" s="197" t="s">
        <v>86</v>
      </c>
      <c r="G29" s="197" t="s">
        <v>117</v>
      </c>
      <c r="H29" s="202" t="s">
        <v>222</v>
      </c>
      <c r="I29" s="203">
        <v>111</v>
      </c>
    </row>
    <row r="30" spans="1:10" ht="16.8" x14ac:dyDescent="0.3">
      <c r="A30" s="336" t="s">
        <v>239</v>
      </c>
      <c r="B30" s="196">
        <v>3</v>
      </c>
      <c r="C30" s="227" t="s">
        <v>144</v>
      </c>
      <c r="D30" s="194" t="s">
        <v>240</v>
      </c>
      <c r="E30" s="225" t="s">
        <v>119</v>
      </c>
      <c r="F30" s="202" t="s">
        <v>171</v>
      </c>
      <c r="G30" s="226" t="s">
        <v>177</v>
      </c>
      <c r="H30" s="226" t="s">
        <v>221</v>
      </c>
      <c r="I30" s="203">
        <v>73</v>
      </c>
      <c r="J30" s="488" t="s">
        <v>300</v>
      </c>
    </row>
    <row r="31" spans="1:10" ht="16.8" x14ac:dyDescent="0.3">
      <c r="A31" s="336" t="s">
        <v>241</v>
      </c>
      <c r="B31" s="196">
        <v>3</v>
      </c>
      <c r="C31" s="227" t="s">
        <v>130</v>
      </c>
      <c r="D31" s="194" t="s">
        <v>120</v>
      </c>
      <c r="E31" s="225" t="s">
        <v>119</v>
      </c>
      <c r="F31" s="202" t="s">
        <v>128</v>
      </c>
      <c r="G31" s="202" t="s">
        <v>117</v>
      </c>
      <c r="H31" s="202" t="s">
        <v>139</v>
      </c>
      <c r="I31" s="203">
        <v>122</v>
      </c>
    </row>
    <row r="32" spans="1:10" ht="16.8" x14ac:dyDescent="0.3">
      <c r="A32" s="337" t="s">
        <v>242</v>
      </c>
      <c r="B32" s="192">
        <v>3</v>
      </c>
      <c r="C32" s="282" t="s">
        <v>207</v>
      </c>
      <c r="D32" s="283" t="s">
        <v>208</v>
      </c>
      <c r="E32" s="285" t="s">
        <v>119</v>
      </c>
      <c r="F32" s="285" t="s">
        <v>126</v>
      </c>
      <c r="G32" s="285" t="s">
        <v>177</v>
      </c>
      <c r="H32" s="204" t="s">
        <v>138</v>
      </c>
      <c r="I32" s="205">
        <v>266</v>
      </c>
    </row>
    <row r="33" spans="1:10" ht="16.8" x14ac:dyDescent="0.3">
      <c r="A33" s="336" t="s">
        <v>243</v>
      </c>
      <c r="B33" s="196">
        <v>4</v>
      </c>
      <c r="C33" s="195" t="s">
        <v>121</v>
      </c>
      <c r="D33" s="370" t="s">
        <v>120</v>
      </c>
      <c r="E33" s="193" t="s">
        <v>251</v>
      </c>
      <c r="F33" s="193" t="s">
        <v>118</v>
      </c>
      <c r="G33" s="193" t="s">
        <v>117</v>
      </c>
      <c r="H33" s="202" t="s">
        <v>139</v>
      </c>
      <c r="I33" s="203">
        <v>106</v>
      </c>
    </row>
    <row r="34" spans="1:10" ht="16.8" x14ac:dyDescent="0.3">
      <c r="A34" s="336" t="s">
        <v>244</v>
      </c>
      <c r="B34" s="196">
        <v>4</v>
      </c>
      <c r="C34" s="195" t="s">
        <v>144</v>
      </c>
      <c r="D34" s="370" t="s">
        <v>147</v>
      </c>
      <c r="E34" s="193" t="s">
        <v>119</v>
      </c>
      <c r="F34" s="193" t="s">
        <v>220</v>
      </c>
      <c r="G34" s="193" t="s">
        <v>117</v>
      </c>
      <c r="H34" s="202" t="s">
        <v>138</v>
      </c>
      <c r="I34" s="203">
        <v>221</v>
      </c>
    </row>
    <row r="35" spans="1:10" ht="16.8" x14ac:dyDescent="0.3">
      <c r="A35" s="336" t="s">
        <v>245</v>
      </c>
      <c r="B35" s="196">
        <v>4</v>
      </c>
      <c r="C35" s="195" t="s">
        <v>207</v>
      </c>
      <c r="D35" s="370" t="s">
        <v>120</v>
      </c>
      <c r="E35" s="193" t="s">
        <v>119</v>
      </c>
      <c r="F35" s="193" t="s">
        <v>118</v>
      </c>
      <c r="G35" s="193" t="s">
        <v>117</v>
      </c>
      <c r="H35" s="202" t="s">
        <v>138</v>
      </c>
      <c r="I35" s="203">
        <v>223</v>
      </c>
    </row>
    <row r="36" spans="1:10" ht="16.8" x14ac:dyDescent="0.3">
      <c r="A36" s="337" t="s">
        <v>246</v>
      </c>
      <c r="B36" s="192">
        <v>4</v>
      </c>
      <c r="C36" s="382" t="s">
        <v>121</v>
      </c>
      <c r="D36" s="383" t="s">
        <v>176</v>
      </c>
      <c r="E36" s="384" t="s">
        <v>119</v>
      </c>
      <c r="F36" s="384" t="s">
        <v>171</v>
      </c>
      <c r="G36" s="384" t="s">
        <v>125</v>
      </c>
      <c r="H36" s="204" t="s">
        <v>138</v>
      </c>
      <c r="I36" s="205">
        <v>230</v>
      </c>
    </row>
    <row r="37" spans="1:10" ht="16.8" x14ac:dyDescent="0.3">
      <c r="A37" s="336" t="s">
        <v>247</v>
      </c>
      <c r="B37" s="196">
        <v>5</v>
      </c>
      <c r="C37" s="195" t="s">
        <v>121</v>
      </c>
      <c r="D37" s="370" t="s">
        <v>248</v>
      </c>
      <c r="E37" s="193" t="s">
        <v>119</v>
      </c>
      <c r="F37" s="193" t="s">
        <v>220</v>
      </c>
      <c r="G37" s="193" t="s">
        <v>117</v>
      </c>
      <c r="H37" s="202" t="s">
        <v>138</v>
      </c>
      <c r="I37" s="203">
        <v>203</v>
      </c>
    </row>
    <row r="38" spans="1:10" ht="16.8" x14ac:dyDescent="0.3">
      <c r="A38" s="336" t="s">
        <v>330</v>
      </c>
      <c r="B38" s="196">
        <v>5</v>
      </c>
      <c r="C38" s="227" t="s">
        <v>121</v>
      </c>
      <c r="D38" s="194" t="s">
        <v>335</v>
      </c>
      <c r="E38" s="225" t="s">
        <v>119</v>
      </c>
      <c r="F38" s="226" t="s">
        <v>118</v>
      </c>
      <c r="G38" s="202" t="s">
        <v>125</v>
      </c>
      <c r="H38" s="202" t="s">
        <v>138</v>
      </c>
      <c r="I38" s="203">
        <v>203</v>
      </c>
    </row>
    <row r="39" spans="1:10" ht="16.8" x14ac:dyDescent="0.3">
      <c r="A39" s="336" t="s">
        <v>331</v>
      </c>
      <c r="B39" s="196">
        <v>5</v>
      </c>
      <c r="C39" s="227" t="s">
        <v>143</v>
      </c>
      <c r="D39" s="194" t="s">
        <v>335</v>
      </c>
      <c r="E39" s="225" t="s">
        <v>119</v>
      </c>
      <c r="F39" s="202" t="s">
        <v>118</v>
      </c>
      <c r="G39" s="202" t="s">
        <v>125</v>
      </c>
      <c r="H39" s="202" t="s">
        <v>138</v>
      </c>
      <c r="I39" s="203">
        <v>241</v>
      </c>
    </row>
    <row r="40" spans="1:10" ht="16.8" x14ac:dyDescent="0.3">
      <c r="A40" s="336" t="s">
        <v>332</v>
      </c>
      <c r="B40" s="196">
        <v>5</v>
      </c>
      <c r="C40" s="227" t="s">
        <v>121</v>
      </c>
      <c r="D40" s="194" t="s">
        <v>248</v>
      </c>
      <c r="E40" s="225" t="s">
        <v>119</v>
      </c>
      <c r="F40" s="202" t="s">
        <v>128</v>
      </c>
      <c r="G40" s="202" t="s">
        <v>117</v>
      </c>
      <c r="H40" s="202" t="s">
        <v>138</v>
      </c>
      <c r="I40" s="203">
        <v>262</v>
      </c>
    </row>
    <row r="41" spans="1:10" ht="16.8" x14ac:dyDescent="0.3">
      <c r="A41" s="336" t="s">
        <v>333</v>
      </c>
      <c r="B41" s="196">
        <v>5</v>
      </c>
      <c r="C41" s="227" t="s">
        <v>121</v>
      </c>
      <c r="D41" s="194" t="s">
        <v>120</v>
      </c>
      <c r="E41" s="225" t="s">
        <v>119</v>
      </c>
      <c r="F41" s="226" t="s">
        <v>118</v>
      </c>
      <c r="G41" s="202" t="s">
        <v>117</v>
      </c>
      <c r="H41" s="202" t="s">
        <v>139</v>
      </c>
      <c r="I41" s="203">
        <v>125</v>
      </c>
    </row>
    <row r="42" spans="1:10" ht="16.8" x14ac:dyDescent="0.3">
      <c r="A42" s="336" t="s">
        <v>334</v>
      </c>
      <c r="B42" s="196">
        <v>5</v>
      </c>
      <c r="C42" s="195" t="s">
        <v>121</v>
      </c>
      <c r="D42" s="370" t="s">
        <v>120</v>
      </c>
      <c r="E42" s="193" t="s">
        <v>119</v>
      </c>
      <c r="F42" s="193" t="s">
        <v>171</v>
      </c>
      <c r="G42" s="193" t="s">
        <v>125</v>
      </c>
      <c r="H42" s="202" t="s">
        <v>139</v>
      </c>
      <c r="I42" s="203">
        <v>125</v>
      </c>
    </row>
    <row r="43" spans="1:10" ht="16.8" x14ac:dyDescent="0.3">
      <c r="A43" s="336" t="s">
        <v>249</v>
      </c>
      <c r="B43" s="196">
        <v>5</v>
      </c>
      <c r="C43" s="195" t="s">
        <v>144</v>
      </c>
      <c r="D43" s="370" t="s">
        <v>176</v>
      </c>
      <c r="E43" s="193" t="s">
        <v>119</v>
      </c>
      <c r="F43" s="193" t="s">
        <v>118</v>
      </c>
      <c r="G43" s="193" t="s">
        <v>117</v>
      </c>
      <c r="H43" s="202" t="s">
        <v>138</v>
      </c>
      <c r="I43" s="203">
        <v>222</v>
      </c>
      <c r="J43" s="488"/>
    </row>
    <row r="44" spans="1:10" ht="17.399999999999999" thickBot="1" x14ac:dyDescent="0.35">
      <c r="A44" s="467" t="s">
        <v>250</v>
      </c>
      <c r="B44" s="468">
        <v>5</v>
      </c>
      <c r="C44" s="469" t="s">
        <v>150</v>
      </c>
      <c r="D44" s="470" t="s">
        <v>120</v>
      </c>
      <c r="E44" s="471" t="s">
        <v>119</v>
      </c>
      <c r="F44" s="471" t="s">
        <v>86</v>
      </c>
      <c r="G44" s="471" t="s">
        <v>117</v>
      </c>
      <c r="H44" s="471" t="s">
        <v>138</v>
      </c>
      <c r="I44" s="472">
        <v>301</v>
      </c>
    </row>
    <row r="45" spans="1:10" ht="16.2" thickTop="1" x14ac:dyDescent="0.3"/>
  </sheetData>
  <sortState xmlns:xlrd2="http://schemas.microsoft.com/office/spreadsheetml/2017/richdata2" ref="A3:I28">
    <sortCondition ref="B3:B28"/>
    <sortCondition ref="A3:A28"/>
  </sortState>
  <printOptions gridLinesSet="0"/>
  <pageMargins left="0.62" right="0.33" top="0.5" bottom="0.63" header="0.5" footer="0.5"/>
  <pageSetup orientation="portrait" horizontalDpi="120" verticalDpi="144"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34"/>
  <sheetViews>
    <sheetView showGridLines="0" workbookViewId="0"/>
  </sheetViews>
  <sheetFormatPr defaultColWidth="9.59765625" defaultRowHeight="16.8" x14ac:dyDescent="0.3"/>
  <cols>
    <col min="1" max="1" width="28.796875" style="122" bestFit="1" customWidth="1"/>
    <col min="2" max="2" width="2.19921875" style="121" customWidth="1"/>
    <col min="3" max="3" width="29.09765625" style="121" bestFit="1" customWidth="1"/>
    <col min="4" max="4" width="2.3984375" style="121" customWidth="1"/>
    <col min="5" max="5" width="16.3984375" style="121" bestFit="1" customWidth="1"/>
    <col min="6" max="11" width="3.796875" style="121" customWidth="1"/>
    <col min="12" max="16384" width="9.59765625" style="121"/>
  </cols>
  <sheetData>
    <row r="1" spans="1:11" ht="22.2" thickTop="1" thickBot="1" x14ac:dyDescent="0.35">
      <c r="A1" s="228" t="s">
        <v>69</v>
      </c>
      <c r="C1" s="229" t="s">
        <v>104</v>
      </c>
      <c r="E1" s="116" t="s">
        <v>439</v>
      </c>
      <c r="F1" s="310" t="s">
        <v>258</v>
      </c>
      <c r="G1" s="311"/>
      <c r="H1" s="312"/>
      <c r="I1" s="312"/>
      <c r="J1" s="312"/>
      <c r="K1" s="313"/>
    </row>
    <row r="2" spans="1:11" ht="17.399999999999999" thickBot="1" x14ac:dyDescent="0.35">
      <c r="A2" s="395" t="s">
        <v>194</v>
      </c>
      <c r="C2" s="392" t="s">
        <v>106</v>
      </c>
      <c r="E2" s="548" t="s">
        <v>438</v>
      </c>
      <c r="F2" s="314" t="s">
        <v>252</v>
      </c>
      <c r="G2" s="315" t="s">
        <v>160</v>
      </c>
      <c r="H2" s="315" t="s">
        <v>161</v>
      </c>
      <c r="I2" s="315" t="s">
        <v>162</v>
      </c>
      <c r="J2" s="315" t="s">
        <v>163</v>
      </c>
      <c r="K2" s="316" t="s">
        <v>164</v>
      </c>
    </row>
    <row r="3" spans="1:11" ht="17.399999999999999" thickTop="1" x14ac:dyDescent="0.3">
      <c r="A3" s="395" t="s">
        <v>178</v>
      </c>
      <c r="C3" s="393" t="str">
        <f>CONCATENATE("Spell-Like Abilities, CL ",'Personal File'!E5)</f>
        <v>Spell-Like Abilities, CL 19</v>
      </c>
      <c r="E3" s="317" t="s">
        <v>262</v>
      </c>
      <c r="F3" s="318">
        <v>6</v>
      </c>
      <c r="G3" s="319">
        <v>10</v>
      </c>
      <c r="H3" s="319">
        <v>10</v>
      </c>
      <c r="I3" s="319">
        <v>9</v>
      </c>
      <c r="J3" s="319">
        <v>7</v>
      </c>
      <c r="K3" s="465">
        <v>5</v>
      </c>
    </row>
    <row r="4" spans="1:11" x14ac:dyDescent="0.3">
      <c r="A4" s="395" t="s">
        <v>179</v>
      </c>
      <c r="C4" s="394" t="s">
        <v>267</v>
      </c>
      <c r="E4" s="320" t="s">
        <v>257</v>
      </c>
      <c r="F4" s="321">
        <v>0</v>
      </c>
      <c r="G4" s="321">
        <v>1</v>
      </c>
      <c r="H4" s="321">
        <v>1</v>
      </c>
      <c r="I4" s="321">
        <v>1</v>
      </c>
      <c r="J4" s="321">
        <v>0</v>
      </c>
      <c r="K4" s="466">
        <v>0</v>
      </c>
    </row>
    <row r="5" spans="1:11" ht="17.399999999999999" thickBot="1" x14ac:dyDescent="0.35">
      <c r="A5" s="500" t="s">
        <v>192</v>
      </c>
      <c r="C5" s="395" t="s">
        <v>383</v>
      </c>
      <c r="E5" s="322" t="s">
        <v>253</v>
      </c>
      <c r="F5" s="323">
        <f t="shared" ref="F5:I5" si="0">SUM(F3:F4)</f>
        <v>6</v>
      </c>
      <c r="G5" s="478">
        <f>IF(E2="Worn",2*SUM(G3:G4),SUM(G3:G4))</f>
        <v>22</v>
      </c>
      <c r="H5" s="323">
        <f t="shared" si="0"/>
        <v>11</v>
      </c>
      <c r="I5" s="323">
        <f t="shared" si="0"/>
        <v>10</v>
      </c>
      <c r="J5" s="323">
        <f t="shared" ref="J5:K5" si="1">SUM(J3:J4)</f>
        <v>7</v>
      </c>
      <c r="K5" s="464">
        <f t="shared" si="1"/>
        <v>5</v>
      </c>
    </row>
    <row r="6" spans="1:11" x14ac:dyDescent="0.3">
      <c r="A6" s="500" t="s">
        <v>227</v>
      </c>
      <c r="C6" s="395" t="s">
        <v>382</v>
      </c>
      <c r="E6" s="324" t="s">
        <v>114</v>
      </c>
      <c r="F6" s="325">
        <f>10+LEFT(F2,1)+'Personal File'!$C$16</f>
        <v>16</v>
      </c>
      <c r="G6" s="325">
        <f>10+LEFT(G2,1)+'Personal File'!$C$16</f>
        <v>17</v>
      </c>
      <c r="H6" s="325">
        <f>10+LEFT(H2,1)+'Personal File'!$C$16</f>
        <v>18</v>
      </c>
      <c r="I6" s="325">
        <f>10+LEFT(I2,1)+'Personal File'!$C$16</f>
        <v>19</v>
      </c>
      <c r="J6" s="325">
        <f>10+LEFT(J2,1)+'Personal File'!$C$16</f>
        <v>20</v>
      </c>
      <c r="K6" s="326">
        <f>10+LEFT(K2,1)+'Personal File'!$C$16</f>
        <v>21</v>
      </c>
    </row>
    <row r="7" spans="1:11" ht="17.399999999999999" thickBot="1" x14ac:dyDescent="0.35">
      <c r="A7" s="540" t="s">
        <v>416</v>
      </c>
      <c r="C7" s="395" t="s">
        <v>105</v>
      </c>
      <c r="E7" s="327" t="s">
        <v>115</v>
      </c>
      <c r="F7" s="328">
        <v>0</v>
      </c>
      <c r="G7" s="328">
        <v>1</v>
      </c>
      <c r="H7" s="328">
        <v>1</v>
      </c>
      <c r="I7" s="328">
        <v>3</v>
      </c>
      <c r="J7" s="328">
        <v>2</v>
      </c>
      <c r="K7" s="463">
        <v>1</v>
      </c>
    </row>
    <row r="8" spans="1:11" ht="18" thickTop="1" thickBot="1" x14ac:dyDescent="0.35">
      <c r="A8" s="501" t="s">
        <v>417</v>
      </c>
      <c r="C8" s="396" t="s">
        <v>107</v>
      </c>
      <c r="E8" s="329"/>
      <c r="F8" s="329"/>
      <c r="G8" s="329"/>
      <c r="H8" s="329"/>
      <c r="I8" s="329"/>
      <c r="J8" s="329"/>
      <c r="K8" s="329"/>
    </row>
    <row r="9" spans="1:11" ht="18" thickTop="1" thickBot="1" x14ac:dyDescent="0.35">
      <c r="E9" s="397" t="s">
        <v>254</v>
      </c>
      <c r="F9" s="398" t="s">
        <v>255</v>
      </c>
      <c r="G9" s="398"/>
      <c r="H9" s="399" t="s">
        <v>256</v>
      </c>
      <c r="I9" s="399"/>
      <c r="J9" s="400"/>
      <c r="K9" s="329"/>
    </row>
    <row r="10" spans="1:11" ht="22.2" thickTop="1" thickBot="1" x14ac:dyDescent="0.35">
      <c r="A10" s="228" t="s">
        <v>88</v>
      </c>
      <c r="C10" s="231" t="s">
        <v>57</v>
      </c>
      <c r="E10" s="401" t="s">
        <v>91</v>
      </c>
      <c r="F10" s="402">
        <f>'Personal File'!E5</f>
        <v>19</v>
      </c>
      <c r="G10" s="402"/>
      <c r="H10" s="403">
        <f>'Personal File'!E5</f>
        <v>19</v>
      </c>
      <c r="I10" s="402"/>
      <c r="J10" s="404"/>
      <c r="K10" s="329"/>
    </row>
    <row r="11" spans="1:11" x14ac:dyDescent="0.3">
      <c r="A11" s="502" t="s">
        <v>109</v>
      </c>
      <c r="C11" s="395" t="s">
        <v>368</v>
      </c>
    </row>
    <row r="12" spans="1:11" ht="23.4" thickBot="1" x14ac:dyDescent="0.35">
      <c r="A12" s="503" t="s">
        <v>268</v>
      </c>
      <c r="C12" s="123" t="s">
        <v>367</v>
      </c>
      <c r="E12" s="451" t="s">
        <v>321</v>
      </c>
      <c r="F12" s="222"/>
      <c r="G12" s="222"/>
      <c r="H12" s="222"/>
      <c r="I12" s="222"/>
      <c r="J12" s="222"/>
      <c r="K12" s="222"/>
    </row>
    <row r="13" spans="1:11" ht="18" thickTop="1" thickBot="1" x14ac:dyDescent="0.35">
      <c r="A13" s="504" t="s">
        <v>110</v>
      </c>
      <c r="E13" s="406" t="s">
        <v>89</v>
      </c>
      <c r="F13" s="407">
        <v>0</v>
      </c>
      <c r="G13" s="408" t="s">
        <v>160</v>
      </c>
      <c r="H13" s="408" t="s">
        <v>161</v>
      </c>
      <c r="I13" s="408" t="s">
        <v>162</v>
      </c>
      <c r="J13" s="408" t="s">
        <v>163</v>
      </c>
      <c r="K13" s="409" t="s">
        <v>164</v>
      </c>
    </row>
    <row r="14" spans="1:11" ht="22.2" thickTop="1" thickBot="1" x14ac:dyDescent="0.35">
      <c r="A14" s="504" t="s">
        <v>153</v>
      </c>
      <c r="C14" s="230" t="s">
        <v>111</v>
      </c>
      <c r="E14" s="411">
        <v>1</v>
      </c>
      <c r="F14" s="412">
        <f>2+'Personal File'!C16</f>
        <v>8</v>
      </c>
      <c r="G14" s="459">
        <v>1</v>
      </c>
      <c r="H14" s="414"/>
      <c r="I14" s="414"/>
      <c r="J14" s="414"/>
      <c r="K14" s="415"/>
    </row>
    <row r="15" spans="1:11" x14ac:dyDescent="0.3">
      <c r="A15" s="504" t="s">
        <v>269</v>
      </c>
      <c r="C15" s="405" t="s">
        <v>112</v>
      </c>
      <c r="E15" s="416">
        <v>2</v>
      </c>
      <c r="F15" s="417">
        <f t="shared" ref="F15" si="2">F14</f>
        <v>8</v>
      </c>
      <c r="G15" s="459">
        <v>2</v>
      </c>
      <c r="H15" s="418"/>
      <c r="I15" s="418"/>
      <c r="J15" s="418"/>
      <c r="K15" s="419"/>
    </row>
    <row r="16" spans="1:11" x14ac:dyDescent="0.3">
      <c r="A16" s="504" t="s">
        <v>193</v>
      </c>
      <c r="C16" s="410" t="s">
        <v>113</v>
      </c>
      <c r="E16" s="416">
        <v>3</v>
      </c>
      <c r="F16" s="417">
        <f t="shared" ref="F16" si="3">F15</f>
        <v>8</v>
      </c>
      <c r="G16" s="459">
        <v>3</v>
      </c>
      <c r="H16" s="418"/>
      <c r="I16" s="418"/>
      <c r="J16" s="418"/>
      <c r="K16" s="419"/>
    </row>
    <row r="17" spans="1:11" ht="17.399999999999999" thickBot="1" x14ac:dyDescent="0.35">
      <c r="A17" s="504" t="s">
        <v>414</v>
      </c>
      <c r="C17" s="123" t="s">
        <v>70</v>
      </c>
      <c r="E17" s="416">
        <v>4</v>
      </c>
      <c r="F17" s="417">
        <v>6</v>
      </c>
      <c r="G17" s="459">
        <v>4</v>
      </c>
      <c r="H17" s="418"/>
      <c r="I17" s="418"/>
      <c r="J17" s="418"/>
      <c r="K17" s="419"/>
    </row>
    <row r="18" spans="1:11" ht="18" thickTop="1" thickBot="1" x14ac:dyDescent="0.35">
      <c r="A18" s="505" t="s">
        <v>440</v>
      </c>
      <c r="E18" s="416">
        <v>5</v>
      </c>
      <c r="F18" s="417">
        <f t="shared" ref="F18:F32" si="4">F17</f>
        <v>6</v>
      </c>
      <c r="G18" s="459">
        <f t="shared" ref="G18:G20" si="5">F18-1</f>
        <v>5</v>
      </c>
      <c r="H18" s="413">
        <v>2</v>
      </c>
      <c r="I18" s="418"/>
      <c r="J18" s="418"/>
      <c r="K18" s="419"/>
    </row>
    <row r="19" spans="1:11" ht="17.399999999999999" thickTop="1" x14ac:dyDescent="0.3">
      <c r="E19" s="416">
        <v>6</v>
      </c>
      <c r="F19" s="417">
        <f t="shared" si="4"/>
        <v>6</v>
      </c>
      <c r="G19" s="417">
        <f t="shared" si="5"/>
        <v>5</v>
      </c>
      <c r="H19" s="417">
        <v>3</v>
      </c>
      <c r="I19" s="418"/>
      <c r="J19" s="418"/>
      <c r="K19" s="419"/>
    </row>
    <row r="20" spans="1:11" x14ac:dyDescent="0.3">
      <c r="E20" s="416">
        <v>7</v>
      </c>
      <c r="F20" s="417">
        <f t="shared" si="4"/>
        <v>6</v>
      </c>
      <c r="G20" s="459">
        <f t="shared" si="5"/>
        <v>5</v>
      </c>
      <c r="H20" s="413">
        <v>4</v>
      </c>
      <c r="I20" s="418"/>
      <c r="J20" s="418"/>
      <c r="K20" s="419"/>
    </row>
    <row r="21" spans="1:11" x14ac:dyDescent="0.3">
      <c r="E21" s="416">
        <v>8</v>
      </c>
      <c r="F21" s="417">
        <f t="shared" si="4"/>
        <v>6</v>
      </c>
      <c r="G21" s="459">
        <f t="shared" ref="G21:G24" si="6">F21</f>
        <v>6</v>
      </c>
      <c r="H21" s="459">
        <f t="shared" ref="H21:I33" si="7">G21-1</f>
        <v>5</v>
      </c>
      <c r="I21" s="418"/>
      <c r="J21" s="418"/>
      <c r="K21" s="419"/>
    </row>
    <row r="22" spans="1:11" x14ac:dyDescent="0.3">
      <c r="E22" s="416">
        <v>9</v>
      </c>
      <c r="F22" s="417">
        <f t="shared" si="4"/>
        <v>6</v>
      </c>
      <c r="G22" s="459">
        <f t="shared" si="6"/>
        <v>6</v>
      </c>
      <c r="H22" s="459">
        <f t="shared" si="7"/>
        <v>5</v>
      </c>
      <c r="I22" s="413">
        <v>1</v>
      </c>
      <c r="J22" s="418"/>
      <c r="K22" s="419"/>
    </row>
    <row r="23" spans="1:11" x14ac:dyDescent="0.3">
      <c r="E23" s="416">
        <v>10</v>
      </c>
      <c r="F23" s="417">
        <f t="shared" si="4"/>
        <v>6</v>
      </c>
      <c r="G23" s="459">
        <f t="shared" si="6"/>
        <v>6</v>
      </c>
      <c r="H23" s="459">
        <f t="shared" si="7"/>
        <v>5</v>
      </c>
      <c r="I23" s="413">
        <v>2</v>
      </c>
      <c r="J23" s="418"/>
      <c r="K23" s="419"/>
    </row>
    <row r="24" spans="1:11" x14ac:dyDescent="0.3">
      <c r="E24" s="416">
        <v>11</v>
      </c>
      <c r="F24" s="417">
        <f t="shared" si="4"/>
        <v>6</v>
      </c>
      <c r="G24" s="459">
        <f t="shared" si="6"/>
        <v>6</v>
      </c>
      <c r="H24" s="459">
        <f t="shared" si="7"/>
        <v>5</v>
      </c>
      <c r="I24" s="413">
        <v>3</v>
      </c>
      <c r="J24" s="418"/>
      <c r="K24" s="419"/>
    </row>
    <row r="25" spans="1:11" x14ac:dyDescent="0.3">
      <c r="E25" s="416">
        <v>12</v>
      </c>
      <c r="F25" s="417">
        <f t="shared" si="4"/>
        <v>6</v>
      </c>
      <c r="G25" s="459">
        <f t="shared" ref="G25:G33" si="8">F25+1</f>
        <v>7</v>
      </c>
      <c r="H25" s="459">
        <f t="shared" si="7"/>
        <v>6</v>
      </c>
      <c r="I25" s="413">
        <f t="shared" si="7"/>
        <v>5</v>
      </c>
      <c r="J25" s="418"/>
      <c r="K25" s="419"/>
    </row>
    <row r="26" spans="1:11" x14ac:dyDescent="0.3">
      <c r="E26" s="416">
        <v>13</v>
      </c>
      <c r="F26" s="417">
        <f t="shared" si="4"/>
        <v>6</v>
      </c>
      <c r="G26" s="459">
        <f t="shared" si="8"/>
        <v>7</v>
      </c>
      <c r="H26" s="459">
        <f t="shared" si="7"/>
        <v>6</v>
      </c>
      <c r="I26" s="413">
        <f t="shared" si="7"/>
        <v>5</v>
      </c>
      <c r="J26" s="413">
        <v>1</v>
      </c>
      <c r="K26" s="419"/>
    </row>
    <row r="27" spans="1:11" x14ac:dyDescent="0.3">
      <c r="E27" s="416">
        <v>14</v>
      </c>
      <c r="F27" s="417">
        <f t="shared" si="4"/>
        <v>6</v>
      </c>
      <c r="G27" s="459">
        <f t="shared" si="8"/>
        <v>7</v>
      </c>
      <c r="H27" s="459">
        <f t="shared" si="7"/>
        <v>6</v>
      </c>
      <c r="I27" s="413">
        <f t="shared" si="7"/>
        <v>5</v>
      </c>
      <c r="J27" s="413">
        <v>2</v>
      </c>
      <c r="K27" s="419"/>
    </row>
    <row r="28" spans="1:11" x14ac:dyDescent="0.3">
      <c r="E28" s="416">
        <v>15</v>
      </c>
      <c r="F28" s="417">
        <f t="shared" si="4"/>
        <v>6</v>
      </c>
      <c r="G28" s="459">
        <f t="shared" si="8"/>
        <v>7</v>
      </c>
      <c r="H28" s="459">
        <f t="shared" si="7"/>
        <v>6</v>
      </c>
      <c r="I28" s="413">
        <f t="shared" si="7"/>
        <v>5</v>
      </c>
      <c r="J28" s="413">
        <v>3</v>
      </c>
      <c r="K28" s="458"/>
    </row>
    <row r="29" spans="1:11" x14ac:dyDescent="0.3">
      <c r="E29" s="416">
        <v>16</v>
      </c>
      <c r="F29" s="417">
        <f t="shared" si="4"/>
        <v>6</v>
      </c>
      <c r="G29" s="459">
        <f t="shared" si="8"/>
        <v>7</v>
      </c>
      <c r="H29" s="459">
        <f t="shared" si="7"/>
        <v>6</v>
      </c>
      <c r="I29" s="413">
        <f t="shared" si="7"/>
        <v>5</v>
      </c>
      <c r="J29" s="413">
        <f t="shared" ref="J29" si="9">I29-1</f>
        <v>4</v>
      </c>
      <c r="K29" s="455"/>
    </row>
    <row r="30" spans="1:11" x14ac:dyDescent="0.3">
      <c r="E30" s="416">
        <v>17</v>
      </c>
      <c r="F30" s="417">
        <f t="shared" si="4"/>
        <v>6</v>
      </c>
      <c r="G30" s="459">
        <f t="shared" si="8"/>
        <v>7</v>
      </c>
      <c r="H30" s="459">
        <f t="shared" si="7"/>
        <v>6</v>
      </c>
      <c r="I30" s="413">
        <f t="shared" si="7"/>
        <v>5</v>
      </c>
      <c r="J30" s="413">
        <f t="shared" ref="J30" si="10">I30-1</f>
        <v>4</v>
      </c>
      <c r="K30" s="456">
        <v>1</v>
      </c>
    </row>
    <row r="31" spans="1:11" x14ac:dyDescent="0.3">
      <c r="E31" s="452">
        <v>18</v>
      </c>
      <c r="F31" s="453">
        <f t="shared" si="4"/>
        <v>6</v>
      </c>
      <c r="G31" s="460">
        <f t="shared" si="8"/>
        <v>7</v>
      </c>
      <c r="H31" s="460">
        <f t="shared" si="7"/>
        <v>6</v>
      </c>
      <c r="I31" s="454">
        <f t="shared" si="7"/>
        <v>5</v>
      </c>
      <c r="J31" s="454">
        <f t="shared" ref="J31" si="11">I31-1</f>
        <v>4</v>
      </c>
      <c r="K31" s="491">
        <v>2</v>
      </c>
    </row>
    <row r="32" spans="1:11" x14ac:dyDescent="0.3">
      <c r="E32" s="416">
        <v>19</v>
      </c>
      <c r="F32" s="417">
        <f t="shared" si="4"/>
        <v>6</v>
      </c>
      <c r="G32" s="459">
        <f t="shared" si="8"/>
        <v>7</v>
      </c>
      <c r="H32" s="459">
        <f t="shared" si="7"/>
        <v>6</v>
      </c>
      <c r="I32" s="413">
        <f t="shared" si="7"/>
        <v>5</v>
      </c>
      <c r="J32" s="413">
        <f t="shared" ref="J32" si="12">I32-1</f>
        <v>4</v>
      </c>
      <c r="K32" s="456">
        <v>3</v>
      </c>
    </row>
    <row r="33" spans="5:11" ht="17.399999999999999" thickBot="1" x14ac:dyDescent="0.35">
      <c r="E33" s="420">
        <v>20</v>
      </c>
      <c r="F33" s="421">
        <f>F27</f>
        <v>6</v>
      </c>
      <c r="G33" s="461">
        <f t="shared" si="8"/>
        <v>7</v>
      </c>
      <c r="H33" s="461">
        <f t="shared" si="7"/>
        <v>6</v>
      </c>
      <c r="I33" s="422">
        <f t="shared" si="7"/>
        <v>5</v>
      </c>
      <c r="J33" s="422">
        <f t="shared" ref="J33:K33" si="13">I33-1</f>
        <v>4</v>
      </c>
      <c r="K33" s="457">
        <f t="shared" si="13"/>
        <v>3</v>
      </c>
    </row>
    <row r="34" spans="5:11" ht="17.399999999999999" thickTop="1" x14ac:dyDescent="0.3"/>
  </sheetData>
  <sortState xmlns:xlrd2="http://schemas.microsoft.com/office/spreadsheetml/2017/richdata2" ref="A2:A6">
    <sortCondition ref="A2:A6"/>
  </sortState>
  <phoneticPr fontId="0" type="noConversion"/>
  <printOptions gridLinesSet="0"/>
  <pageMargins left="0.62" right="0.33" top="0.5" bottom="0.63" header="0.5" footer="0.5"/>
  <pageSetup orientation="portrait" horizontalDpi="120" verticalDpi="144"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68"/>
  <sheetViews>
    <sheetView showGridLines="0" workbookViewId="0"/>
  </sheetViews>
  <sheetFormatPr defaultColWidth="13" defaultRowHeight="15.6" x14ac:dyDescent="0.3"/>
  <cols>
    <col min="1" max="1" width="31.59765625" style="120" bestFit="1" customWidth="1"/>
    <col min="2" max="2" width="14.59765625" style="120" bestFit="1" customWidth="1"/>
    <col min="3" max="3" width="5.59765625" style="120" bestFit="1" customWidth="1"/>
    <col min="4" max="4" width="6.5" style="120" bestFit="1" customWidth="1"/>
    <col min="5" max="5" width="7" style="120" bestFit="1" customWidth="1"/>
    <col min="6" max="6" width="6" style="120" bestFit="1" customWidth="1"/>
    <col min="7" max="7" width="9.3984375" style="120" bestFit="1" customWidth="1"/>
    <col min="8" max="8" width="4" style="120" bestFit="1" customWidth="1"/>
    <col min="9" max="9" width="4.69921875" style="120" bestFit="1" customWidth="1"/>
    <col min="10" max="10" width="5.69921875" style="120" bestFit="1" customWidth="1"/>
    <col min="11" max="11" width="6.296875" style="120" bestFit="1" customWidth="1"/>
    <col min="12" max="12" width="20" style="120" bestFit="1" customWidth="1"/>
    <col min="13" max="13" width="2.8984375" style="12" customWidth="1"/>
    <col min="14" max="14" width="5.8984375" style="12" bestFit="1" customWidth="1"/>
    <col min="15" max="16384" width="13" style="12"/>
  </cols>
  <sheetData>
    <row r="1" spans="1:15" ht="23.4" thickBot="1" x14ac:dyDescent="0.35">
      <c r="A1" s="124" t="s">
        <v>15</v>
      </c>
      <c r="B1" s="124"/>
      <c r="C1" s="124"/>
      <c r="D1" s="124"/>
      <c r="E1" s="124"/>
      <c r="F1" s="124"/>
      <c r="G1" s="124"/>
      <c r="H1" s="124"/>
      <c r="I1" s="124"/>
      <c r="J1" s="124"/>
      <c r="K1" s="124"/>
      <c r="L1" s="124"/>
    </row>
    <row r="2" spans="1:15" ht="16.8" thickTop="1" thickBot="1" x14ac:dyDescent="0.35">
      <c r="A2" s="125" t="s">
        <v>1</v>
      </c>
      <c r="B2" s="126" t="s">
        <v>2</v>
      </c>
      <c r="C2" s="126" t="s">
        <v>18</v>
      </c>
      <c r="D2" s="126" t="s">
        <v>19</v>
      </c>
      <c r="E2" s="127" t="s">
        <v>356</v>
      </c>
      <c r="F2" s="127" t="s">
        <v>348</v>
      </c>
      <c r="G2" s="126" t="s">
        <v>16</v>
      </c>
      <c r="H2" s="126" t="s">
        <v>20</v>
      </c>
      <c r="I2" s="128" t="s">
        <v>68</v>
      </c>
      <c r="J2" s="511" t="s">
        <v>77</v>
      </c>
      <c r="K2" s="128" t="s">
        <v>63</v>
      </c>
      <c r="L2" s="129" t="s">
        <v>0</v>
      </c>
      <c r="N2" s="130" t="s">
        <v>87</v>
      </c>
    </row>
    <row r="3" spans="1:15" x14ac:dyDescent="0.3">
      <c r="A3" s="208" t="s">
        <v>431</v>
      </c>
      <c r="B3" s="6" t="s">
        <v>180</v>
      </c>
      <c r="C3" s="7" t="str">
        <f>CONCATENATE('Personal File'!$C$13," +5")</f>
        <v>+9 +5</v>
      </c>
      <c r="D3" s="559">
        <f t="shared" ref="D3:D7" si="0">5+2</f>
        <v>7</v>
      </c>
      <c r="E3" s="538">
        <f>18</f>
        <v>18</v>
      </c>
      <c r="F3" s="8" t="s">
        <v>71</v>
      </c>
      <c r="G3" s="9" t="s">
        <v>73</v>
      </c>
      <c r="H3" s="10">
        <v>8</v>
      </c>
      <c r="I3" s="552" t="str">
        <f>CONCATENATE("+",'Personal File'!$B$10+'Personal File'!$C$13+D3)</f>
        <v>+36</v>
      </c>
      <c r="J3" s="512">
        <f t="shared" ref="J3:J7" ca="1" si="1">RANDBETWEEN(1,20)</f>
        <v>1</v>
      </c>
      <c r="K3" s="5">
        <f t="shared" ref="K3:K7" ca="1" si="2">J3+I3</f>
        <v>37</v>
      </c>
      <c r="L3" s="553" t="s">
        <v>430</v>
      </c>
      <c r="M3" s="221"/>
      <c r="N3" s="217">
        <v>82000</v>
      </c>
      <c r="O3" s="161"/>
    </row>
    <row r="4" spans="1:15" x14ac:dyDescent="0.3">
      <c r="A4" s="554" t="s">
        <v>432</v>
      </c>
      <c r="B4" s="555" t="s">
        <v>180</v>
      </c>
      <c r="C4" s="556" t="str">
        <f>CONCATENATE('Personal File'!$C$13," +5")</f>
        <v>+9 +5</v>
      </c>
      <c r="D4" s="560">
        <f t="shared" si="0"/>
        <v>7</v>
      </c>
      <c r="E4" s="539">
        <f>18</f>
        <v>18</v>
      </c>
      <c r="F4" s="213" t="s">
        <v>71</v>
      </c>
      <c r="G4" s="9" t="s">
        <v>73</v>
      </c>
      <c r="H4" s="214" t="s">
        <v>90</v>
      </c>
      <c r="I4" s="552" t="str">
        <f>CONCATENATE("+",'Personal File'!$B$10+'Personal File'!$C$13+D4-5)</f>
        <v>+31</v>
      </c>
      <c r="J4" s="512">
        <f t="shared" ca="1" si="1"/>
        <v>3</v>
      </c>
      <c r="K4" s="5">
        <f t="shared" ca="1" si="2"/>
        <v>34</v>
      </c>
      <c r="L4" s="557"/>
      <c r="M4" s="221"/>
      <c r="N4" s="219" t="s">
        <v>90</v>
      </c>
    </row>
    <row r="5" spans="1:15" x14ac:dyDescent="0.3">
      <c r="A5" s="554" t="s">
        <v>433</v>
      </c>
      <c r="B5" s="555" t="s">
        <v>180</v>
      </c>
      <c r="C5" s="556" t="str">
        <f>CONCATENATE('Personal File'!$C$13," +5")</f>
        <v>+9 +5</v>
      </c>
      <c r="D5" s="560">
        <f t="shared" si="0"/>
        <v>7</v>
      </c>
      <c r="E5" s="539">
        <f>18</f>
        <v>18</v>
      </c>
      <c r="F5" s="213" t="s">
        <v>71</v>
      </c>
      <c r="G5" s="9" t="s">
        <v>73</v>
      </c>
      <c r="H5" s="214" t="s">
        <v>90</v>
      </c>
      <c r="I5" s="552" t="str">
        <f>CONCATENATE("+",'Personal File'!$B$10+'Personal File'!$C$13+D5-10)</f>
        <v>+26</v>
      </c>
      <c r="J5" s="512">
        <f t="shared" ca="1" si="1"/>
        <v>5</v>
      </c>
      <c r="K5" s="5">
        <f t="shared" ca="1" si="2"/>
        <v>31</v>
      </c>
      <c r="L5" s="557"/>
      <c r="M5" s="221"/>
      <c r="N5" s="219" t="s">
        <v>90</v>
      </c>
    </row>
    <row r="6" spans="1:15" x14ac:dyDescent="0.3">
      <c r="A6" s="554" t="s">
        <v>434</v>
      </c>
      <c r="B6" s="555" t="s">
        <v>180</v>
      </c>
      <c r="C6" s="556" t="str">
        <f>CONCATENATE('Personal File'!$C$13," +5")</f>
        <v>+9 +5</v>
      </c>
      <c r="D6" s="560">
        <f t="shared" si="0"/>
        <v>7</v>
      </c>
      <c r="E6" s="539">
        <f>18</f>
        <v>18</v>
      </c>
      <c r="F6" s="213" t="s">
        <v>71</v>
      </c>
      <c r="G6" s="9" t="s">
        <v>73</v>
      </c>
      <c r="H6" s="214" t="s">
        <v>90</v>
      </c>
      <c r="I6" s="552" t="str">
        <f>CONCATENATE("+",'Personal File'!$B$10+'Personal File'!$C$13+D6-15)</f>
        <v>+21</v>
      </c>
      <c r="J6" s="512">
        <f t="shared" ca="1" si="1"/>
        <v>10</v>
      </c>
      <c r="K6" s="5">
        <f t="shared" ca="1" si="2"/>
        <v>31</v>
      </c>
      <c r="L6" s="557"/>
      <c r="M6" s="221"/>
      <c r="N6" s="219" t="s">
        <v>90</v>
      </c>
    </row>
    <row r="7" spans="1:15" x14ac:dyDescent="0.3">
      <c r="A7" s="554" t="s">
        <v>435</v>
      </c>
      <c r="B7" s="6" t="s">
        <v>180</v>
      </c>
      <c r="C7" s="7" t="str">
        <f>CONCATENATE('Personal File'!$C$13," +5")</f>
        <v>+9 +5</v>
      </c>
      <c r="D7" s="559">
        <f t="shared" si="0"/>
        <v>7</v>
      </c>
      <c r="E7" s="538">
        <f>18</f>
        <v>18</v>
      </c>
      <c r="F7" s="8" t="s">
        <v>71</v>
      </c>
      <c r="G7" s="9" t="s">
        <v>73</v>
      </c>
      <c r="H7" s="214" t="s">
        <v>90</v>
      </c>
      <c r="I7" s="552" t="str">
        <f>CONCATENATE("+",'Personal File'!$B$10+'Personal File'!$C$13+D7)</f>
        <v>+36</v>
      </c>
      <c r="J7" s="512">
        <f t="shared" ca="1" si="1"/>
        <v>19</v>
      </c>
      <c r="K7" s="5">
        <f t="shared" ca="1" si="2"/>
        <v>55</v>
      </c>
      <c r="L7" s="557"/>
      <c r="M7" s="221"/>
      <c r="N7" s="297" t="s">
        <v>90</v>
      </c>
    </row>
    <row r="8" spans="1:15" ht="31.2" x14ac:dyDescent="0.3">
      <c r="A8" s="269" t="s">
        <v>310</v>
      </c>
      <c r="B8" s="271" t="s">
        <v>307</v>
      </c>
      <c r="C8" s="271">
        <v>1</v>
      </c>
      <c r="D8" s="271" t="s">
        <v>306</v>
      </c>
      <c r="E8" s="273" t="s">
        <v>90</v>
      </c>
      <c r="F8" s="273" t="s">
        <v>90</v>
      </c>
      <c r="G8" s="273" t="s">
        <v>90</v>
      </c>
      <c r="H8" s="273" t="s">
        <v>90</v>
      </c>
      <c r="I8" s="273" t="s">
        <v>90</v>
      </c>
      <c r="J8" s="513" t="s">
        <v>90</v>
      </c>
      <c r="K8" s="273" t="s">
        <v>90</v>
      </c>
      <c r="L8" s="446" t="s">
        <v>311</v>
      </c>
      <c r="N8" s="295">
        <v>6000</v>
      </c>
    </row>
    <row r="9" spans="1:15" x14ac:dyDescent="0.3">
      <c r="A9" s="290" t="s">
        <v>352</v>
      </c>
      <c r="B9" s="291" t="s">
        <v>215</v>
      </c>
      <c r="C9" s="292" t="str">
        <f>'Personal File'!$C$13</f>
        <v>+9</v>
      </c>
      <c r="D9" s="293" t="s">
        <v>72</v>
      </c>
      <c r="E9" s="293" t="s">
        <v>350</v>
      </c>
      <c r="F9" s="293" t="s">
        <v>71</v>
      </c>
      <c r="G9" s="371" t="s">
        <v>263</v>
      </c>
      <c r="H9" s="238">
        <v>0.5</v>
      </c>
      <c r="I9" s="288" t="str">
        <f>CONCATENATE("+",'Personal File'!$B$10+'Personal File'!$C$13+D9)</f>
        <v>+30</v>
      </c>
      <c r="J9" s="514">
        <f t="shared" ref="J9:J28" ca="1" si="3">RANDBETWEEN(1,20)</f>
        <v>7</v>
      </c>
      <c r="K9" s="289">
        <f t="shared" ref="K9:K18" ca="1" si="4">J9+I9</f>
        <v>37</v>
      </c>
      <c r="L9" s="299"/>
      <c r="N9" s="296">
        <v>300</v>
      </c>
    </row>
    <row r="10" spans="1:15" x14ac:dyDescent="0.3">
      <c r="A10" s="208" t="s">
        <v>353</v>
      </c>
      <c r="B10" s="6" t="s">
        <v>215</v>
      </c>
      <c r="C10" s="7" t="str">
        <f>'Personal File'!$C$13</f>
        <v>+9</v>
      </c>
      <c r="D10" s="8" t="s">
        <v>72</v>
      </c>
      <c r="E10" s="8" t="s">
        <v>350</v>
      </c>
      <c r="F10" s="8" t="s">
        <v>71</v>
      </c>
      <c r="G10" s="9" t="s">
        <v>263</v>
      </c>
      <c r="H10" s="294" t="s">
        <v>90</v>
      </c>
      <c r="I10" s="11" t="str">
        <f>CONCATENATE("+",'Personal File'!$B$10+'Personal File'!$C$13+D10-5)</f>
        <v>+25</v>
      </c>
      <c r="J10" s="512">
        <f t="shared" ca="1" si="3"/>
        <v>1</v>
      </c>
      <c r="K10" s="5">
        <f t="shared" ca="1" si="4"/>
        <v>26</v>
      </c>
      <c r="L10" s="300"/>
      <c r="N10" s="219" t="s">
        <v>90</v>
      </c>
    </row>
    <row r="11" spans="1:15" x14ac:dyDescent="0.3">
      <c r="A11" s="208" t="s">
        <v>354</v>
      </c>
      <c r="B11" s="6" t="s">
        <v>215</v>
      </c>
      <c r="C11" s="7" t="str">
        <f>'Personal File'!$C$13</f>
        <v>+9</v>
      </c>
      <c r="D11" s="8" t="s">
        <v>72</v>
      </c>
      <c r="E11" s="8" t="s">
        <v>350</v>
      </c>
      <c r="F11" s="8" t="s">
        <v>71</v>
      </c>
      <c r="G11" s="9" t="s">
        <v>263</v>
      </c>
      <c r="H11" s="294" t="s">
        <v>90</v>
      </c>
      <c r="I11" s="11" t="str">
        <f>CONCATENATE("+",'Personal File'!$B$10+'Personal File'!$C$13+D11-10)</f>
        <v>+20</v>
      </c>
      <c r="J11" s="512">
        <f t="shared" ca="1" si="3"/>
        <v>19</v>
      </c>
      <c r="K11" s="5">
        <f t="shared" ca="1" si="4"/>
        <v>39</v>
      </c>
      <c r="L11" s="300"/>
      <c r="N11" s="219" t="s">
        <v>90</v>
      </c>
    </row>
    <row r="12" spans="1:15" x14ac:dyDescent="0.3">
      <c r="A12" s="208" t="s">
        <v>411</v>
      </c>
      <c r="B12" s="6" t="s">
        <v>215</v>
      </c>
      <c r="C12" s="7" t="str">
        <f>'Personal File'!$C$13</f>
        <v>+9</v>
      </c>
      <c r="D12" s="8" t="s">
        <v>72</v>
      </c>
      <c r="E12" s="8" t="s">
        <v>350</v>
      </c>
      <c r="F12" s="8" t="s">
        <v>71</v>
      </c>
      <c r="G12" s="9" t="s">
        <v>263</v>
      </c>
      <c r="H12" s="294" t="s">
        <v>90</v>
      </c>
      <c r="I12" s="11" t="str">
        <f>CONCATENATE("+",'Personal File'!$B$10+'Personal File'!$C$13+D12-15)</f>
        <v>+15</v>
      </c>
      <c r="J12" s="512">
        <f t="shared" ca="1" si="3"/>
        <v>10</v>
      </c>
      <c r="K12" s="5">
        <f t="shared" ref="K12" ca="1" si="5">J12+I12</f>
        <v>25</v>
      </c>
      <c r="L12" s="300"/>
      <c r="N12" s="219"/>
    </row>
    <row r="13" spans="1:15" x14ac:dyDescent="0.3">
      <c r="A13" s="208" t="s">
        <v>355</v>
      </c>
      <c r="B13" s="6" t="s">
        <v>215</v>
      </c>
      <c r="C13" s="7" t="str">
        <f>'Personal File'!$C$13</f>
        <v>+9</v>
      </c>
      <c r="D13" s="8" t="s">
        <v>72</v>
      </c>
      <c r="E13" s="8" t="s">
        <v>350</v>
      </c>
      <c r="F13" s="8" t="s">
        <v>71</v>
      </c>
      <c r="G13" s="9" t="s">
        <v>263</v>
      </c>
      <c r="H13" s="294" t="s">
        <v>90</v>
      </c>
      <c r="I13" s="11" t="str">
        <f>CONCATENATE("+",'Personal File'!$B$10+'Personal File'!$C$13+D13)</f>
        <v>+30</v>
      </c>
      <c r="J13" s="512">
        <f t="shared" ca="1" si="3"/>
        <v>5</v>
      </c>
      <c r="K13" s="5">
        <f t="shared" ca="1" si="4"/>
        <v>35</v>
      </c>
      <c r="L13" s="298"/>
      <c r="N13" s="219" t="s">
        <v>90</v>
      </c>
    </row>
    <row r="14" spans="1:15" x14ac:dyDescent="0.3">
      <c r="A14" s="290" t="s">
        <v>265</v>
      </c>
      <c r="B14" s="291" t="s">
        <v>266</v>
      </c>
      <c r="C14" s="292" t="str">
        <f>CONCATENATE('Personal File'!$C$13," +2")</f>
        <v>+9 +2</v>
      </c>
      <c r="D14" s="293" t="s">
        <v>71</v>
      </c>
      <c r="E14" s="293" t="s">
        <v>349</v>
      </c>
      <c r="F14" s="293" t="s">
        <v>71</v>
      </c>
      <c r="G14" s="371" t="s">
        <v>73</v>
      </c>
      <c r="H14" s="238">
        <v>2</v>
      </c>
      <c r="I14" s="288" t="str">
        <f>CONCATENATE("+",'Personal File'!$B$10+'Personal File'!$C$13+D14)</f>
        <v>+31</v>
      </c>
      <c r="J14" s="514">
        <f t="shared" ca="1" si="3"/>
        <v>18</v>
      </c>
      <c r="K14" s="289">
        <f t="shared" ca="1" si="4"/>
        <v>49</v>
      </c>
      <c r="L14" s="367"/>
      <c r="N14" s="296">
        <v>8000</v>
      </c>
    </row>
    <row r="15" spans="1:15" x14ac:dyDescent="0.3">
      <c r="A15" s="208" t="s">
        <v>295</v>
      </c>
      <c r="B15" s="6" t="s">
        <v>266</v>
      </c>
      <c r="C15" s="7" t="str">
        <f>CONCATENATE('Personal File'!$C$13," +2")</f>
        <v>+9 +2</v>
      </c>
      <c r="D15" s="8" t="s">
        <v>71</v>
      </c>
      <c r="E15" s="8" t="s">
        <v>349</v>
      </c>
      <c r="F15" s="8" t="s">
        <v>71</v>
      </c>
      <c r="G15" s="9" t="s">
        <v>73</v>
      </c>
      <c r="H15" s="294" t="s">
        <v>90</v>
      </c>
      <c r="I15" s="11" t="str">
        <f>CONCATENATE("+",'Personal File'!$B$10+'Personal File'!$C$13+D15-5)</f>
        <v>+26</v>
      </c>
      <c r="J15" s="512">
        <f t="shared" ca="1" si="3"/>
        <v>15</v>
      </c>
      <c r="K15" s="5">
        <f t="shared" ca="1" si="4"/>
        <v>41</v>
      </c>
      <c r="L15" s="300"/>
      <c r="N15" s="219" t="s">
        <v>90</v>
      </c>
    </row>
    <row r="16" spans="1:15" x14ac:dyDescent="0.3">
      <c r="A16" s="208" t="s">
        <v>296</v>
      </c>
      <c r="B16" s="6" t="s">
        <v>266</v>
      </c>
      <c r="C16" s="7" t="str">
        <f>CONCATENATE('Personal File'!$C$13," +2")</f>
        <v>+9 +2</v>
      </c>
      <c r="D16" s="8" t="s">
        <v>71</v>
      </c>
      <c r="E16" s="8" t="s">
        <v>349</v>
      </c>
      <c r="F16" s="8" t="s">
        <v>71</v>
      </c>
      <c r="G16" s="9" t="s">
        <v>73</v>
      </c>
      <c r="H16" s="294" t="s">
        <v>90</v>
      </c>
      <c r="I16" s="11" t="str">
        <f>CONCATENATE("+",'Personal File'!$B$10+'Personal File'!$C$13+D16-10)</f>
        <v>+21</v>
      </c>
      <c r="J16" s="512">
        <f t="shared" ca="1" si="3"/>
        <v>15</v>
      </c>
      <c r="K16" s="5">
        <f t="shared" ca="1" si="4"/>
        <v>36</v>
      </c>
      <c r="L16" s="300"/>
      <c r="N16" s="219" t="s">
        <v>90</v>
      </c>
    </row>
    <row r="17" spans="1:14" x14ac:dyDescent="0.3">
      <c r="A17" s="208" t="s">
        <v>412</v>
      </c>
      <c r="B17" s="6" t="s">
        <v>266</v>
      </c>
      <c r="C17" s="7" t="str">
        <f>CONCATENATE('Personal File'!$C$13," +2")</f>
        <v>+9 +2</v>
      </c>
      <c r="D17" s="8" t="s">
        <v>71</v>
      </c>
      <c r="E17" s="8" t="s">
        <v>349</v>
      </c>
      <c r="F17" s="8" t="s">
        <v>71</v>
      </c>
      <c r="G17" s="9" t="s">
        <v>73</v>
      </c>
      <c r="H17" s="294" t="s">
        <v>90</v>
      </c>
      <c r="I17" s="11" t="str">
        <f>CONCATENATE("+",'Personal File'!$B$10+'Personal File'!$C$13+D17-15)</f>
        <v>+16</v>
      </c>
      <c r="J17" s="512">
        <f t="shared" ca="1" si="3"/>
        <v>19</v>
      </c>
      <c r="K17" s="5">
        <f t="shared" ref="K17" ca="1" si="6">J17+I17</f>
        <v>35</v>
      </c>
      <c r="L17" s="537"/>
      <c r="N17" s="297"/>
    </row>
    <row r="18" spans="1:14" x14ac:dyDescent="0.3">
      <c r="A18" s="269" t="s">
        <v>305</v>
      </c>
      <c r="B18" s="270" t="s">
        <v>266</v>
      </c>
      <c r="C18" s="271" t="str">
        <f>CONCATENATE('Personal File'!$C$13," +2")</f>
        <v>+9 +2</v>
      </c>
      <c r="D18" s="272" t="s">
        <v>71</v>
      </c>
      <c r="E18" s="272" t="s">
        <v>349</v>
      </c>
      <c r="F18" s="272" t="s">
        <v>71</v>
      </c>
      <c r="G18" s="372" t="s">
        <v>73</v>
      </c>
      <c r="H18" s="274" t="s">
        <v>90</v>
      </c>
      <c r="I18" s="368" t="str">
        <f>CONCATENATE("+",'Personal File'!$B$10+'Personal File'!$C$13+D18)</f>
        <v>+31</v>
      </c>
      <c r="J18" s="515">
        <f t="shared" ca="1" si="3"/>
        <v>5</v>
      </c>
      <c r="K18" s="366">
        <f t="shared" ca="1" si="4"/>
        <v>36</v>
      </c>
      <c r="L18" s="298"/>
      <c r="N18" s="295" t="s">
        <v>90</v>
      </c>
    </row>
    <row r="19" spans="1:14" x14ac:dyDescent="0.3">
      <c r="A19" s="269" t="s">
        <v>312</v>
      </c>
      <c r="B19" s="270" t="s">
        <v>85</v>
      </c>
      <c r="C19" s="271" t="s">
        <v>217</v>
      </c>
      <c r="D19" s="272" t="s">
        <v>218</v>
      </c>
      <c r="E19" s="273" t="s">
        <v>90</v>
      </c>
      <c r="F19" s="273" t="s">
        <v>90</v>
      </c>
      <c r="G19" s="273" t="s">
        <v>90</v>
      </c>
      <c r="H19" s="273" t="s">
        <v>90</v>
      </c>
      <c r="I19" s="273" t="s">
        <v>90</v>
      </c>
      <c r="J19" s="513" t="s">
        <v>90</v>
      </c>
      <c r="K19" s="273" t="s">
        <v>90</v>
      </c>
      <c r="L19" s="445"/>
      <c r="N19" s="295">
        <v>10000</v>
      </c>
    </row>
    <row r="20" spans="1:14" x14ac:dyDescent="0.3">
      <c r="A20" s="290" t="s">
        <v>214</v>
      </c>
      <c r="B20" s="291" t="s">
        <v>215</v>
      </c>
      <c r="C20" s="292" t="str">
        <f>'Personal File'!$C$13</f>
        <v>+9</v>
      </c>
      <c r="D20" s="293" t="s">
        <v>50</v>
      </c>
      <c r="E20" s="293" t="s">
        <v>351</v>
      </c>
      <c r="F20" s="293" t="s">
        <v>71</v>
      </c>
      <c r="G20" s="237" t="s">
        <v>216</v>
      </c>
      <c r="H20" s="238" t="s">
        <v>90</v>
      </c>
      <c r="I20" s="288" t="str">
        <f>CONCATENATE("+",'Personal File'!$B$10+'Personal File'!$C$13+D20)</f>
        <v>+29</v>
      </c>
      <c r="J20" s="514">
        <f t="shared" ca="1" si="3"/>
        <v>3</v>
      </c>
      <c r="K20" s="289">
        <f t="shared" ref="K20" ca="1" si="7">J20+I20</f>
        <v>32</v>
      </c>
      <c r="L20" s="299"/>
      <c r="N20" s="296" t="s">
        <v>90</v>
      </c>
    </row>
    <row r="21" spans="1:14" x14ac:dyDescent="0.3">
      <c r="A21" s="208" t="s">
        <v>224</v>
      </c>
      <c r="B21" s="6" t="s">
        <v>215</v>
      </c>
      <c r="C21" s="7" t="s">
        <v>223</v>
      </c>
      <c r="D21" s="8" t="s">
        <v>50</v>
      </c>
      <c r="E21" s="8" t="s">
        <v>351</v>
      </c>
      <c r="F21" s="8" t="s">
        <v>71</v>
      </c>
      <c r="G21" s="242" t="s">
        <v>216</v>
      </c>
      <c r="H21" s="294" t="s">
        <v>90</v>
      </c>
      <c r="I21" s="11" t="str">
        <f>CONCATENATE("+",'Personal File'!$B$10+'Personal File'!$C$13+D21-5)</f>
        <v>+24</v>
      </c>
      <c r="J21" s="512">
        <f t="shared" ca="1" si="3"/>
        <v>12</v>
      </c>
      <c r="K21" s="5">
        <f t="shared" ref="K21" ca="1" si="8">J21+I21</f>
        <v>36</v>
      </c>
      <c r="L21" s="300"/>
      <c r="N21" s="219" t="s">
        <v>90</v>
      </c>
    </row>
    <row r="22" spans="1:14" x14ac:dyDescent="0.3">
      <c r="A22" s="208" t="s">
        <v>225</v>
      </c>
      <c r="B22" s="6" t="s">
        <v>215</v>
      </c>
      <c r="C22" s="7" t="str">
        <f>'Personal File'!$C$13</f>
        <v>+9</v>
      </c>
      <c r="D22" s="8" t="s">
        <v>50</v>
      </c>
      <c r="E22" s="8" t="s">
        <v>351</v>
      </c>
      <c r="F22" s="8" t="s">
        <v>71</v>
      </c>
      <c r="G22" s="242" t="s">
        <v>216</v>
      </c>
      <c r="H22" s="294" t="s">
        <v>90</v>
      </c>
      <c r="I22" s="11" t="str">
        <f>CONCATENATE("+",'Personal File'!$B$10+'Personal File'!$C$13+D22-10)</f>
        <v>+19</v>
      </c>
      <c r="J22" s="512">
        <f t="shared" ca="1" si="3"/>
        <v>11</v>
      </c>
      <c r="K22" s="5">
        <f t="shared" ref="K22" ca="1" si="9">J22+I22</f>
        <v>30</v>
      </c>
      <c r="L22" s="300"/>
      <c r="N22" s="219" t="s">
        <v>90</v>
      </c>
    </row>
    <row r="23" spans="1:14" x14ac:dyDescent="0.3">
      <c r="A23" s="208" t="s">
        <v>413</v>
      </c>
      <c r="B23" s="6" t="s">
        <v>215</v>
      </c>
      <c r="C23" s="7" t="str">
        <f>'Personal File'!$C$13</f>
        <v>+9</v>
      </c>
      <c r="D23" s="8" t="s">
        <v>50</v>
      </c>
      <c r="E23" s="8" t="s">
        <v>351</v>
      </c>
      <c r="F23" s="8" t="s">
        <v>71</v>
      </c>
      <c r="G23" s="242" t="s">
        <v>216</v>
      </c>
      <c r="H23" s="294" t="s">
        <v>90</v>
      </c>
      <c r="I23" s="11" t="str">
        <f>CONCATENATE("+",'Personal File'!$B$10+'Personal File'!$C$13+D23-15)</f>
        <v>+14</v>
      </c>
      <c r="J23" s="512">
        <f t="shared" ca="1" si="3"/>
        <v>12</v>
      </c>
      <c r="K23" s="5">
        <f t="shared" ref="K23" ca="1" si="10">J23+I23</f>
        <v>26</v>
      </c>
      <c r="L23" s="537"/>
      <c r="N23" s="297"/>
    </row>
    <row r="24" spans="1:14" x14ac:dyDescent="0.3">
      <c r="A24" s="269" t="s">
        <v>226</v>
      </c>
      <c r="B24" s="270" t="s">
        <v>215</v>
      </c>
      <c r="C24" s="271" t="str">
        <f>'Personal File'!$C$13</f>
        <v>+9</v>
      </c>
      <c r="D24" s="272" t="s">
        <v>50</v>
      </c>
      <c r="E24" s="272" t="s">
        <v>351</v>
      </c>
      <c r="F24" s="272" t="s">
        <v>71</v>
      </c>
      <c r="G24" s="279" t="s">
        <v>216</v>
      </c>
      <c r="H24" s="274" t="s">
        <v>90</v>
      </c>
      <c r="I24" s="280" t="str">
        <f>CONCATENATE("+",'Personal File'!$B$10+'Personal File'!$C$13+D24)</f>
        <v>+29</v>
      </c>
      <c r="J24" s="515">
        <f t="shared" ca="1" si="3"/>
        <v>6</v>
      </c>
      <c r="K24" s="366">
        <f t="shared" ref="K24:K26" ca="1" si="11">J24+I24</f>
        <v>35</v>
      </c>
      <c r="L24" s="298"/>
      <c r="N24" s="295" t="s">
        <v>90</v>
      </c>
    </row>
    <row r="25" spans="1:14" x14ac:dyDescent="0.3">
      <c r="A25" s="290" t="s">
        <v>369</v>
      </c>
      <c r="B25" s="291" t="s">
        <v>381</v>
      </c>
      <c r="C25" s="292" t="str">
        <f>'Personal File'!$C$13</f>
        <v>+9</v>
      </c>
      <c r="D25" s="293" t="s">
        <v>50</v>
      </c>
      <c r="E25" s="293" t="s">
        <v>351</v>
      </c>
      <c r="F25" s="293" t="s">
        <v>71</v>
      </c>
      <c r="G25" s="237" t="s">
        <v>73</v>
      </c>
      <c r="H25" s="238" t="s">
        <v>90</v>
      </c>
      <c r="I25" s="288" t="str">
        <f>CONCATENATE("+",'Personal File'!$B$10+'Personal File'!$C$13+D25)</f>
        <v>+29</v>
      </c>
      <c r="J25" s="514">
        <f t="shared" ca="1" si="3"/>
        <v>6</v>
      </c>
      <c r="K25" s="289">
        <f t="shared" ca="1" si="11"/>
        <v>35</v>
      </c>
      <c r="L25" s="299"/>
      <c r="N25" s="296" t="s">
        <v>90</v>
      </c>
    </row>
    <row r="26" spans="1:14" x14ac:dyDescent="0.3">
      <c r="A26" s="208" t="s">
        <v>370</v>
      </c>
      <c r="B26" s="6" t="s">
        <v>381</v>
      </c>
      <c r="C26" s="7" t="s">
        <v>223</v>
      </c>
      <c r="D26" s="8" t="s">
        <v>50</v>
      </c>
      <c r="E26" s="8" t="s">
        <v>351</v>
      </c>
      <c r="F26" s="8" t="s">
        <v>71</v>
      </c>
      <c r="G26" s="242" t="s">
        <v>73</v>
      </c>
      <c r="H26" s="294" t="s">
        <v>90</v>
      </c>
      <c r="I26" s="11" t="str">
        <f>CONCATENATE("+",'Personal File'!$B$10+'Personal File'!$C$13+D26)</f>
        <v>+29</v>
      </c>
      <c r="J26" s="512">
        <f t="shared" ca="1" si="3"/>
        <v>1</v>
      </c>
      <c r="K26" s="5">
        <f t="shared" ca="1" si="11"/>
        <v>30</v>
      </c>
      <c r="L26" s="300"/>
      <c r="N26" s="219" t="s">
        <v>90</v>
      </c>
    </row>
    <row r="27" spans="1:14" x14ac:dyDescent="0.3">
      <c r="A27" s="269" t="s">
        <v>380</v>
      </c>
      <c r="B27" s="270" t="s">
        <v>381</v>
      </c>
      <c r="C27" s="271" t="str">
        <f>'Personal File'!$C$13</f>
        <v>+9</v>
      </c>
      <c r="D27" s="272" t="s">
        <v>50</v>
      </c>
      <c r="E27" s="272" t="s">
        <v>351</v>
      </c>
      <c r="F27" s="272" t="s">
        <v>71</v>
      </c>
      <c r="G27" s="279" t="s">
        <v>73</v>
      </c>
      <c r="H27" s="274" t="s">
        <v>90</v>
      </c>
      <c r="I27" s="280" t="str">
        <f>CONCATENATE("+",'Personal File'!$B$10+'Personal File'!$C$13+D27)</f>
        <v>+29</v>
      </c>
      <c r="J27" s="515">
        <f t="shared" ca="1" si="3"/>
        <v>9</v>
      </c>
      <c r="K27" s="366">
        <f t="shared" ref="K27:K28" ca="1" si="12">J27+I27</f>
        <v>38</v>
      </c>
      <c r="L27" s="298"/>
      <c r="N27" s="295" t="s">
        <v>90</v>
      </c>
    </row>
    <row r="28" spans="1:14" x14ac:dyDescent="0.3">
      <c r="A28" s="527" t="s">
        <v>330</v>
      </c>
      <c r="B28" s="528" t="s">
        <v>402</v>
      </c>
      <c r="C28" s="529" t="s">
        <v>108</v>
      </c>
      <c r="D28" s="529" t="s">
        <v>90</v>
      </c>
      <c r="E28" s="530" t="s">
        <v>90</v>
      </c>
      <c r="F28" s="530" t="s">
        <v>90</v>
      </c>
      <c r="G28" s="530" t="s">
        <v>90</v>
      </c>
      <c r="H28" s="531" t="s">
        <v>90</v>
      </c>
      <c r="I28" s="536">
        <f>SUM(Feats!$H$10,'Personal File'!$C$16)</f>
        <v>19</v>
      </c>
      <c r="J28" s="515">
        <f t="shared" ca="1" si="3"/>
        <v>7</v>
      </c>
      <c r="K28" s="532">
        <f t="shared" ca="1" si="12"/>
        <v>26</v>
      </c>
      <c r="L28" s="533" t="str">
        <f>CONCATENATE("Fortitude DC ",Feats!$K$6)</f>
        <v>Fortitude DC 21</v>
      </c>
      <c r="M28" s="534"/>
      <c r="N28" s="535" t="s">
        <v>90</v>
      </c>
    </row>
    <row r="29" spans="1:14" ht="16.2" thickBot="1" x14ac:dyDescent="0.35">
      <c r="A29" s="209" t="s">
        <v>152</v>
      </c>
      <c r="B29" s="210" t="s">
        <v>152</v>
      </c>
      <c r="C29" s="275" t="str">
        <f>CONCATENATE('Personal File'!$C$13," +2")</f>
        <v>+9 +2</v>
      </c>
      <c r="D29" s="276" t="s">
        <v>50</v>
      </c>
      <c r="E29" s="276" t="s">
        <v>90</v>
      </c>
      <c r="F29" s="276" t="s">
        <v>90</v>
      </c>
      <c r="G29" s="277" t="s">
        <v>90</v>
      </c>
      <c r="H29" s="211" t="s">
        <v>90</v>
      </c>
      <c r="I29" s="278" t="str">
        <f>CONCATENATE("+",'Personal File'!$B$10+'Personal File'!$C$13+D29)</f>
        <v>+29</v>
      </c>
      <c r="J29" s="516">
        <f ca="1">RANDBETWEEN(1,20)</f>
        <v>19</v>
      </c>
      <c r="K29" s="131">
        <f t="shared" ref="K29" ca="1" si="13">J29+I29</f>
        <v>48</v>
      </c>
      <c r="L29" s="526" t="s">
        <v>401</v>
      </c>
      <c r="N29" s="216" t="s">
        <v>90</v>
      </c>
    </row>
    <row r="30" spans="1:14" ht="6" customHeight="1" thickTop="1" thickBot="1" x14ac:dyDescent="0.35">
      <c r="J30" s="118"/>
      <c r="K30" s="118"/>
    </row>
    <row r="31" spans="1:14" ht="16.8" thickTop="1" thickBot="1" x14ac:dyDescent="0.35">
      <c r="A31" s="125" t="s">
        <v>4</v>
      </c>
      <c r="B31" s="126" t="s">
        <v>5</v>
      </c>
      <c r="C31" s="126" t="s">
        <v>18</v>
      </c>
      <c r="D31" s="126" t="s">
        <v>19</v>
      </c>
      <c r="E31" s="127" t="s">
        <v>356</v>
      </c>
      <c r="F31" s="127" t="s">
        <v>348</v>
      </c>
      <c r="G31" s="126" t="s">
        <v>6</v>
      </c>
      <c r="H31" s="126" t="s">
        <v>20</v>
      </c>
      <c r="I31" s="128" t="s">
        <v>68</v>
      </c>
      <c r="J31" s="511" t="s">
        <v>77</v>
      </c>
      <c r="K31" s="128" t="s">
        <v>63</v>
      </c>
      <c r="L31" s="129" t="s">
        <v>0</v>
      </c>
      <c r="N31" s="130" t="s">
        <v>87</v>
      </c>
    </row>
    <row r="32" spans="1:14" x14ac:dyDescent="0.3">
      <c r="A32" s="344" t="s">
        <v>148</v>
      </c>
      <c r="B32" s="345" t="s">
        <v>149</v>
      </c>
      <c r="C32" s="346" t="s">
        <v>90</v>
      </c>
      <c r="D32" s="346" t="s">
        <v>50</v>
      </c>
      <c r="E32" s="347" t="s">
        <v>90</v>
      </c>
      <c r="F32" s="347" t="s">
        <v>90</v>
      </c>
      <c r="G32" s="347" t="s">
        <v>90</v>
      </c>
      <c r="H32" s="348" t="s">
        <v>90</v>
      </c>
      <c r="I32" s="349" t="str">
        <f>CONCATENATE("+",'Personal File'!$B$10+'Personal File'!$C$14+D32)</f>
        <v>+25</v>
      </c>
      <c r="J32" s="517">
        <f t="shared" ref="J32:J40" ca="1" si="14">RANDBETWEEN(1,20)</f>
        <v>19</v>
      </c>
      <c r="K32" s="342">
        <f t="shared" ref="K32:K36" ca="1" si="15">J32+I32</f>
        <v>44</v>
      </c>
      <c r="L32" s="343"/>
      <c r="N32" s="340" t="s">
        <v>90</v>
      </c>
    </row>
    <row r="33" spans="1:14" x14ac:dyDescent="0.3">
      <c r="A33" s="344" t="s">
        <v>298</v>
      </c>
      <c r="B33" s="345" t="s">
        <v>259</v>
      </c>
      <c r="C33" s="346" t="s">
        <v>90</v>
      </c>
      <c r="D33" s="346" t="s">
        <v>71</v>
      </c>
      <c r="E33" s="347" t="s">
        <v>90</v>
      </c>
      <c r="F33" s="347" t="s">
        <v>90</v>
      </c>
      <c r="G33" s="347" t="s">
        <v>90</v>
      </c>
      <c r="H33" s="348" t="s">
        <v>90</v>
      </c>
      <c r="I33" s="349" t="str">
        <f>CONCATENATE("+",'Personal File'!$E$5+D33)</f>
        <v>+21</v>
      </c>
      <c r="J33" s="512">
        <f t="shared" ca="1" si="14"/>
        <v>8</v>
      </c>
      <c r="K33" s="342">
        <f t="shared" ca="1" si="15"/>
        <v>29</v>
      </c>
      <c r="L33" s="343"/>
      <c r="N33" s="341" t="s">
        <v>90</v>
      </c>
    </row>
    <row r="34" spans="1:14" x14ac:dyDescent="0.3">
      <c r="A34" s="344" t="s">
        <v>299</v>
      </c>
      <c r="B34" s="345" t="s">
        <v>90</v>
      </c>
      <c r="C34" s="346" t="s">
        <v>90</v>
      </c>
      <c r="D34" s="350">
        <f>2+2</f>
        <v>4</v>
      </c>
      <c r="E34" s="347" t="s">
        <v>90</v>
      </c>
      <c r="F34" s="347" t="s">
        <v>90</v>
      </c>
      <c r="G34" s="347" t="s">
        <v>90</v>
      </c>
      <c r="H34" s="348" t="s">
        <v>90</v>
      </c>
      <c r="I34" s="349" t="str">
        <f>CONCATENATE("+",'Personal File'!$E$5+D34)</f>
        <v>+23</v>
      </c>
      <c r="J34" s="512">
        <f t="shared" ca="1" si="14"/>
        <v>16</v>
      </c>
      <c r="K34" s="342">
        <f t="shared" ref="K34" ca="1" si="16">J34+I34</f>
        <v>39</v>
      </c>
      <c r="L34" s="343"/>
      <c r="N34" s="341" t="s">
        <v>90</v>
      </c>
    </row>
    <row r="35" spans="1:14" x14ac:dyDescent="0.3">
      <c r="A35" s="344" t="s">
        <v>245</v>
      </c>
      <c r="B35" s="345" t="s">
        <v>90</v>
      </c>
      <c r="C35" s="346" t="s">
        <v>90</v>
      </c>
      <c r="D35" s="350" t="s">
        <v>50</v>
      </c>
      <c r="E35" s="347" t="s">
        <v>90</v>
      </c>
      <c r="F35" s="347" t="s">
        <v>90</v>
      </c>
      <c r="G35" s="347" t="s">
        <v>90</v>
      </c>
      <c r="H35" s="348" t="s">
        <v>90</v>
      </c>
      <c r="I35" s="349" t="str">
        <f>CONCATENATE("+",'Personal File'!E5+D35)</f>
        <v>+19</v>
      </c>
      <c r="J35" s="512">
        <f t="shared" ca="1" si="14"/>
        <v>15</v>
      </c>
      <c r="K35" s="342">
        <f t="shared" ref="K35" ca="1" si="17">J35+I35</f>
        <v>34</v>
      </c>
      <c r="L35" s="343"/>
      <c r="N35" s="341" t="s">
        <v>90</v>
      </c>
    </row>
    <row r="36" spans="1:14" x14ac:dyDescent="0.3">
      <c r="A36" s="208" t="s">
        <v>422</v>
      </c>
      <c r="B36" s="6"/>
      <c r="C36" s="7">
        <v>0</v>
      </c>
      <c r="D36" s="8">
        <v>0</v>
      </c>
      <c r="E36" s="8" t="s">
        <v>351</v>
      </c>
      <c r="F36" s="8" t="s">
        <v>71</v>
      </c>
      <c r="G36" s="242" t="s">
        <v>90</v>
      </c>
      <c r="H36" s="10" t="s">
        <v>90</v>
      </c>
      <c r="I36" s="11" t="str">
        <f>CONCATENATE("+",'Personal File'!$B$10+'Personal File'!$C$14+D36)</f>
        <v>+25</v>
      </c>
      <c r="J36" s="512">
        <f t="shared" ca="1" si="14"/>
        <v>16</v>
      </c>
      <c r="K36" s="5">
        <f t="shared" ca="1" si="15"/>
        <v>41</v>
      </c>
      <c r="L36" s="300"/>
      <c r="N36" s="219" t="s">
        <v>90</v>
      </c>
    </row>
    <row r="37" spans="1:14" x14ac:dyDescent="0.3">
      <c r="A37" s="208" t="s">
        <v>423</v>
      </c>
      <c r="B37" s="6"/>
      <c r="C37" s="7">
        <v>0</v>
      </c>
      <c r="D37" s="8">
        <v>0</v>
      </c>
      <c r="E37" s="8" t="s">
        <v>351</v>
      </c>
      <c r="F37" s="8" t="s">
        <v>71</v>
      </c>
      <c r="G37" s="242" t="s">
        <v>90</v>
      </c>
      <c r="H37" s="294" t="s">
        <v>90</v>
      </c>
      <c r="I37" s="11" t="str">
        <f>CONCATENATE("+",'Personal File'!$B$10+'Personal File'!$C$14+D37-5)</f>
        <v>+20</v>
      </c>
      <c r="J37" s="512">
        <f t="shared" ca="1" si="14"/>
        <v>9</v>
      </c>
      <c r="K37" s="5">
        <f t="shared" ref="K37:K40" ca="1" si="18">J37+I37</f>
        <v>29</v>
      </c>
      <c r="L37" s="300"/>
      <c r="N37" s="219" t="s">
        <v>90</v>
      </c>
    </row>
    <row r="38" spans="1:14" x14ac:dyDescent="0.3">
      <c r="A38" s="208" t="s">
        <v>424</v>
      </c>
      <c r="B38" s="6"/>
      <c r="C38" s="7">
        <v>0</v>
      </c>
      <c r="D38" s="8">
        <v>0</v>
      </c>
      <c r="E38" s="8" t="s">
        <v>351</v>
      </c>
      <c r="F38" s="8" t="s">
        <v>71</v>
      </c>
      <c r="G38" s="242" t="s">
        <v>90</v>
      </c>
      <c r="H38" s="294" t="s">
        <v>90</v>
      </c>
      <c r="I38" s="11" t="str">
        <f>CONCATENATE("+",'Personal File'!$B$10+'Personal File'!$C$14+D38-10)</f>
        <v>+15</v>
      </c>
      <c r="J38" s="512">
        <f t="shared" ca="1" si="14"/>
        <v>5</v>
      </c>
      <c r="K38" s="5">
        <f t="shared" ca="1" si="18"/>
        <v>20</v>
      </c>
      <c r="L38" s="300"/>
      <c r="N38" s="219" t="s">
        <v>90</v>
      </c>
    </row>
    <row r="39" spans="1:14" x14ac:dyDescent="0.3">
      <c r="A39" s="208" t="s">
        <v>425</v>
      </c>
      <c r="B39" s="6"/>
      <c r="C39" s="7">
        <v>0</v>
      </c>
      <c r="D39" s="8">
        <v>0</v>
      </c>
      <c r="E39" s="8" t="s">
        <v>351</v>
      </c>
      <c r="F39" s="8" t="s">
        <v>71</v>
      </c>
      <c r="G39" s="242" t="s">
        <v>90</v>
      </c>
      <c r="H39" s="294" t="s">
        <v>90</v>
      </c>
      <c r="I39" s="11" t="str">
        <f>CONCATENATE("+",'Personal File'!$B$10+'Personal File'!$C$14+D39-15)</f>
        <v>+10</v>
      </c>
      <c r="J39" s="512">
        <f t="shared" ca="1" si="14"/>
        <v>8</v>
      </c>
      <c r="K39" s="5">
        <f t="shared" ref="K39" ca="1" si="19">J39+I39</f>
        <v>18</v>
      </c>
      <c r="L39" s="300"/>
      <c r="N39" s="219" t="s">
        <v>90</v>
      </c>
    </row>
    <row r="40" spans="1:14" ht="16.2" thickBot="1" x14ac:dyDescent="0.35">
      <c r="A40" s="302" t="s">
        <v>426</v>
      </c>
      <c r="B40" s="303"/>
      <c r="C40" s="304">
        <v>0</v>
      </c>
      <c r="D40" s="304">
        <v>0</v>
      </c>
      <c r="E40" s="303" t="s">
        <v>351</v>
      </c>
      <c r="F40" s="303" t="s">
        <v>71</v>
      </c>
      <c r="G40" s="304" t="s">
        <v>90</v>
      </c>
      <c r="H40" s="305" t="s">
        <v>90</v>
      </c>
      <c r="I40" s="306" t="str">
        <f>CONCATENATE("+",'Personal File'!$B$10+'Personal File'!$C$14+D40)</f>
        <v>+25</v>
      </c>
      <c r="J40" s="518">
        <f t="shared" ca="1" si="14"/>
        <v>19</v>
      </c>
      <c r="K40" s="307">
        <f t="shared" ca="1" si="18"/>
        <v>44</v>
      </c>
      <c r="L40" s="301"/>
      <c r="N40" s="216" t="s">
        <v>90</v>
      </c>
    </row>
    <row r="41" spans="1:14" ht="6" customHeight="1" thickTop="1" thickBot="1" x14ac:dyDescent="0.35">
      <c r="D41" s="132"/>
      <c r="E41" s="132"/>
      <c r="F41" s="132"/>
      <c r="H41" s="133"/>
      <c r="I41" s="133"/>
      <c r="J41" s="133"/>
      <c r="K41" s="133"/>
    </row>
    <row r="42" spans="1:14" ht="16.8" thickTop="1" thickBot="1" x14ac:dyDescent="0.35">
      <c r="A42" s="125" t="s">
        <v>55</v>
      </c>
      <c r="B42" s="126" t="s">
        <v>9</v>
      </c>
      <c r="C42" s="126" t="s">
        <v>23</v>
      </c>
      <c r="D42" s="126" t="s">
        <v>63</v>
      </c>
      <c r="E42" s="126" t="s">
        <v>64</v>
      </c>
      <c r="F42" s="126" t="s">
        <v>65</v>
      </c>
      <c r="G42" s="126" t="s">
        <v>20</v>
      </c>
      <c r="H42" s="134" t="s">
        <v>0</v>
      </c>
      <c r="I42" s="135"/>
      <c r="J42" s="135"/>
      <c r="K42" s="135"/>
      <c r="L42" s="136"/>
      <c r="N42" s="130" t="s">
        <v>87</v>
      </c>
    </row>
    <row r="43" spans="1:14" x14ac:dyDescent="0.3">
      <c r="A43" s="236" t="s">
        <v>418</v>
      </c>
      <c r="B43" s="544">
        <f>5+5</f>
        <v>10</v>
      </c>
      <c r="C43" s="545">
        <v>7</v>
      </c>
      <c r="D43" s="544">
        <v>0</v>
      </c>
      <c r="E43" s="546">
        <v>0.3</v>
      </c>
      <c r="F43" s="547" t="s">
        <v>86</v>
      </c>
      <c r="G43" s="238">
        <v>20</v>
      </c>
      <c r="H43" s="239" t="s">
        <v>182</v>
      </c>
      <c r="I43" s="240"/>
      <c r="J43" s="240"/>
      <c r="K43" s="240"/>
      <c r="L43" s="241"/>
      <c r="N43" s="219">
        <f>150+300+(9*9*1000)+3000</f>
        <v>84450</v>
      </c>
    </row>
    <row r="44" spans="1:14" x14ac:dyDescent="0.3">
      <c r="A44" s="423" t="s">
        <v>302</v>
      </c>
      <c r="B44" s="424">
        <v>0</v>
      </c>
      <c r="C44" s="425" t="s">
        <v>90</v>
      </c>
      <c r="D44" s="424" t="s">
        <v>90</v>
      </c>
      <c r="E44" s="426" t="s">
        <v>90</v>
      </c>
      <c r="F44" s="427" t="s">
        <v>90</v>
      </c>
      <c r="G44" s="428">
        <v>0</v>
      </c>
      <c r="H44" s="429"/>
      <c r="I44" s="430"/>
      <c r="J44" s="430"/>
      <c r="K44" s="430"/>
      <c r="L44" s="431"/>
      <c r="N44" s="296">
        <v>500</v>
      </c>
    </row>
    <row r="45" spans="1:14" x14ac:dyDescent="0.3">
      <c r="A45" s="423" t="s">
        <v>303</v>
      </c>
      <c r="B45" s="424">
        <v>5</v>
      </c>
      <c r="C45" s="425" t="s">
        <v>90</v>
      </c>
      <c r="D45" s="424" t="s">
        <v>90</v>
      </c>
      <c r="E45" s="426" t="s">
        <v>90</v>
      </c>
      <c r="F45" s="427" t="s">
        <v>90</v>
      </c>
      <c r="G45" s="428">
        <v>1</v>
      </c>
      <c r="H45" s="429"/>
      <c r="I45" s="430"/>
      <c r="J45" s="430"/>
      <c r="K45" s="430"/>
      <c r="L45" s="431"/>
      <c r="N45" s="296">
        <v>25000</v>
      </c>
    </row>
    <row r="46" spans="1:14" x14ac:dyDescent="0.3">
      <c r="A46" s="208" t="s">
        <v>313</v>
      </c>
      <c r="B46" s="6">
        <f>1+3</f>
        <v>4</v>
      </c>
      <c r="C46" s="242" t="s">
        <v>90</v>
      </c>
      <c r="D46" s="243">
        <v>-1</v>
      </c>
      <c r="E46" s="244">
        <v>0.05</v>
      </c>
      <c r="F46" s="242" t="s">
        <v>90</v>
      </c>
      <c r="G46" s="245">
        <v>6</v>
      </c>
      <c r="H46" s="246"/>
      <c r="I46" s="485"/>
      <c r="J46" s="247"/>
      <c r="K46" s="247"/>
      <c r="L46" s="248"/>
      <c r="N46" s="219">
        <v>9000</v>
      </c>
    </row>
    <row r="47" spans="1:14" x14ac:dyDescent="0.3">
      <c r="A47" s="373" t="s">
        <v>377</v>
      </c>
      <c r="B47" s="374">
        <v>1</v>
      </c>
      <c r="C47" s="375" t="s">
        <v>90</v>
      </c>
      <c r="D47" s="374" t="s">
        <v>90</v>
      </c>
      <c r="E47" s="376" t="s">
        <v>90</v>
      </c>
      <c r="F47" s="375" t="s">
        <v>90</v>
      </c>
      <c r="G47" s="377" t="s">
        <v>90</v>
      </c>
      <c r="H47" s="378"/>
      <c r="I47" s="486"/>
      <c r="J47" s="379"/>
      <c r="K47" s="379"/>
      <c r="L47" s="380"/>
      <c r="N47" s="381" t="s">
        <v>90</v>
      </c>
    </row>
    <row r="48" spans="1:14" x14ac:dyDescent="0.3">
      <c r="A48" s="373" t="s">
        <v>239</v>
      </c>
      <c r="B48" s="524">
        <v>5</v>
      </c>
      <c r="C48" s="375" t="s">
        <v>90</v>
      </c>
      <c r="D48" s="374" t="s">
        <v>90</v>
      </c>
      <c r="E48" s="376" t="s">
        <v>90</v>
      </c>
      <c r="F48" s="375" t="s">
        <v>90</v>
      </c>
      <c r="G48" s="377" t="s">
        <v>90</v>
      </c>
      <c r="H48" s="519"/>
      <c r="I48" s="379"/>
      <c r="J48" s="379"/>
      <c r="K48" s="379"/>
      <c r="L48" s="520"/>
      <c r="M48" s="221"/>
      <c r="N48" s="381" t="s">
        <v>90</v>
      </c>
    </row>
    <row r="49" spans="1:14" ht="16.2" thickBot="1" x14ac:dyDescent="0.35">
      <c r="A49" s="261" t="s">
        <v>201</v>
      </c>
      <c r="B49" s="262" t="s">
        <v>397</v>
      </c>
      <c r="C49" s="263" t="s">
        <v>90</v>
      </c>
      <c r="D49" s="262" t="s">
        <v>90</v>
      </c>
      <c r="E49" s="264" t="s">
        <v>90</v>
      </c>
      <c r="F49" s="263" t="s">
        <v>90</v>
      </c>
      <c r="G49" s="265" t="s">
        <v>90</v>
      </c>
      <c r="H49" s="266"/>
      <c r="I49" s="487"/>
      <c r="J49" s="267"/>
      <c r="K49" s="267"/>
      <c r="L49" s="268"/>
      <c r="N49" s="260" t="s">
        <v>90</v>
      </c>
    </row>
    <row r="50" spans="1:14" ht="6.75" customHeight="1" thickTop="1" thickBot="1" x14ac:dyDescent="0.35"/>
    <row r="51" spans="1:14" ht="16.8" thickTop="1" thickBot="1" x14ac:dyDescent="0.35">
      <c r="A51" s="118"/>
      <c r="B51" s="118"/>
      <c r="E51" s="178" t="s">
        <v>56</v>
      </c>
      <c r="F51" s="179"/>
      <c r="G51" s="179" t="s">
        <v>3</v>
      </c>
      <c r="H51" s="180" t="s">
        <v>20</v>
      </c>
      <c r="I51" s="180" t="s">
        <v>68</v>
      </c>
      <c r="J51" s="184" t="s">
        <v>0</v>
      </c>
      <c r="K51" s="185"/>
      <c r="L51" s="186"/>
      <c r="N51" s="130" t="s">
        <v>87</v>
      </c>
    </row>
    <row r="52" spans="1:14" ht="16.2" thickBot="1" x14ac:dyDescent="0.35">
      <c r="A52" s="118"/>
      <c r="B52" s="118"/>
      <c r="E52" s="181"/>
      <c r="F52" s="182"/>
      <c r="G52" s="182"/>
      <c r="H52" s="137"/>
      <c r="I52" s="183"/>
      <c r="J52" s="187"/>
      <c r="K52" s="188"/>
      <c r="L52" s="177"/>
      <c r="N52" s="218"/>
    </row>
    <row r="53" spans="1:14" ht="16.8" thickTop="1" thickBot="1" x14ac:dyDescent="0.35">
      <c r="A53" s="118"/>
      <c r="B53" s="118"/>
      <c r="N53" s="161"/>
    </row>
    <row r="54" spans="1:14" ht="16.8" thickTop="1" thickBot="1" x14ac:dyDescent="0.35">
      <c r="A54" s="118"/>
      <c r="B54" s="118"/>
      <c r="E54" s="351" t="s">
        <v>260</v>
      </c>
      <c r="F54" s="135"/>
      <c r="G54" s="135"/>
      <c r="H54" s="135"/>
      <c r="I54" s="352" t="s">
        <v>3</v>
      </c>
      <c r="J54" s="352" t="s">
        <v>89</v>
      </c>
      <c r="K54" s="352" t="s">
        <v>261</v>
      </c>
      <c r="L54" s="136" t="s">
        <v>61</v>
      </c>
      <c r="M54" s="221"/>
      <c r="N54" s="353" t="s">
        <v>87</v>
      </c>
    </row>
    <row r="55" spans="1:14" x14ac:dyDescent="0.3">
      <c r="A55" s="118"/>
      <c r="B55" s="118"/>
      <c r="E55" s="354" t="s">
        <v>341</v>
      </c>
      <c r="F55" s="355"/>
      <c r="G55" s="355"/>
      <c r="H55" s="356"/>
      <c r="I55" s="357">
        <v>2</v>
      </c>
      <c r="J55" s="358">
        <v>2</v>
      </c>
      <c r="K55" s="358">
        <v>10</v>
      </c>
      <c r="L55" s="359"/>
      <c r="M55" s="221"/>
      <c r="N55" s="297">
        <f t="shared" ref="N55:N57" si="20">25*I55*J55*K55</f>
        <v>1000</v>
      </c>
    </row>
    <row r="56" spans="1:14" x14ac:dyDescent="0.3">
      <c r="A56" s="118"/>
      <c r="B56" s="118"/>
      <c r="E56" s="479" t="s">
        <v>410</v>
      </c>
      <c r="F56" s="480"/>
      <c r="G56" s="480"/>
      <c r="H56" s="481"/>
      <c r="I56" s="482">
        <v>2</v>
      </c>
      <c r="J56" s="483">
        <v>7</v>
      </c>
      <c r="K56" s="483">
        <v>13</v>
      </c>
      <c r="L56" s="484"/>
      <c r="M56" s="221"/>
      <c r="N56" s="297">
        <f t="shared" ref="N56" si="21">25*I56*J56*K56</f>
        <v>4550</v>
      </c>
    </row>
    <row r="57" spans="1:14" x14ac:dyDescent="0.3">
      <c r="A57" s="118"/>
      <c r="B57" s="118"/>
      <c r="E57" s="479" t="s">
        <v>342</v>
      </c>
      <c r="F57" s="480"/>
      <c r="G57" s="480"/>
      <c r="H57" s="481"/>
      <c r="I57" s="482">
        <v>2</v>
      </c>
      <c r="J57" s="483">
        <v>6</v>
      </c>
      <c r="K57" s="483">
        <v>11</v>
      </c>
      <c r="L57" s="484"/>
      <c r="M57" s="221"/>
      <c r="N57" s="297">
        <f t="shared" si="20"/>
        <v>3300</v>
      </c>
    </row>
    <row r="58" spans="1:14" x14ac:dyDescent="0.3">
      <c r="A58" s="118"/>
      <c r="B58" s="118"/>
      <c r="E58" s="479" t="s">
        <v>343</v>
      </c>
      <c r="F58" s="480"/>
      <c r="G58" s="480"/>
      <c r="H58" s="481"/>
      <c r="I58" s="482">
        <v>1</v>
      </c>
      <c r="J58" s="483">
        <v>5</v>
      </c>
      <c r="K58" s="483">
        <v>9</v>
      </c>
      <c r="L58" s="484" t="s">
        <v>387</v>
      </c>
      <c r="M58" s="221"/>
      <c r="N58" s="297">
        <f>25*I58*J58*K58*LEFT(L58,2)</f>
        <v>13500</v>
      </c>
    </row>
    <row r="59" spans="1:14" ht="16.2" thickBot="1" x14ac:dyDescent="0.35">
      <c r="A59" s="118"/>
      <c r="B59" s="118"/>
      <c r="E59" s="360" t="s">
        <v>338</v>
      </c>
      <c r="F59" s="361"/>
      <c r="G59" s="361"/>
      <c r="H59" s="362"/>
      <c r="I59" s="363" t="s">
        <v>71</v>
      </c>
      <c r="J59" s="364" t="s">
        <v>339</v>
      </c>
      <c r="K59" s="364" t="s">
        <v>340</v>
      </c>
      <c r="L59" s="365"/>
      <c r="M59" s="221"/>
      <c r="N59" s="218">
        <f t="shared" ref="N59" si="22">25*I59*J59*K59</f>
        <v>2000</v>
      </c>
    </row>
    <row r="60" spans="1:14" ht="16.2" thickTop="1" x14ac:dyDescent="0.3">
      <c r="A60" s="118"/>
      <c r="B60" s="118"/>
      <c r="N60" s="161"/>
    </row>
    <row r="61" spans="1:14" x14ac:dyDescent="0.3">
      <c r="N61" s="161"/>
    </row>
    <row r="62" spans="1:14" x14ac:dyDescent="0.3">
      <c r="N62" s="161"/>
    </row>
    <row r="63" spans="1:14" x14ac:dyDescent="0.3">
      <c r="N63" s="161"/>
    </row>
    <row r="64" spans="1:14" x14ac:dyDescent="0.3">
      <c r="N64" s="161"/>
    </row>
    <row r="65" spans="14:14" x14ac:dyDescent="0.3">
      <c r="N65" s="161"/>
    </row>
    <row r="66" spans="14:14" x14ac:dyDescent="0.3">
      <c r="N66" s="161"/>
    </row>
    <row r="67" spans="14:14" x14ac:dyDescent="0.3">
      <c r="N67" s="161"/>
    </row>
    <row r="68" spans="14:14" x14ac:dyDescent="0.3">
      <c r="N68" s="161"/>
    </row>
  </sheetData>
  <sortState xmlns:xlrd2="http://schemas.microsoft.com/office/spreadsheetml/2017/richdata2" ref="A11:I13">
    <sortCondition ref="A11:A13"/>
  </sortState>
  <phoneticPr fontId="0" type="noConversion"/>
  <conditionalFormatting sqref="J32">
    <cfRule type="cellIs" dxfId="38" priority="75" operator="equal">
      <formula>20</formula>
    </cfRule>
    <cfRule type="cellIs" dxfId="37" priority="76" operator="equal">
      <formula>1</formula>
    </cfRule>
  </conditionalFormatting>
  <conditionalFormatting sqref="B49">
    <cfRule type="cellIs" dxfId="36" priority="67" operator="greaterThan">
      <formula>0</formula>
    </cfRule>
  </conditionalFormatting>
  <conditionalFormatting sqref="J40">
    <cfRule type="cellIs" dxfId="35" priority="55" operator="equal">
      <formula>20</formula>
    </cfRule>
    <cfRule type="cellIs" dxfId="34" priority="56" operator="equal">
      <formula>1</formula>
    </cfRule>
  </conditionalFormatting>
  <conditionalFormatting sqref="J36">
    <cfRule type="cellIs" dxfId="33" priority="53" operator="equal">
      <formula>20</formula>
    </cfRule>
    <cfRule type="cellIs" dxfId="32" priority="54" operator="equal">
      <formula>1</formula>
    </cfRule>
  </conditionalFormatting>
  <conditionalFormatting sqref="J36">
    <cfRule type="cellIs" dxfId="31" priority="51" operator="equal">
      <formula>20</formula>
    </cfRule>
    <cfRule type="cellIs" dxfId="30" priority="52" operator="equal">
      <formula>1</formula>
    </cfRule>
  </conditionalFormatting>
  <conditionalFormatting sqref="J37:J38">
    <cfRule type="cellIs" dxfId="29" priority="49" operator="equal">
      <formula>20</formula>
    </cfRule>
    <cfRule type="cellIs" dxfId="28" priority="50" operator="equal">
      <formula>1</formula>
    </cfRule>
  </conditionalFormatting>
  <conditionalFormatting sqref="J37:J38">
    <cfRule type="cellIs" dxfId="27" priority="47" operator="equal">
      <formula>20</formula>
    </cfRule>
    <cfRule type="cellIs" dxfId="26" priority="48" operator="equal">
      <formula>1</formula>
    </cfRule>
  </conditionalFormatting>
  <conditionalFormatting sqref="J33">
    <cfRule type="cellIs" dxfId="25" priority="45" operator="equal">
      <formula>20</formula>
    </cfRule>
    <cfRule type="cellIs" dxfId="24" priority="46" operator="equal">
      <formula>1</formula>
    </cfRule>
  </conditionalFormatting>
  <conditionalFormatting sqref="J33">
    <cfRule type="cellIs" dxfId="23" priority="43" operator="equal">
      <formula>20</formula>
    </cfRule>
    <cfRule type="cellIs" dxfId="22" priority="44" operator="equal">
      <formula>1</formula>
    </cfRule>
  </conditionalFormatting>
  <conditionalFormatting sqref="J34">
    <cfRule type="cellIs" dxfId="21" priority="39" operator="equal">
      <formula>20</formula>
    </cfRule>
    <cfRule type="cellIs" dxfId="20" priority="40" operator="equal">
      <formula>1</formula>
    </cfRule>
  </conditionalFormatting>
  <conditionalFormatting sqref="J34">
    <cfRule type="cellIs" dxfId="19" priority="37" operator="equal">
      <formula>20</formula>
    </cfRule>
    <cfRule type="cellIs" dxfId="18" priority="38" operator="equal">
      <formula>1</formula>
    </cfRule>
  </conditionalFormatting>
  <conditionalFormatting sqref="J35">
    <cfRule type="cellIs" dxfId="17" priority="18" operator="equal">
      <formula>20</formula>
    </cfRule>
    <cfRule type="cellIs" dxfId="16" priority="19" operator="equal">
      <formula>1</formula>
    </cfRule>
  </conditionalFormatting>
  <conditionalFormatting sqref="J35">
    <cfRule type="cellIs" dxfId="15" priority="16" operator="equal">
      <formula>20</formula>
    </cfRule>
    <cfRule type="cellIs" dxfId="14" priority="17" operator="equal">
      <formula>1</formula>
    </cfRule>
  </conditionalFormatting>
  <conditionalFormatting sqref="J28">
    <cfRule type="cellIs" dxfId="13" priority="10" operator="equal">
      <formula>20</formula>
    </cfRule>
    <cfRule type="cellIs" dxfId="12" priority="11" operator="equal">
      <formula>1</formula>
    </cfRule>
  </conditionalFormatting>
  <conditionalFormatting sqref="J28">
    <cfRule type="cellIs" dxfId="11" priority="8" operator="equal">
      <formula>20</formula>
    </cfRule>
    <cfRule type="cellIs" dxfId="10" priority="9" operator="equal">
      <formula>1</formula>
    </cfRule>
  </conditionalFormatting>
  <conditionalFormatting sqref="J39">
    <cfRule type="cellIs" dxfId="9" priority="5" operator="equal">
      <formula>20</formula>
    </cfRule>
    <cfRule type="cellIs" dxfId="8" priority="6" operator="equal">
      <formula>1</formula>
    </cfRule>
  </conditionalFormatting>
  <conditionalFormatting sqref="J39">
    <cfRule type="cellIs" dxfId="7" priority="3" operator="equal">
      <formula>20</formula>
    </cfRule>
    <cfRule type="cellIs" dxfId="6" priority="4" operator="equal">
      <formula>1</formula>
    </cfRule>
  </conditionalFormatting>
  <conditionalFormatting sqref="A3:A5 A7">
    <cfRule type="cellIs" dxfId="5" priority="2" operator="notEqual">
      <formula>0</formula>
    </cfRule>
  </conditionalFormatting>
  <conditionalFormatting sqref="A6">
    <cfRule type="cellIs" dxfId="4" priority="1" operator="notEqual">
      <formula>0</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53"/>
  <sheetViews>
    <sheetView showGridLines="0" workbookViewId="0"/>
  </sheetViews>
  <sheetFormatPr defaultColWidth="13" defaultRowHeight="15.6" x14ac:dyDescent="0.3"/>
  <cols>
    <col min="1" max="1" width="38.19921875" style="120" bestFit="1" customWidth="1"/>
    <col min="2" max="2" width="5.59765625" style="120" bestFit="1" customWidth="1"/>
    <col min="3" max="3" width="5.3984375" style="133" bestFit="1" customWidth="1"/>
    <col min="4" max="5" width="23.796875" style="12" customWidth="1"/>
    <col min="6" max="6" width="2.09765625" style="120" customWidth="1"/>
    <col min="7" max="7" width="9.296875" style="12" bestFit="1" customWidth="1"/>
    <col min="8" max="16384" width="13" style="12"/>
  </cols>
  <sheetData>
    <row r="1" spans="1:7" ht="23.4" thickBot="1" x14ac:dyDescent="0.35">
      <c r="A1" s="124" t="s">
        <v>58</v>
      </c>
      <c r="B1" s="124"/>
      <c r="C1" s="138"/>
      <c r="D1" s="124"/>
      <c r="E1" s="124"/>
    </row>
    <row r="2" spans="1:7" s="120" customFormat="1" ht="16.8" thickTop="1" thickBot="1" x14ac:dyDescent="0.35">
      <c r="A2" s="139" t="s">
        <v>59</v>
      </c>
      <c r="B2" s="139" t="s">
        <v>3</v>
      </c>
      <c r="C2" s="140" t="s">
        <v>20</v>
      </c>
      <c r="D2" s="141" t="s">
        <v>60</v>
      </c>
      <c r="E2" s="142" t="s">
        <v>61</v>
      </c>
      <c r="G2" s="143" t="s">
        <v>87</v>
      </c>
    </row>
    <row r="3" spans="1:7" x14ac:dyDescent="0.3">
      <c r="A3" s="144" t="s">
        <v>74</v>
      </c>
      <c r="B3" s="145">
        <v>2</v>
      </c>
      <c r="C3" s="146">
        <v>2</v>
      </c>
      <c r="D3" s="147"/>
      <c r="E3" s="148"/>
      <c r="F3" s="118"/>
      <c r="G3" s="232">
        <v>0</v>
      </c>
    </row>
    <row r="4" spans="1:7" x14ac:dyDescent="0.3">
      <c r="A4" s="144" t="s">
        <v>82</v>
      </c>
      <c r="B4" s="145">
        <v>1</v>
      </c>
      <c r="C4" s="146">
        <v>0.5</v>
      </c>
      <c r="D4" s="432"/>
      <c r="E4" s="235"/>
      <c r="F4"/>
      <c r="G4" s="233">
        <v>0</v>
      </c>
    </row>
    <row r="5" spans="1:7" x14ac:dyDescent="0.3">
      <c r="A5" s="562" t="s">
        <v>229</v>
      </c>
      <c r="B5" s="563">
        <v>1</v>
      </c>
      <c r="C5" s="564">
        <v>0</v>
      </c>
      <c r="D5" s="565" t="s">
        <v>427</v>
      </c>
      <c r="E5" s="566"/>
      <c r="F5"/>
      <c r="G5" s="567">
        <v>2200</v>
      </c>
    </row>
    <row r="6" spans="1:7" x14ac:dyDescent="0.3">
      <c r="A6" s="475" t="s">
        <v>436</v>
      </c>
      <c r="B6" s="476">
        <v>1</v>
      </c>
      <c r="C6" s="146">
        <v>0</v>
      </c>
      <c r="D6" s="477"/>
      <c r="E6" s="235"/>
      <c r="F6"/>
      <c r="G6" s="233">
        <v>100000</v>
      </c>
    </row>
    <row r="7" spans="1:7" x14ac:dyDescent="0.3">
      <c r="A7" s="475" t="s">
        <v>437</v>
      </c>
      <c r="B7" s="568">
        <v>1</v>
      </c>
      <c r="C7" s="146">
        <v>0</v>
      </c>
      <c r="D7" s="477"/>
      <c r="E7" s="235"/>
      <c r="F7" s="221"/>
      <c r="G7" s="233">
        <v>180000</v>
      </c>
    </row>
    <row r="8" spans="1:7" x14ac:dyDescent="0.3">
      <c r="A8" s="144" t="s">
        <v>441</v>
      </c>
      <c r="B8" s="145">
        <v>1</v>
      </c>
      <c r="C8" s="146">
        <v>2</v>
      </c>
      <c r="D8" s="432"/>
      <c r="E8" s="235"/>
      <c r="F8" s="221"/>
      <c r="G8" s="233">
        <f>8000+32000</f>
        <v>40000</v>
      </c>
    </row>
    <row r="9" spans="1:7" x14ac:dyDescent="0.3">
      <c r="A9" s="144" t="s">
        <v>181</v>
      </c>
      <c r="B9" s="145">
        <v>1</v>
      </c>
      <c r="C9" s="146">
        <v>1</v>
      </c>
      <c r="D9" s="432"/>
      <c r="E9" s="235"/>
      <c r="F9"/>
      <c r="G9" s="233">
        <v>750</v>
      </c>
    </row>
    <row r="10" spans="1:7" x14ac:dyDescent="0.3">
      <c r="A10" s="144" t="s">
        <v>80</v>
      </c>
      <c r="B10" s="145">
        <v>1</v>
      </c>
      <c r="C10" s="146" t="s">
        <v>84</v>
      </c>
      <c r="D10" s="432"/>
      <c r="E10" s="235"/>
      <c r="F10"/>
      <c r="G10" s="233">
        <v>0</v>
      </c>
    </row>
    <row r="11" spans="1:7" x14ac:dyDescent="0.3">
      <c r="A11" s="144" t="s">
        <v>419</v>
      </c>
      <c r="B11" s="145">
        <v>1</v>
      </c>
      <c r="C11" s="146">
        <v>0</v>
      </c>
      <c r="D11" s="432"/>
      <c r="E11" s="235"/>
      <c r="F11"/>
      <c r="G11" s="233">
        <v>16000</v>
      </c>
    </row>
    <row r="12" spans="1:7" x14ac:dyDescent="0.3">
      <c r="A12" s="144" t="s">
        <v>301</v>
      </c>
      <c r="B12" s="145">
        <v>1</v>
      </c>
      <c r="C12" s="146">
        <v>1</v>
      </c>
      <c r="D12" s="432"/>
      <c r="E12" s="235"/>
      <c r="F12"/>
      <c r="G12" s="233">
        <v>24000</v>
      </c>
    </row>
    <row r="13" spans="1:7" x14ac:dyDescent="0.3">
      <c r="A13" s="144" t="s">
        <v>151</v>
      </c>
      <c r="B13" s="145">
        <v>1</v>
      </c>
      <c r="C13" s="146">
        <v>0</v>
      </c>
      <c r="D13" s="432"/>
      <c r="E13" s="235"/>
      <c r="F13"/>
      <c r="G13" s="233">
        <v>2300</v>
      </c>
    </row>
    <row r="14" spans="1:7" x14ac:dyDescent="0.3">
      <c r="A14" s="475" t="s">
        <v>420</v>
      </c>
      <c r="B14" s="476">
        <v>1</v>
      </c>
      <c r="C14" s="156">
        <v>0</v>
      </c>
      <c r="D14" s="449"/>
      <c r="E14" s="309"/>
      <c r="F14" s="221"/>
      <c r="G14" s="541">
        <v>3400</v>
      </c>
    </row>
    <row r="15" spans="1:7" x14ac:dyDescent="0.3">
      <c r="A15" s="475" t="s">
        <v>421</v>
      </c>
      <c r="B15" s="476">
        <v>1</v>
      </c>
      <c r="C15" s="146">
        <v>0</v>
      </c>
      <c r="D15" s="542"/>
      <c r="E15" s="235"/>
      <c r="F15" s="221"/>
      <c r="G15" s="233">
        <v>4000</v>
      </c>
    </row>
    <row r="16" spans="1:7" x14ac:dyDescent="0.3">
      <c r="A16" s="447" t="s">
        <v>314</v>
      </c>
      <c r="B16" s="448">
        <v>1</v>
      </c>
      <c r="C16" s="156">
        <v>0</v>
      </c>
      <c r="D16" s="449" t="s">
        <v>315</v>
      </c>
      <c r="E16" s="309"/>
      <c r="F16"/>
      <c r="G16" s="450">
        <v>6000</v>
      </c>
    </row>
    <row r="17" spans="1:7" ht="16.2" thickBot="1" x14ac:dyDescent="0.35">
      <c r="A17" s="149" t="s">
        <v>337</v>
      </c>
      <c r="B17" s="150">
        <v>1</v>
      </c>
      <c r="C17" s="151">
        <v>1</v>
      </c>
      <c r="D17" s="152"/>
      <c r="E17" s="153"/>
      <c r="G17" s="234">
        <v>9000</v>
      </c>
    </row>
    <row r="18" spans="1:7" ht="24" thickTop="1" thickBot="1" x14ac:dyDescent="0.35">
      <c r="A18" s="124" t="s">
        <v>62</v>
      </c>
      <c r="B18" s="154"/>
      <c r="C18" s="154"/>
      <c r="D18" s="124"/>
      <c r="E18" s="155"/>
    </row>
    <row r="19" spans="1:7" ht="16.8" thickTop="1" thickBot="1" x14ac:dyDescent="0.35">
      <c r="A19" s="139" t="s">
        <v>59</v>
      </c>
      <c r="B19" s="139" t="s">
        <v>3</v>
      </c>
      <c r="C19" s="140" t="s">
        <v>20</v>
      </c>
      <c r="D19" s="141" t="s">
        <v>60</v>
      </c>
      <c r="E19" s="142" t="s">
        <v>61</v>
      </c>
      <c r="G19" s="143" t="s">
        <v>87</v>
      </c>
    </row>
    <row r="20" spans="1:7" x14ac:dyDescent="0.3">
      <c r="A20" s="144" t="s">
        <v>83</v>
      </c>
      <c r="B20" s="145">
        <v>1</v>
      </c>
      <c r="C20" s="146">
        <v>0</v>
      </c>
      <c r="D20" s="432"/>
      <c r="E20" s="235"/>
      <c r="F20"/>
      <c r="G20" s="233">
        <v>0</v>
      </c>
    </row>
    <row r="21" spans="1:7" x14ac:dyDescent="0.3">
      <c r="A21" s="473" t="s">
        <v>344</v>
      </c>
      <c r="B21" s="448">
        <v>1</v>
      </c>
      <c r="C21" s="156">
        <v>0</v>
      </c>
      <c r="D21" s="432"/>
      <c r="E21" s="235"/>
      <c r="F21"/>
      <c r="G21" s="233">
        <v>200</v>
      </c>
    </row>
    <row r="22" spans="1:7" x14ac:dyDescent="0.3">
      <c r="A22" s="521" t="s">
        <v>81</v>
      </c>
      <c r="B22" s="448">
        <v>0.5</v>
      </c>
      <c r="C22" s="156">
        <v>4</v>
      </c>
      <c r="D22" s="449"/>
      <c r="E22" s="309"/>
      <c r="F22"/>
      <c r="G22" s="450">
        <v>0</v>
      </c>
    </row>
    <row r="23" spans="1:7" ht="16.2" thickBot="1" x14ac:dyDescent="0.35">
      <c r="A23" s="149" t="s">
        <v>400</v>
      </c>
      <c r="B23" s="150">
        <v>600</v>
      </c>
      <c r="C23" s="151">
        <f>B23/100</f>
        <v>6</v>
      </c>
      <c r="D23" s="157"/>
      <c r="E23" s="153"/>
      <c r="F23" s="118"/>
      <c r="G23" s="234">
        <f>B23</f>
        <v>600</v>
      </c>
    </row>
    <row r="24" spans="1:7" ht="22.8" thickTop="1" thickBot="1" x14ac:dyDescent="0.35">
      <c r="A24" s="573"/>
      <c r="B24" s="574" t="s">
        <v>442</v>
      </c>
      <c r="C24" s="574"/>
      <c r="D24" s="574"/>
      <c r="E24" s="575"/>
      <c r="F24" s="118"/>
      <c r="G24" s="118">
        <v>2000</v>
      </c>
    </row>
    <row r="25" spans="1:7" ht="16.8" thickTop="1" thickBot="1" x14ac:dyDescent="0.35">
      <c r="A25" s="139" t="s">
        <v>59</v>
      </c>
      <c r="B25" s="139" t="s">
        <v>3</v>
      </c>
      <c r="C25" s="140" t="s">
        <v>20</v>
      </c>
      <c r="D25" s="141" t="s">
        <v>60</v>
      </c>
      <c r="E25" s="142" t="s">
        <v>61</v>
      </c>
      <c r="F25" s="118"/>
      <c r="G25" s="143" t="s">
        <v>87</v>
      </c>
    </row>
    <row r="26" spans="1:7" x14ac:dyDescent="0.3">
      <c r="A26" s="144" t="s">
        <v>428</v>
      </c>
      <c r="B26" s="145">
        <v>1</v>
      </c>
      <c r="C26" s="146">
        <v>8</v>
      </c>
      <c r="D26" s="432" t="s">
        <v>429</v>
      </c>
      <c r="E26" s="235"/>
      <c r="F26"/>
      <c r="G26" s="233" t="s">
        <v>328</v>
      </c>
    </row>
    <row r="27" spans="1:7" x14ac:dyDescent="0.3">
      <c r="A27" s="144" t="s">
        <v>346</v>
      </c>
      <c r="B27" s="145">
        <v>1</v>
      </c>
      <c r="C27" s="146">
        <v>10</v>
      </c>
      <c r="D27" s="432" t="s">
        <v>347</v>
      </c>
      <c r="E27" s="235"/>
      <c r="F27"/>
      <c r="G27" s="233">
        <v>30000</v>
      </c>
    </row>
    <row r="28" spans="1:7" x14ac:dyDescent="0.3">
      <c r="A28" s="144" t="s">
        <v>392</v>
      </c>
      <c r="B28" s="145">
        <v>1</v>
      </c>
      <c r="C28" s="146">
        <v>100</v>
      </c>
      <c r="D28" s="432"/>
      <c r="E28" s="235"/>
      <c r="F28"/>
      <c r="G28" s="233">
        <v>0</v>
      </c>
    </row>
    <row r="29" spans="1:7" x14ac:dyDescent="0.3">
      <c r="A29" s="144" t="s">
        <v>316</v>
      </c>
      <c r="B29" s="145">
        <v>1</v>
      </c>
      <c r="C29" s="146">
        <v>5</v>
      </c>
      <c r="D29" s="432"/>
      <c r="E29" s="235"/>
      <c r="F29"/>
      <c r="G29" s="233">
        <v>0</v>
      </c>
    </row>
    <row r="30" spans="1:7" x14ac:dyDescent="0.3">
      <c r="A30" s="144" t="s">
        <v>317</v>
      </c>
      <c r="B30" s="145">
        <v>1</v>
      </c>
      <c r="C30" s="146">
        <v>8</v>
      </c>
      <c r="D30" s="432"/>
      <c r="E30" s="235"/>
      <c r="F30"/>
      <c r="G30" s="233">
        <v>0</v>
      </c>
    </row>
    <row r="31" spans="1:7" x14ac:dyDescent="0.3">
      <c r="A31" s="144" t="s">
        <v>320</v>
      </c>
      <c r="B31" s="145">
        <v>1</v>
      </c>
      <c r="C31" s="146">
        <v>5</v>
      </c>
      <c r="D31" s="432" t="s">
        <v>357</v>
      </c>
      <c r="E31" s="235"/>
      <c r="F31"/>
      <c r="G31" s="233">
        <v>0</v>
      </c>
    </row>
    <row r="32" spans="1:7" x14ac:dyDescent="0.3">
      <c r="A32" s="144" t="s">
        <v>358</v>
      </c>
      <c r="B32" s="145">
        <v>1</v>
      </c>
      <c r="C32" s="146">
        <v>2.5</v>
      </c>
      <c r="D32" s="432" t="s">
        <v>359</v>
      </c>
      <c r="E32" s="235"/>
      <c r="F32"/>
      <c r="G32" s="233">
        <v>0</v>
      </c>
    </row>
    <row r="33" spans="1:7" x14ac:dyDescent="0.3">
      <c r="A33" s="144" t="s">
        <v>360</v>
      </c>
      <c r="B33" s="145">
        <v>1</v>
      </c>
      <c r="C33" s="146">
        <v>2</v>
      </c>
      <c r="D33" s="432"/>
      <c r="E33" s="235"/>
      <c r="F33"/>
      <c r="G33" s="233">
        <v>800</v>
      </c>
    </row>
    <row r="34" spans="1:7" x14ac:dyDescent="0.3">
      <c r="A34" s="144" t="s">
        <v>361</v>
      </c>
      <c r="B34" s="145">
        <v>1</v>
      </c>
      <c r="C34" s="146">
        <v>2</v>
      </c>
      <c r="D34" s="432" t="s">
        <v>362</v>
      </c>
      <c r="E34" s="235"/>
      <c r="F34"/>
      <c r="G34" s="233">
        <v>300</v>
      </c>
    </row>
    <row r="35" spans="1:7" x14ac:dyDescent="0.3">
      <c r="A35" s="144" t="s">
        <v>363</v>
      </c>
      <c r="B35" s="145">
        <v>2</v>
      </c>
      <c r="C35" s="146">
        <f>B35/10</f>
        <v>0.2</v>
      </c>
      <c r="D35" s="432"/>
      <c r="E35" s="235"/>
      <c r="F35"/>
      <c r="G35" s="233">
        <v>0</v>
      </c>
    </row>
    <row r="36" spans="1:7" x14ac:dyDescent="0.3">
      <c r="A36" s="144" t="s">
        <v>364</v>
      </c>
      <c r="B36" s="145">
        <v>1</v>
      </c>
      <c r="C36" s="146">
        <v>0.5</v>
      </c>
      <c r="D36" s="432"/>
      <c r="E36" s="235"/>
      <c r="F36"/>
      <c r="G36" s="233" t="s">
        <v>328</v>
      </c>
    </row>
    <row r="37" spans="1:7" x14ac:dyDescent="0.3">
      <c r="A37" s="144" t="s">
        <v>318</v>
      </c>
      <c r="B37" s="145">
        <v>1</v>
      </c>
      <c r="C37" s="146">
        <v>4</v>
      </c>
      <c r="D37" s="432" t="s">
        <v>319</v>
      </c>
      <c r="E37" s="235"/>
      <c r="F37"/>
      <c r="G37" s="233">
        <v>0</v>
      </c>
    </row>
    <row r="38" spans="1:7" x14ac:dyDescent="0.3">
      <c r="A38" s="144" t="s">
        <v>443</v>
      </c>
      <c r="B38" s="145">
        <v>1</v>
      </c>
      <c r="C38" s="146">
        <v>0.5</v>
      </c>
      <c r="D38" s="432" t="s">
        <v>444</v>
      </c>
      <c r="E38" s="235"/>
      <c r="F38"/>
      <c r="G38" s="233">
        <v>0</v>
      </c>
    </row>
    <row r="39" spans="1:7" x14ac:dyDescent="0.3">
      <c r="A39" s="144" t="s">
        <v>210</v>
      </c>
      <c r="B39" s="145">
        <v>1</v>
      </c>
      <c r="C39" s="146">
        <v>5</v>
      </c>
      <c r="D39" s="432"/>
      <c r="E39" s="235"/>
      <c r="F39"/>
      <c r="G39" s="233">
        <v>0</v>
      </c>
    </row>
    <row r="40" spans="1:7" x14ac:dyDescent="0.3">
      <c r="A40" s="144" t="s">
        <v>76</v>
      </c>
      <c r="B40" s="145">
        <v>40</v>
      </c>
      <c r="C40" s="146">
        <f>B40</f>
        <v>40</v>
      </c>
      <c r="D40" s="432"/>
      <c r="E40" s="235"/>
      <c r="F40"/>
      <c r="G40" s="233">
        <v>0</v>
      </c>
    </row>
    <row r="41" spans="1:7" x14ac:dyDescent="0.3">
      <c r="A41" s="144" t="s">
        <v>75</v>
      </c>
      <c r="B41" s="145">
        <v>1</v>
      </c>
      <c r="C41" s="146">
        <v>5</v>
      </c>
      <c r="D41" s="432"/>
      <c r="E41" s="235"/>
      <c r="F41"/>
      <c r="G41" s="233">
        <v>0</v>
      </c>
    </row>
    <row r="42" spans="1:7" x14ac:dyDescent="0.3">
      <c r="A42" s="447" t="s">
        <v>209</v>
      </c>
      <c r="B42" s="448">
        <v>1</v>
      </c>
      <c r="C42" s="156">
        <v>0</v>
      </c>
      <c r="D42" s="449"/>
      <c r="E42" s="309"/>
      <c r="F42"/>
      <c r="G42" s="450">
        <v>0</v>
      </c>
    </row>
    <row r="43" spans="1:7" x14ac:dyDescent="0.3">
      <c r="A43" s="447" t="s">
        <v>393</v>
      </c>
      <c r="B43" s="448" t="s">
        <v>394</v>
      </c>
      <c r="C43" s="156">
        <v>2</v>
      </c>
      <c r="D43" s="449"/>
      <c r="E43" s="309"/>
      <c r="F43"/>
      <c r="G43" s="450" t="s">
        <v>328</v>
      </c>
    </row>
    <row r="44" spans="1:7" ht="16.2" thickBot="1" x14ac:dyDescent="0.35">
      <c r="A44" s="149" t="s">
        <v>400</v>
      </c>
      <c r="B44" s="474">
        <v>0</v>
      </c>
      <c r="C44" s="522">
        <f>B44/100</f>
        <v>0</v>
      </c>
      <c r="D44" s="157"/>
      <c r="E44" s="523"/>
      <c r="F44" s="118"/>
      <c r="G44" s="234">
        <f>B44</f>
        <v>0</v>
      </c>
    </row>
    <row r="45" spans="1:7" ht="23.4" thickTop="1" x14ac:dyDescent="0.3">
      <c r="A45" s="49" t="s">
        <v>304</v>
      </c>
      <c r="B45" s="576">
        <f>C45/500</f>
        <v>0.39939999999999998</v>
      </c>
      <c r="C45" s="577">
        <f>SUM(C26:C44)</f>
        <v>199.7</v>
      </c>
      <c r="D45" s="159"/>
      <c r="E45" s="155"/>
    </row>
    <row r="46" spans="1:7" x14ac:dyDescent="0.3">
      <c r="B46" s="160"/>
      <c r="E46" s="49" t="s">
        <v>391</v>
      </c>
      <c r="F46" s="221"/>
      <c r="G46" s="220">
        <f>SUM(G3:G44)</f>
        <v>421550</v>
      </c>
    </row>
    <row r="47" spans="1:7" x14ac:dyDescent="0.3">
      <c r="B47" s="160"/>
      <c r="E47" s="49" t="s">
        <v>159</v>
      </c>
      <c r="F47" s="118"/>
      <c r="G47" s="220">
        <f>SUM(Martial!N3:N59,Equipment!G3:G45)</f>
        <v>671150</v>
      </c>
    </row>
    <row r="48" spans="1:7" x14ac:dyDescent="0.3">
      <c r="B48" s="160"/>
      <c r="E48" s="49" t="s">
        <v>390</v>
      </c>
      <c r="F48" s="118"/>
      <c r="G48" s="220">
        <v>580000</v>
      </c>
    </row>
    <row r="49" spans="1:7" x14ac:dyDescent="0.3">
      <c r="B49" s="160"/>
      <c r="G49" s="543"/>
    </row>
    <row r="50" spans="1:7" x14ac:dyDescent="0.3">
      <c r="A50" s="12"/>
      <c r="B50" s="160"/>
      <c r="C50" s="12"/>
      <c r="F50" s="12"/>
    </row>
    <row r="51" spans="1:7" x14ac:dyDescent="0.3">
      <c r="A51" s="12"/>
      <c r="B51" s="160"/>
      <c r="C51" s="12"/>
      <c r="F51" s="12"/>
    </row>
    <row r="52" spans="1:7" x14ac:dyDescent="0.3">
      <c r="A52" s="12"/>
      <c r="B52" s="160"/>
      <c r="C52" s="12"/>
      <c r="F52" s="12"/>
    </row>
    <row r="53" spans="1:7" x14ac:dyDescent="0.3">
      <c r="A53" s="12"/>
      <c r="B53" s="160"/>
      <c r="C53" s="12"/>
      <c r="F53" s="12"/>
    </row>
  </sheetData>
  <sortState xmlns:xlrd2="http://schemas.microsoft.com/office/spreadsheetml/2017/richdata2" ref="A3:D8">
    <sortCondition ref="A3:A8"/>
  </sortState>
  <phoneticPr fontId="0" type="noConversion"/>
  <conditionalFormatting sqref="G47">
    <cfRule type="cellIs" dxfId="3" priority="11" operator="lessThan">
      <formula>0</formula>
    </cfRule>
  </conditionalFormatting>
  <conditionalFormatting sqref="G46">
    <cfRule type="cellIs" dxfId="2" priority="4" operator="lessThan">
      <formula>0</formula>
    </cfRule>
  </conditionalFormatting>
  <conditionalFormatting sqref="G48">
    <cfRule type="cellIs" dxfId="1" priority="2" operator="lessThan">
      <formula>0</formula>
    </cfRule>
  </conditionalFormatting>
  <conditionalFormatting sqref="B45">
    <cfRule type="cellIs" dxfId="0" priority="1" operator="greaterThan">
      <formula>0.99</formula>
    </cfRule>
  </conditionalFormatting>
  <printOptions gridLinesSet="0"/>
  <pageMargins left="0.62" right="0.33" top="0.5" bottom="0.63" header="0.5" footer="0.5"/>
  <pageSetup orientation="portrait" horizontalDpi="120" verticalDpi="144"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24"/>
  <sheetViews>
    <sheetView showGridLines="0" workbookViewId="0"/>
  </sheetViews>
  <sheetFormatPr defaultColWidth="9" defaultRowHeight="15.6" x14ac:dyDescent="0.3"/>
  <cols>
    <col min="1" max="1" width="62.796875" style="17" bestFit="1" customWidth="1"/>
    <col min="2" max="2" width="12.296875" style="249" bestFit="1" customWidth="1"/>
    <col min="3" max="3" width="6.3984375" style="17" customWidth="1"/>
    <col min="4" max="8" width="9" style="17"/>
    <col min="9" max="9" width="29.19921875" style="17" customWidth="1"/>
    <col min="10" max="16384" width="9" style="17"/>
  </cols>
  <sheetData>
    <row r="1" spans="1:10" x14ac:dyDescent="0.3">
      <c r="A1" s="49" t="s">
        <v>404</v>
      </c>
      <c r="B1" s="116" t="s">
        <v>403</v>
      </c>
      <c r="C1" s="254" t="s">
        <v>190</v>
      </c>
    </row>
    <row r="2" spans="1:10" x14ac:dyDescent="0.3">
      <c r="A2" s="256" t="s">
        <v>345</v>
      </c>
      <c r="B2" s="118" t="s">
        <v>189</v>
      </c>
      <c r="C2" s="255">
        <v>0.2</v>
      </c>
      <c r="I2" s="17" t="s">
        <v>405</v>
      </c>
      <c r="J2" s="17">
        <v>8000</v>
      </c>
    </row>
    <row r="3" spans="1:10" x14ac:dyDescent="0.3">
      <c r="A3" s="256" t="s">
        <v>322</v>
      </c>
      <c r="B3" s="118" t="s">
        <v>189</v>
      </c>
      <c r="C3" s="255">
        <v>0.2</v>
      </c>
      <c r="I3" s="17" t="s">
        <v>406</v>
      </c>
      <c r="J3" s="17">
        <v>19000</v>
      </c>
    </row>
    <row r="4" spans="1:10" x14ac:dyDescent="0.3">
      <c r="A4" s="256" t="s">
        <v>323</v>
      </c>
      <c r="B4" s="118" t="s">
        <v>189</v>
      </c>
      <c r="C4" s="255">
        <v>0.2</v>
      </c>
      <c r="I4" s="17" t="s">
        <v>407</v>
      </c>
      <c r="J4" s="17">
        <v>19500</v>
      </c>
    </row>
    <row r="5" spans="1:10" x14ac:dyDescent="0.3">
      <c r="A5" s="256" t="s">
        <v>324</v>
      </c>
      <c r="B5" s="118" t="s">
        <v>189</v>
      </c>
      <c r="C5" s="255">
        <v>0.2</v>
      </c>
      <c r="I5" s="17" t="s">
        <v>51</v>
      </c>
      <c r="J5" s="17">
        <v>46500</v>
      </c>
    </row>
    <row r="6" spans="1:10" x14ac:dyDescent="0.3">
      <c r="A6" s="256" t="s">
        <v>325</v>
      </c>
      <c r="B6" s="118" t="s">
        <v>189</v>
      </c>
      <c r="C6" s="255">
        <v>0.2</v>
      </c>
      <c r="I6" s="17" t="s">
        <v>408</v>
      </c>
    </row>
    <row r="7" spans="1:10" x14ac:dyDescent="0.3">
      <c r="A7" s="49" t="s">
        <v>51</v>
      </c>
      <c r="B7" s="116"/>
      <c r="C7" s="254">
        <f>SUM(C2:C6)</f>
        <v>1</v>
      </c>
      <c r="I7" s="17" t="s">
        <v>409</v>
      </c>
    </row>
    <row r="8" spans="1:10" x14ac:dyDescent="0.3">
      <c r="A8" s="49"/>
      <c r="B8" s="116"/>
      <c r="C8" s="254"/>
      <c r="I8" s="17" t="s">
        <v>408</v>
      </c>
    </row>
    <row r="9" spans="1:10" x14ac:dyDescent="0.3">
      <c r="A9" s="49" t="s">
        <v>188</v>
      </c>
      <c r="B9" s="252">
        <v>0</v>
      </c>
      <c r="C9" s="250"/>
    </row>
    <row r="10" spans="1:10" x14ac:dyDescent="0.3">
      <c r="A10" s="49" t="s">
        <v>187</v>
      </c>
      <c r="B10" s="252">
        <v>20000</v>
      </c>
      <c r="C10" s="250"/>
    </row>
    <row r="11" spans="1:10" x14ac:dyDescent="0.3">
      <c r="A11" s="49" t="s">
        <v>186</v>
      </c>
      <c r="B11" s="252">
        <f>IF(B9=0,B10*C7,(B10*C7*(1-(B9/4))))</f>
        <v>20000</v>
      </c>
      <c r="C11" s="250"/>
    </row>
    <row r="12" spans="1:10" x14ac:dyDescent="0.3">
      <c r="A12" s="49" t="s">
        <v>185</v>
      </c>
      <c r="B12" s="462">
        <v>0</v>
      </c>
      <c r="C12" s="253"/>
    </row>
    <row r="13" spans="1:10" x14ac:dyDescent="0.3">
      <c r="A13" s="49" t="s">
        <v>51</v>
      </c>
      <c r="B13" s="251">
        <f>SUM(B11:B12)</f>
        <v>20000</v>
      </c>
      <c r="C13" s="250"/>
    </row>
    <row r="14" spans="1:10" x14ac:dyDescent="0.3">
      <c r="A14" s="49" t="s">
        <v>184</v>
      </c>
      <c r="B14" s="252">
        <v>176000</v>
      </c>
      <c r="C14" s="250"/>
    </row>
    <row r="15" spans="1:10" x14ac:dyDescent="0.3">
      <c r="A15" s="49" t="s">
        <v>183</v>
      </c>
      <c r="B15" s="251">
        <f>SUM(B13:B14)</f>
        <v>196000</v>
      </c>
      <c r="C15" s="250"/>
    </row>
    <row r="16" spans="1:10" x14ac:dyDescent="0.3">
      <c r="A16" s="250"/>
      <c r="B16" s="250"/>
      <c r="C16" s="250"/>
    </row>
    <row r="17" spans="1:3" x14ac:dyDescent="0.3">
      <c r="A17" s="250"/>
      <c r="B17" s="250"/>
      <c r="C17" s="253"/>
    </row>
    <row r="18" spans="1:3" x14ac:dyDescent="0.3">
      <c r="A18" s="250"/>
      <c r="B18" s="250"/>
      <c r="C18" s="250"/>
    </row>
    <row r="19" spans="1:3" x14ac:dyDescent="0.3">
      <c r="A19" s="250"/>
      <c r="B19" s="250"/>
      <c r="C19" s="250"/>
    </row>
    <row r="20" spans="1:3" x14ac:dyDescent="0.3">
      <c r="A20" s="250"/>
      <c r="B20" s="250"/>
      <c r="C20" s="250"/>
    </row>
    <row r="21" spans="1:3" x14ac:dyDescent="0.3">
      <c r="A21" s="250"/>
      <c r="B21" s="250"/>
    </row>
    <row r="22" spans="1:3" x14ac:dyDescent="0.3">
      <c r="A22" s="250"/>
      <c r="B22" s="250"/>
    </row>
    <row r="24" spans="1:3" x14ac:dyDescent="0.3">
      <c r="A24" s="221"/>
    </row>
  </sheetData>
  <pageMargins left="0.75" right="0.75" top="1" bottom="1" header="0.5" footer="0.5"/>
  <pageSetup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Personal File</vt:lpstr>
      <vt:lpstr>Skills</vt:lpstr>
      <vt:lpstr>Spells</vt:lpstr>
      <vt:lpstr>Feats</vt:lpstr>
      <vt:lpstr>Martial</vt:lpstr>
      <vt:lpstr>Equipment</vt:lpstr>
      <vt:lpstr>XP Awards</vt:lpstr>
      <vt:lpstr>'Personal File'!Print_Area</vt:lpstr>
      <vt:lpstr>Skills!Print_Area</vt:lpstr>
      <vt:lpstr>Spells!Print_Area</vt:lpstr>
    </vt:vector>
  </TitlesOfParts>
  <LinksUpToDate>false</LinksUpToDate>
  <SharedDoc>false</SharedDoc>
  <HyperlinkBase>http://www.alexisalvarez.org/RPG/sof/</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Dungeons of Waterdeep PC file</dc:title>
  <dc:creator>© Alexis A. Álvarez 2007</dc:creator>
  <cp:lastModifiedBy>Alexis Álvarez</cp:lastModifiedBy>
  <cp:lastPrinted>2019-08-04T14:16:00Z</cp:lastPrinted>
  <dcterms:created xsi:type="dcterms:W3CDTF">2000-10-24T15:39:59Z</dcterms:created>
  <dcterms:modified xsi:type="dcterms:W3CDTF">2023-02-10T12:18:07Z</dcterms:modified>
</cp:coreProperties>
</file>