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A\Juegos\Oghma\Characters\"/>
    </mc:Choice>
  </mc:AlternateContent>
  <xr:revisionPtr revIDLastSave="0" documentId="13_ncr:1_{EC919502-31F6-4051-9E85-DD0260A01EBC}"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20" r:id="rId4"/>
    <sheet name="Martial" sheetId="6" r:id="rId5"/>
    <sheet name="Equipment" sheetId="19" r:id="rId6"/>
  </sheets>
  <externalReferences>
    <externalReference r:id="rId7"/>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File'!$A$1:$H$36</definedName>
    <definedName name="_xlnm.Print_Area" localSheetId="1">Skills!$A$1:$K$30</definedName>
    <definedName name="_xlnm.Print_Area" localSheetId="2">Spells!$A$1:$I$3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15" l="1"/>
  <c r="B8" i="4" l="1"/>
  <c r="F7" i="20" l="1"/>
  <c r="G7" i="20"/>
  <c r="H7" i="20"/>
  <c r="I7" i="20"/>
  <c r="A8" i="20"/>
  <c r="B4" i="15"/>
  <c r="F11" i="20" l="1"/>
  <c r="B3" i="15" l="1"/>
  <c r="B5" i="15"/>
  <c r="B25" i="15"/>
  <c r="B48" i="15" s="1"/>
  <c r="F13" i="15" l="1"/>
  <c r="F22" i="15"/>
  <c r="H27" i="15" l="1"/>
  <c r="H25" i="15"/>
  <c r="H26" i="15"/>
  <c r="H40" i="15"/>
  <c r="H39" i="15"/>
  <c r="D5" i="6" l="1"/>
  <c r="M18" i="6" l="1"/>
  <c r="G17" i="6"/>
  <c r="G18" i="6"/>
  <c r="G9" i="6" l="1"/>
  <c r="M24" i="6" l="1"/>
  <c r="M23" i="6"/>
  <c r="G19" i="6" l="1"/>
  <c r="M19" i="6"/>
  <c r="M17" i="6"/>
  <c r="G20" i="19" l="1"/>
  <c r="C20" i="19"/>
  <c r="G17" i="19" l="1"/>
  <c r="C17" i="19"/>
  <c r="C19" i="19"/>
  <c r="M9" i="6"/>
  <c r="I9" i="6"/>
  <c r="F46" i="15" l="1"/>
  <c r="F41" i="15"/>
  <c r="H45" i="15"/>
  <c r="H16" i="15" l="1"/>
  <c r="I4" i="6" l="1"/>
  <c r="B15" i="4" l="1"/>
  <c r="M22" i="6" l="1"/>
  <c r="M25" i="6"/>
  <c r="C36" i="19" l="1"/>
  <c r="B36" i="19" s="1"/>
  <c r="H38" i="15" l="1"/>
  <c r="I10" i="6" l="1"/>
  <c r="H32" i="15" l="1"/>
  <c r="H33" i="15"/>
  <c r="H29" i="15"/>
  <c r="H24" i="15"/>
  <c r="H23" i="15"/>
  <c r="H22" i="15"/>
  <c r="H21" i="15"/>
  <c r="H20" i="15"/>
  <c r="H46" i="15" l="1"/>
  <c r="H44" i="15"/>
  <c r="H43" i="15"/>
  <c r="H42" i="15"/>
  <c r="H41" i="15"/>
  <c r="H37" i="15"/>
  <c r="H36" i="15"/>
  <c r="H35" i="15"/>
  <c r="H34" i="15"/>
  <c r="H31" i="15"/>
  <c r="H30" i="15"/>
  <c r="H28" i="15"/>
  <c r="H19" i="15"/>
  <c r="H18" i="15"/>
  <c r="H17" i="15"/>
  <c r="H15" i="15"/>
  <c r="H14" i="15"/>
  <c r="H13" i="15"/>
  <c r="H12" i="15"/>
  <c r="H11" i="15"/>
  <c r="H10" i="15"/>
  <c r="H9" i="15"/>
  <c r="H8" i="15"/>
  <c r="H7" i="15"/>
  <c r="B14" i="4" l="1"/>
  <c r="B13" i="4"/>
  <c r="B12" i="4"/>
  <c r="B11" i="4"/>
  <c r="B10" i="4"/>
  <c r="H3" i="15" l="1"/>
  <c r="H4" i="15"/>
  <c r="H5" i="15"/>
  <c r="M26" i="6" l="1"/>
  <c r="F13" i="6" l="1"/>
  <c r="I8" i="6" l="1"/>
  <c r="G38" i="19" l="1"/>
  <c r="I3" i="6" l="1"/>
  <c r="C14" i="4" l="1"/>
  <c r="D5" i="15" s="1"/>
  <c r="C15" i="4"/>
  <c r="I8" i="20" s="1"/>
  <c r="D32" i="15" l="1"/>
  <c r="D33" i="15"/>
  <c r="E5" i="15"/>
  <c r="G5" i="15"/>
  <c r="I5" i="15" s="1"/>
  <c r="E33" i="15" l="1"/>
  <c r="G33" i="15"/>
  <c r="I33" i="15" s="1"/>
  <c r="G32" i="15"/>
  <c r="I32" i="15" s="1"/>
  <c r="E32" i="15"/>
  <c r="G45" i="19"/>
  <c r="F8" i="20" l="1"/>
  <c r="G8" i="20"/>
  <c r="H8" i="20"/>
  <c r="F7" i="15" l="1"/>
  <c r="F9" i="15"/>
  <c r="F16" i="15"/>
  <c r="F21" i="15"/>
  <c r="F23" i="15"/>
  <c r="F29" i="15"/>
  <c r="F45" i="15"/>
  <c r="E11" i="4" l="1"/>
  <c r="C13" i="4" l="1"/>
  <c r="C12" i="4"/>
  <c r="C11" i="4"/>
  <c r="E13" i="4" s="1"/>
  <c r="C10" i="4"/>
  <c r="E55" i="15" l="1"/>
  <c r="E54" i="15"/>
  <c r="D26" i="15"/>
  <c r="D27" i="15"/>
  <c r="D25" i="15"/>
  <c r="D3" i="15"/>
  <c r="G3" i="15" s="1"/>
  <c r="I3" i="15" s="1"/>
  <c r="E12" i="4"/>
  <c r="H9" i="6"/>
  <c r="J9" i="6" s="1"/>
  <c r="H8" i="6"/>
  <c r="H4" i="6"/>
  <c r="J4" i="6" s="1"/>
  <c r="C4" i="6"/>
  <c r="A7" i="20"/>
  <c r="D40" i="15"/>
  <c r="C3" i="6"/>
  <c r="C5" i="6"/>
  <c r="H5" i="6"/>
  <c r="H3" i="6"/>
  <c r="B9" i="4"/>
  <c r="H10" i="6"/>
  <c r="J10" i="6" s="1"/>
  <c r="D4" i="15"/>
  <c r="E15" i="4"/>
  <c r="E14" i="4" s="1"/>
  <c r="E51" i="15"/>
  <c r="E49" i="15"/>
  <c r="E52" i="15"/>
  <c r="E53" i="15"/>
  <c r="E50" i="15"/>
  <c r="H47" i="15"/>
  <c r="H6" i="15"/>
  <c r="E3" i="15" l="1"/>
  <c r="G25" i="15"/>
  <c r="I25" i="15" s="1"/>
  <c r="E25" i="15"/>
  <c r="G27" i="15"/>
  <c r="I27" i="15" s="1"/>
  <c r="E27" i="15"/>
  <c r="G26" i="15"/>
  <c r="I26" i="15" s="1"/>
  <c r="E26" i="15"/>
  <c r="E48" i="15"/>
  <c r="G40" i="15"/>
  <c r="I40" i="15" s="1"/>
  <c r="E40" i="15"/>
  <c r="E4" i="15"/>
  <c r="G4" i="15"/>
  <c r="I4" i="15" s="1"/>
  <c r="J8" i="6"/>
  <c r="J3" i="6"/>
  <c r="D24" i="15" l="1"/>
  <c r="E24" i="15" l="1"/>
  <c r="G24" i="15"/>
  <c r="I24" i="15" l="1"/>
  <c r="D34" i="15"/>
  <c r="E34" i="15" l="1"/>
  <c r="G34" i="15"/>
  <c r="D41" i="15"/>
  <c r="D19" i="15"/>
  <c r="D43" i="15"/>
  <c r="D39" i="15"/>
  <c r="D45" i="15"/>
  <c r="D42" i="15"/>
  <c r="D44" i="15"/>
  <c r="D36" i="15"/>
  <c r="D46" i="15"/>
  <c r="D30" i="15"/>
  <c r="D38" i="15"/>
  <c r="D14" i="15"/>
  <c r="D12" i="15"/>
  <c r="D47" i="15"/>
  <c r="D37" i="15"/>
  <c r="D35" i="15"/>
  <c r="D31" i="15"/>
  <c r="D29" i="15"/>
  <c r="D28" i="15"/>
  <c r="D23" i="15"/>
  <c r="D22" i="15"/>
  <c r="D21" i="15"/>
  <c r="D20" i="15"/>
  <c r="D18" i="15"/>
  <c r="D17" i="15"/>
  <c r="D16" i="15"/>
  <c r="D15" i="15"/>
  <c r="D13" i="15"/>
  <c r="D11" i="15"/>
  <c r="D10" i="15"/>
  <c r="D9" i="15"/>
  <c r="D8" i="15"/>
  <c r="D7" i="15"/>
  <c r="D6" i="15"/>
  <c r="E7" i="15" l="1"/>
  <c r="G7" i="15"/>
  <c r="E11" i="15"/>
  <c r="G11" i="15"/>
  <c r="I11" i="15" s="1"/>
  <c r="E17" i="15"/>
  <c r="G17" i="15"/>
  <c r="E22" i="15"/>
  <c r="G22" i="15"/>
  <c r="E28" i="15"/>
  <c r="G28" i="15"/>
  <c r="E31" i="15"/>
  <c r="I34" i="15" s="1"/>
  <c r="G31" i="15"/>
  <c r="E37" i="15"/>
  <c r="G37" i="15"/>
  <c r="I37" i="15" s="1"/>
  <c r="E12" i="15"/>
  <c r="G12" i="15"/>
  <c r="E38" i="15"/>
  <c r="G38" i="15"/>
  <c r="E46" i="15"/>
  <c r="G46" i="15"/>
  <c r="E44" i="15"/>
  <c r="G44" i="15"/>
  <c r="I44" i="15" s="1"/>
  <c r="E45" i="15"/>
  <c r="G45" i="15"/>
  <c r="E39" i="15"/>
  <c r="G39"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9" i="15"/>
  <c r="G29" i="15"/>
  <c r="I29" i="15" s="1"/>
  <c r="E35" i="15"/>
  <c r="G35" i="15"/>
  <c r="E47" i="15"/>
  <c r="G47" i="15"/>
  <c r="E14" i="15"/>
  <c r="G14" i="15"/>
  <c r="E30" i="15"/>
  <c r="G30" i="15"/>
  <c r="I30" i="15" s="1"/>
  <c r="E36" i="15"/>
  <c r="G36" i="15"/>
  <c r="E42" i="15"/>
  <c r="G42" i="15"/>
  <c r="E43" i="15"/>
  <c r="G43" i="15"/>
  <c r="E41" i="15"/>
  <c r="G41" i="15"/>
  <c r="I31" i="15" l="1"/>
  <c r="I41" i="15"/>
  <c r="I42" i="15"/>
  <c r="I47" i="15"/>
  <c r="I21" i="15"/>
  <c r="I16" i="15"/>
  <c r="I10" i="15"/>
  <c r="I15" i="15"/>
  <c r="I19" i="15"/>
  <c r="I46" i="15"/>
  <c r="I22" i="15"/>
  <c r="I43" i="15"/>
  <c r="I36" i="15"/>
  <c r="I35" i="15"/>
  <c r="I23" i="15"/>
  <c r="I18" i="15"/>
  <c r="I8" i="15"/>
  <c r="I20" i="15"/>
  <c r="I9" i="15"/>
  <c r="I45" i="15"/>
  <c r="I28" i="15"/>
  <c r="I17" i="15"/>
  <c r="I7" i="15"/>
  <c r="I14" i="15"/>
  <c r="I39" i="15"/>
  <c r="I38"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1AA10AB7-6E07-4390-BE93-A195CC09232C}">
      <text>
        <r>
          <rPr>
            <i/>
            <sz val="12"/>
            <color indexed="81"/>
            <rFont val="Times New Roman"/>
            <family val="1"/>
          </rPr>
          <t>aid +1     bless +1
haste +1
inspire courage +2</t>
        </r>
      </text>
    </comment>
    <comment ref="E10" authorId="0" shapeId="0" xr:uid="{62E8A891-3CF2-4142-BF1C-9F4FC116AEAB}">
      <text>
        <r>
          <rPr>
            <sz val="12"/>
            <color indexed="81"/>
            <rFont val="Times New Roman"/>
            <family val="1"/>
          </rPr>
          <t>See PHB 162</t>
        </r>
      </text>
    </comment>
    <comment ref="B11" authorId="0" shapeId="0" xr:uid="{00000000-0006-0000-0000-000004000000}">
      <text>
        <r>
          <rPr>
            <i/>
            <sz val="12"/>
            <color indexed="81"/>
            <rFont val="Times New Roman"/>
            <family val="1"/>
          </rPr>
          <t>cat’s grace +4</t>
        </r>
      </text>
    </comment>
    <comment ref="E12" authorId="0" shapeId="0" xr:uid="{00000000-0006-0000-0000-000005000000}">
      <text>
        <r>
          <rPr>
            <sz val="12"/>
            <color indexed="81"/>
            <rFont val="Times New Roman"/>
            <family val="1"/>
          </rPr>
          <t>[(6 * 8 Bard) * 75%]
+ [(1 * 6 Thaumaturge ) * 75%] 
+ (7 * 1 Con)</t>
        </r>
      </text>
    </comment>
    <comment ref="E13" authorId="0" shapeId="0" xr:uid="{4A909317-B8FA-4A38-8401-C509357BE64C}">
      <text>
        <r>
          <rPr>
            <i/>
            <sz val="12"/>
            <color indexed="81"/>
            <rFont val="Times New Roman"/>
            <family val="1"/>
          </rPr>
          <t>haste +1</t>
        </r>
      </text>
    </comment>
    <comment ref="B15" authorId="0" shapeId="0" xr:uid="{00000000-0006-0000-0000-000007000000}">
      <text>
        <r>
          <rPr>
            <i/>
            <sz val="12"/>
            <color indexed="81"/>
            <rFont val="Times New Roman"/>
            <family val="1"/>
          </rPr>
          <t>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93CF76DF-DC04-4A7A-8A3E-0E6B182446DA}">
      <text>
        <r>
          <rPr>
            <sz val="12"/>
            <color indexed="81"/>
            <rFont val="Times New Roman"/>
            <family val="1"/>
          </rPr>
          <t>Conviction +1</t>
        </r>
      </text>
    </comment>
    <comment ref="F4" authorId="0" shapeId="0" xr:uid="{A15D8CAF-D5D6-4638-AF8D-2B122C19F251}">
      <text>
        <r>
          <rPr>
            <sz val="12"/>
            <color indexed="81"/>
            <rFont val="Times New Roman"/>
            <family val="1"/>
          </rPr>
          <t>Conviction +1</t>
        </r>
      </text>
    </comment>
    <comment ref="F5" authorId="0" shapeId="0" xr:uid="{E15A02CF-A28F-429E-99BF-D8653F1D64A8}">
      <text>
        <r>
          <rPr>
            <sz val="12"/>
            <color indexed="81"/>
            <rFont val="Times New Roman"/>
            <family val="1"/>
          </rPr>
          <t>Iron Will +2
Conviction +1</t>
        </r>
      </text>
    </comment>
    <comment ref="F7" authorId="0" shapeId="0" xr:uid="{00000000-0006-0000-0100-000004000000}">
      <text>
        <r>
          <rPr>
            <sz val="12"/>
            <color indexed="81"/>
            <rFont val="Times New Roman"/>
            <family val="1"/>
          </rPr>
          <t>No armor penalties</t>
        </r>
      </text>
    </comment>
    <comment ref="F8" authorId="0" shapeId="0" xr:uid="{011E8A2C-85F4-4FA7-AC48-15DFE85A5202}">
      <text>
        <r>
          <rPr>
            <sz val="12"/>
            <color indexed="81"/>
            <rFont val="Times New Roman"/>
            <family val="1"/>
          </rPr>
          <t>Amulet of Wordtwisting +2</t>
        </r>
      </text>
    </comment>
    <comment ref="F9" authorId="0" shapeId="0" xr:uid="{00000000-0006-0000-0100-000006000000}">
      <text>
        <r>
          <rPr>
            <sz val="12"/>
            <color indexed="81"/>
            <rFont val="Times New Roman"/>
            <family val="1"/>
          </rPr>
          <t>No armor penalties</t>
        </r>
      </text>
    </comment>
    <comment ref="F13" authorId="0" shapeId="0" xr:uid="{48B86FC7-8364-41A5-AA97-AC7CD6AC4E9E}">
      <text>
        <r>
          <rPr>
            <sz val="12"/>
            <color indexed="81"/>
            <rFont val="Times New Roman"/>
            <family val="1"/>
          </rPr>
          <t>Half-elf +2
Amulet of Wordtwisting +2</t>
        </r>
      </text>
    </comment>
    <comment ref="F15" authorId="0" shapeId="0" xr:uid="{00000000-0006-0000-0100-000008000000}">
      <text>
        <r>
          <rPr>
            <sz val="12"/>
            <color indexed="81"/>
            <rFont val="Times New Roman"/>
            <family val="1"/>
          </rPr>
          <t>Bluff synergy +2</t>
        </r>
      </text>
    </comment>
    <comment ref="F16" authorId="0" shapeId="0" xr:uid="{00000000-0006-0000-0100-000009000000}">
      <text>
        <r>
          <rPr>
            <sz val="12"/>
            <color indexed="81"/>
            <rFont val="Times New Roman"/>
            <family val="1"/>
          </rPr>
          <t>No armor penalties</t>
        </r>
      </text>
    </comment>
    <comment ref="F18" authorId="0" shapeId="0" xr:uid="{74CF5046-FB95-4278-A4EB-B22A7025D366}">
      <text>
        <r>
          <rPr>
            <sz val="12"/>
            <color indexed="81"/>
            <rFont val="Times New Roman"/>
            <family val="1"/>
          </rPr>
          <t>Half-elf +2</t>
        </r>
      </text>
    </comment>
    <comment ref="F21" authorId="0" shapeId="0" xr:uid="{00000000-0006-0000-0100-00000C000000}">
      <text>
        <r>
          <rPr>
            <sz val="12"/>
            <color indexed="81"/>
            <rFont val="Times New Roman"/>
            <family val="1"/>
          </rPr>
          <t>No armor penalties</t>
        </r>
      </text>
    </comment>
    <comment ref="F22" authorId="0" shapeId="0" xr:uid="{28B6663B-2043-467E-A34E-B9BEE696CA25}">
      <text>
        <r>
          <rPr>
            <sz val="12"/>
            <color indexed="81"/>
            <rFont val="Times New Roman"/>
            <family val="1"/>
          </rPr>
          <t>Bluff synergy +2
Amulet of Wordtwisting +2</t>
        </r>
      </text>
    </comment>
    <comment ref="F23" authorId="0" shapeId="0" xr:uid="{00000000-0006-0000-0100-00000E000000}">
      <text>
        <r>
          <rPr>
            <sz val="12"/>
            <color indexed="81"/>
            <rFont val="Times New Roman"/>
            <family val="1"/>
          </rPr>
          <t>No armor penalties</t>
        </r>
      </text>
    </comment>
    <comment ref="F28" authorId="0" shapeId="0" xr:uid="{8977E83D-EFC4-4168-96E9-6352961B19E7}">
      <text>
        <r>
          <rPr>
            <sz val="12"/>
            <color indexed="81"/>
            <rFont val="Times New Roman"/>
            <family val="1"/>
          </rPr>
          <t>Half-elf +1</t>
        </r>
      </text>
    </comment>
    <comment ref="F29" authorId="0" shapeId="0" xr:uid="{00000000-0006-0000-0100-00000F000000}">
      <text>
        <r>
          <rPr>
            <sz val="12"/>
            <color indexed="81"/>
            <rFont val="Times New Roman"/>
            <family val="1"/>
          </rPr>
          <t>No armor penalties</t>
        </r>
      </text>
    </comment>
    <comment ref="F36" authorId="0" shapeId="0" xr:uid="{41CDA9E1-BE6A-49F0-B9DD-41118EDAA464}">
      <text>
        <r>
          <rPr>
            <sz val="12"/>
            <color indexed="81"/>
            <rFont val="Times New Roman"/>
            <family val="1"/>
          </rPr>
          <t>Half-elf +1</t>
        </r>
      </text>
    </comment>
    <comment ref="F37" authorId="0" shapeId="0" xr:uid="{003F5525-F1EF-4BDD-B8F9-2577D6E56CBA}">
      <text>
        <r>
          <rPr>
            <sz val="12"/>
            <color indexed="81"/>
            <rFont val="Times New Roman"/>
            <family val="1"/>
          </rPr>
          <t>Amulet of Wordtwisting +2</t>
        </r>
      </text>
    </comment>
    <comment ref="F38" authorId="0" shapeId="0" xr:uid="{170F37B3-09ED-4279-83B9-97ACC14BD8F7}">
      <text>
        <r>
          <rPr>
            <sz val="12"/>
            <color indexed="81"/>
            <rFont val="Times New Roman"/>
            <family val="1"/>
          </rPr>
          <t>Bluff synergy +2</t>
        </r>
      </text>
    </comment>
    <comment ref="F41" authorId="0" shapeId="0" xr:uid="{BC3B1C79-A85A-4B37-89F0-2ED10D43CE1F}">
      <text>
        <r>
          <rPr>
            <sz val="12"/>
            <color indexed="81"/>
            <rFont val="Times New Roman"/>
            <family val="1"/>
          </rPr>
          <t>Synergy ~ Know Arcana +2
Magical Aptitude +2</t>
        </r>
      </text>
    </comment>
    <comment ref="F42" authorId="0" shapeId="0" xr:uid="{50835D1A-DF76-42AA-8452-AF11F797307C}">
      <text>
        <r>
          <rPr>
            <sz val="12"/>
            <color indexed="81"/>
            <rFont val="Times New Roman"/>
            <family val="1"/>
          </rPr>
          <t>Half-elf +1</t>
        </r>
      </text>
    </comment>
    <comment ref="F45" authorId="0" shapeId="0" xr:uid="{00000000-0006-0000-0100-000015000000}">
      <text>
        <r>
          <rPr>
            <sz val="12"/>
            <color indexed="81"/>
            <rFont val="Times New Roman"/>
            <family val="1"/>
          </rPr>
          <t>No armor penalties</t>
        </r>
      </text>
    </comment>
    <comment ref="F46" authorId="0" shapeId="0" xr:uid="{E3B14000-9BA8-44A8-8B3E-5AC6B33CCB25}">
      <text>
        <r>
          <rPr>
            <sz val="12"/>
            <color indexed="81"/>
            <rFont val="Times New Roman"/>
            <family val="1"/>
          </rPr>
          <t>Magical Aptitude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C57780A5-80DB-4D7C-920F-106D462E1E76}">
      <text>
        <r>
          <rPr>
            <sz val="12"/>
            <color indexed="81"/>
            <rFont val="Times New Roman"/>
            <family val="1"/>
          </rPr>
          <t>Miniature cloak</t>
        </r>
      </text>
    </comment>
    <comment ref="D5" authorId="0" shapeId="0" xr:uid="{BDCF5C67-02BF-478B-94B7-EED28A93E551}">
      <text>
        <r>
          <rPr>
            <sz val="12"/>
            <color indexed="81"/>
            <rFont val="Times New Roman"/>
            <family val="1"/>
          </rPr>
          <t>Copper wire</t>
        </r>
      </text>
    </comment>
    <comment ref="D7" authorId="0" shapeId="0" xr:uid="{00000000-0006-0000-0200-000001000000}">
      <text>
        <r>
          <rPr>
            <sz val="12"/>
            <color indexed="81"/>
            <rFont val="Times New Roman"/>
            <family val="1"/>
          </rPr>
          <t>Prism, lens, or monocle</t>
        </r>
      </text>
    </comment>
    <comment ref="D8" authorId="0" shapeId="0" xr:uid="{00000000-0006-0000-0200-000002000000}">
      <text>
        <r>
          <rPr>
            <sz val="12"/>
            <color indexed="81"/>
            <rFont val="Times New Roman"/>
            <family val="1"/>
          </rPr>
          <t>Caster's musical instrument</t>
        </r>
      </text>
    </comment>
    <comment ref="D10" authorId="0" shapeId="0" xr:uid="{00000000-0006-0000-0200-000004000000}">
      <text>
        <r>
          <rPr>
            <sz val="12"/>
            <color indexed="81"/>
            <rFont val="Times New Roman"/>
            <family val="1"/>
          </rPr>
          <t>Pork rind or butter</t>
        </r>
      </text>
    </comment>
    <comment ref="D13" authorId="0" shapeId="0" xr:uid="{00000000-0006-0000-0200-000005000000}">
      <text>
        <r>
          <rPr>
            <sz val="12"/>
            <color indexed="81"/>
            <rFont val="Times New Roman"/>
            <family val="1"/>
          </rPr>
          <t>Tiny tart and feather</t>
        </r>
      </text>
    </comment>
    <comment ref="D15" authorId="0" shapeId="0" xr:uid="{55F7F033-52B2-4B98-A861-EE28D581C59D}">
      <text>
        <r>
          <rPr>
            <sz val="12"/>
            <color indexed="81"/>
            <rFont val="Times New Roman"/>
            <family val="1"/>
          </rPr>
          <t>Salt</t>
        </r>
      </text>
    </comment>
    <comment ref="D16" authorId="0" shapeId="0" xr:uid="{7300E34B-60D2-453B-853B-CE799D70CEA5}">
      <text>
        <r>
          <rPr>
            <sz val="12"/>
            <color indexed="81"/>
            <rFont val="Times New Roman"/>
            <family val="1"/>
          </rPr>
          <t>Iron or holy symbol</t>
        </r>
      </text>
    </comment>
    <comment ref="D18" authorId="0" shapeId="0" xr:uid="{00000000-0006-0000-0000-000075000000}">
      <text>
        <r>
          <rPr>
            <sz val="12"/>
            <color indexed="81"/>
            <rFont val="Times New Roman"/>
            <family val="1"/>
          </rPr>
          <t>Fire source</t>
        </r>
      </text>
    </comment>
    <comment ref="D19" authorId="0" shapeId="0" xr:uid="{CED62351-E141-4C93-91DB-E47E7A638A20}">
      <text>
        <r>
          <rPr>
            <sz val="12"/>
            <color indexed="81"/>
            <rFont val="Times New Roman"/>
            <family val="1"/>
          </rPr>
          <t>Vial of tears</t>
        </r>
      </text>
    </comment>
    <comment ref="D20" authorId="0" shapeId="0" xr:uid="{95175443-BC3F-457C-A7A2-31986AF31F45}">
      <text>
        <r>
          <rPr>
            <sz val="12"/>
            <color indexed="81"/>
            <rFont val="Times New Roman"/>
            <family val="1"/>
          </rPr>
          <t>Prism, lens, or monocle</t>
        </r>
      </text>
    </comment>
    <comment ref="D21" authorId="0" shapeId="0" xr:uid="{B416B9E1-0C87-430A-94B5-506AE157317F}">
      <text>
        <r>
          <rPr>
            <sz val="12"/>
            <color indexed="81"/>
            <rFont val="Times New Roman"/>
            <family val="1"/>
          </rPr>
          <t>Roots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5FDFDDE4-E4CC-4B3F-894F-46406EBDA676}">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A3" authorId="0" shapeId="0" xr:uid="{B79BCA3C-16E5-43A3-886B-6F387F0BD2EC}">
      <text>
        <r>
          <rPr>
            <sz val="12"/>
            <color indexed="81"/>
            <rFont val="Times New Roman"/>
            <family val="1"/>
          </rPr>
          <t xml:space="preserve">You can weave your music and magic together into a single perfect voice.  
</t>
        </r>
        <r>
          <rPr>
            <b/>
            <sz val="12"/>
            <color indexed="81"/>
            <rFont val="Times New Roman"/>
            <family val="1"/>
          </rPr>
          <t xml:space="preserve">Prerequisites:  </t>
        </r>
        <r>
          <rPr>
            <sz val="12"/>
            <color indexed="81"/>
            <rFont val="Times New Roman"/>
            <family val="1"/>
          </rPr>
          <t xml:space="preserve">Perform 4 ranks, Spellcraft 4 ranks, bardic music class feature.
</t>
        </r>
        <r>
          <rPr>
            <b/>
            <sz val="12"/>
            <color indexed="81"/>
            <rFont val="Times New Roman"/>
            <family val="1"/>
          </rPr>
          <t xml:space="preserve">Benefit: </t>
        </r>
        <r>
          <rPr>
            <sz val="12"/>
            <color indexed="81"/>
            <rFont val="Times New Roman"/>
            <family val="1"/>
          </rPr>
          <t xml:space="preserve">Whenever a Concentration check would be required to cast a spell or use a spell-like ability (such as when you cast defensively or are distracted or injured while casting), you can make a Perform check instead.
In addition, you can cast spells and activate magic items by command word or spell completion while using a bardic music ability.  Bardic music abilities that require concentration still take a standard action to perform.
</t>
        </r>
        <r>
          <rPr>
            <b/>
            <sz val="12"/>
            <color indexed="81"/>
            <rFont val="Times New Roman"/>
            <family val="1"/>
          </rPr>
          <t xml:space="preserve">Normal:  </t>
        </r>
        <r>
          <rPr>
            <sz val="12"/>
            <color indexed="81"/>
            <rFont val="Times New Roman"/>
            <family val="1"/>
          </rPr>
          <t>A bard can’t cast spells or activate magic items by command word or spell completion while using bardic music. 
Complete Mage 44</t>
        </r>
      </text>
    </comment>
    <comment ref="A4" authorId="0" shapeId="0" xr:uid="{C924F023-A395-46E6-A7DF-B52E5BF225F8}">
      <text>
        <r>
          <rPr>
            <sz val="12"/>
            <color indexed="81"/>
            <rFont val="Times New Roman"/>
            <family val="1"/>
          </rPr>
          <t xml:space="preserve">You have a knack for magical endeavors.
</t>
        </r>
        <r>
          <rPr>
            <b/>
            <sz val="12"/>
            <color indexed="81"/>
            <rFont val="Times New Roman"/>
            <family val="1"/>
          </rPr>
          <t xml:space="preserve">Benefit:  </t>
        </r>
        <r>
          <rPr>
            <sz val="12"/>
            <color indexed="81"/>
            <rFont val="Times New Roman"/>
            <family val="1"/>
          </rPr>
          <t>You get a +2 bonus on all Spellcraft checks and Use Magic Device checks.
PHB 97</t>
        </r>
      </text>
    </comment>
    <comment ref="K5" authorId="0" shapeId="0" xr:uid="{3CA8040D-9B31-4803-8617-FA73AC8C81A8}">
      <text>
        <r>
          <rPr>
            <sz val="12"/>
            <color indexed="81"/>
            <rFont val="Times New Roman"/>
            <family val="1"/>
          </rPr>
          <t>From item-dependent Charisma bonus.</t>
        </r>
      </text>
    </comment>
    <comment ref="A7" authorId="0" shapeId="0" xr:uid="{0C59CF70-8DB1-44BC-8A07-8006693D33C9}">
      <text>
        <r>
          <rPr>
            <sz val="12"/>
            <color indexed="81"/>
            <rFont val="Times New Roman"/>
            <family val="1"/>
          </rPr>
          <t xml:space="preserve">A bard picks up a lot of stray knowledge while wandering the land and learning stories from other bards.  He may make a special bardic knowledge check with a bonus equal to his bard level + his Intelligence modifier to see whether he knows some relevant information about local notable people, legendary items, or noteworthy places.  (If the bard has 5 or more ranks in Knowledge (history), he gains a +2 bonus on this check.)
</t>
        </r>
        <r>
          <rPr>
            <b/>
            <sz val="12"/>
            <color indexed="81"/>
            <rFont val="Times New Roman"/>
            <family val="1"/>
          </rPr>
          <t>See table on page 28 for guidance.</t>
        </r>
        <r>
          <rPr>
            <sz val="12"/>
            <color indexed="81"/>
            <rFont val="Times New Roman"/>
            <family val="1"/>
          </rPr>
          <t xml:space="preserve">
A successful bardic knowledge check will not reveal the powers of a magic item but may give a hint as to its general function.  A bard may not take 10 or take 20 on this check; this sort of knowledge is essentially random.  The DM can determine the Difficulty Class of the check by referring to the table above.
PHB 28 - 29</t>
        </r>
      </text>
    </comment>
    <comment ref="A8" authorId="0" shapeId="0" xr:uid="{0F0ED7B4-F007-4D69-9649-DE1491C71945}">
      <text>
        <r>
          <rPr>
            <sz val="12"/>
            <color indexed="81"/>
            <rFont val="Times New Roman"/>
            <family val="1"/>
          </rPr>
          <t>Once per day per bard level, a bard can use his song or poetics to produce magical effects on those around him (usually including himself, if desired).  While these abilities fall under the category of bardic music and the descriptions discuss singing or playing instruments, they can all be activated by reciting poetry, chanting, singing lyrical songs, singing melodies (fa-la-la, and so forth), whistling, playing an instrument, or playing an instrument in combination with some spoken performance.  Each ability requires both a minimum bard level and a minimum number of ranks in the Perform skill to qualify; if a bard does not have the required number of ranks in at least one Perform skill, he does not gain the bardic music ability until he acquires the needed ranks.
Starting a bardic music effect is a standard action.  Some bardic music abilities require concentration, which means the bard must take a standard action each round to maintain the ability.  Even while using bardic music that doesn’t require concentration, a bard cannot cast spells, activate magic items by spell completion (such as scrolls), or activate magic items by magic word (such as wands).  Just as for casting a spell with a verbal component (see Components, page 174), a deaf bard has a 20% chance to fail when attempting to use bardic music.  If he fails, the attempt still counts against his daily limit.
PHB 29</t>
        </r>
      </text>
    </comment>
    <comment ref="A9" authorId="0" shapeId="0" xr:uid="{C4963273-B3F6-4782-86EE-F9FB06D18B55}">
      <text>
        <r>
          <rPr>
            <sz val="12"/>
            <color indexed="81"/>
            <rFont val="Times New Roman"/>
            <family val="1"/>
          </rPr>
          <t>A bard with 3 or more ranks in a Perform skill can use his music or poetics to counter magical effects that depend on sound (but not spells that simply have verbal components).  Each round of the countersong, he makes a Perform check.  Any creature within 30 feet of the bard (including the bard himself ) that is affected by a sonic or language-dependent magical attack (such as a sound burst or command spell) may use the bard’s Perform check result in place of its saving throw if, after the saving throw is rolled, the Perform check result proves to be higher.  If a creature within range of the countersong is already under the effect of a noninstantaneous sonic or language-dependent magical attack, it gains another saving throw against the effect each round it hears the countersong, but it must use the bard’s Perform check result for the save.  Countersong has no effect against effects that don’t allow saves.  The bard may keep up the countersong for 10 rounds.
PHB 29</t>
        </r>
      </text>
    </comment>
    <comment ref="A10" authorId="0" shapeId="0" xr:uid="{C24D8DC2-4398-4C46-9423-42F4EFA68C5F}">
      <text>
        <r>
          <rPr>
            <sz val="12"/>
            <color indexed="81"/>
            <rFont val="Times New Roman"/>
            <family val="1"/>
          </rPr>
          <t>A bard with 3 or more ranks in a Perform skill can use his music or poetics to cause one or more creatures to become fascinated with him.  Each creature to be fascinated must be within 90 feet, able to see and hear the bard, and able to pay attention to him.  The bard must also be able to see the creature.  The distraction of a nearby combat or other dangers prevents the ability from working.  For every three levels a bard attains beyond 1st, he can target one additional creature with a single use of this ability (two at 4th level, three at 7th level, and so on).
To use the ability, a bard makes a Perform check.  His check result is the DC for each affected creature’s Will save against the effect.  If a creature’s saving throw succeeds, the bard cannot attempt to fascinate that creature again for 24 hours.  If its saving throw fails, the creature sits quietly and listens to the song, taking no other actions, for as long as the bard continues to play and concentrate (up to a maximum of 1 round per bard level).  While fascinated, a target takes a –4 penalty on skill checks made as reactions, such as Listen and Spot checks.  Any potential threat requires the bard to make another Perform check and allows the creature a new saving throw against a DC equal to the new Perform check result.  Any obvious threat, such as someone drawing a weapon, casting a spell, or aiming a ranged weapon at the target, automatically breaks the effect.  Fascinate is an enchantment (compulsion), mind-affecting ability.
PHB 29</t>
        </r>
      </text>
    </comment>
    <comment ref="A11" authorId="0" shapeId="0" xr:uid="{D719A683-AF63-4D4F-8253-F5A1D92E9F99}">
      <text>
        <r>
          <rPr>
            <sz val="12"/>
            <color indexed="81"/>
            <rFont val="Times New Roman"/>
            <family val="1"/>
          </rPr>
          <t>A bard with 3 or more ranks in a Perform skill can use song or poetics to inspire courage in his allies (including himself), bolstering them against fear and improving their combat abilities.  To be affected, an ally must be able to hear the bard sing.  The effect lasts for as long as the ally hears the bard sing and for 5 rounds thereafter.  An affected ally receives a +1 morale bonus on saving throws against charm and fear effects and a +1 morale bonus on attack and weapon damage rolls.  At 8th level, and every six bard levels thereafter, this bonus increases by 1 (+2 at 8th, +3 at 14th, and +4 at 20th).  Inspire courage is a mind-affecting ability.
PHB 29</t>
        </r>
      </text>
    </comment>
    <comment ref="A12" authorId="0" shapeId="0" xr:uid="{91A5AEA0-61FC-496C-9B20-4C9E7776FD8C}">
      <text>
        <r>
          <rPr>
            <sz val="12"/>
            <color indexed="81"/>
            <rFont val="Times New Roman"/>
            <family val="1"/>
          </rPr>
          <t>A bard of 3rd level or higher with 6 or more ranks in a Perform skill can use his music or poetics to help an ally succeed at a task.  The ally must be within 30 feet and able to see and hear the bard.  The bard must also be able to see the ally.
Depending on the task that the ally has at hand, the bard may use his bardic music to lift the ally’s spirits, to help him or her focus mentally, or in some other way.  The ally gets a +2 competence bonus on skill checks with a particular skill as long as he or she continues to hear the bard’s music.  The DM may rule that certain uses of this ability are infeasible—chanting to make a rogue move more quietly, for example, is self-defeating.  The effect lasts as long as the bard concentrates, up to a maximum of 2 minutes.  A bard can’t inspire competence in himself.  Inspire competence is a mind-affecting ability.
PHB 29</t>
        </r>
      </text>
    </comment>
    <comment ref="A13" authorId="0" shapeId="0" xr:uid="{898A62F2-AE19-478B-9E76-A693F1002B8A}">
      <text>
        <r>
          <rPr>
            <sz val="12"/>
            <color indexed="81"/>
            <rFont val="Times New Roman"/>
            <family val="1"/>
          </rPr>
          <t>A bard of 6th level or higher with 9 or more ranks in a Perform skill can make a suggestion (as the spell) to a creature that he has already fascinated (see above).  Using this ability does not break the bard’s concentration on the fascinate effect, nor does it allow a second saving throw against the fascinate effect.  Making a suggestion doesn’t count against a bard’s daily limit on bardic music performances.
A Will saving throw (DC 10 + 1/2 bard’s level + bard’s Cha modifier) negates the effect.  This ability affects only a single creature (but see mass suggestion, below).  Suggestion is an enchantment (compulsion), mind-affecting, language dependent ability.
PHB 29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6252548B-DC21-4D6A-9806-58DDC53DE77C}">
      <text>
        <r>
          <rPr>
            <sz val="12"/>
            <color indexed="81"/>
            <rFont val="Times New Roman"/>
            <family val="1"/>
          </rPr>
          <t>Inspire Courage +2</t>
        </r>
      </text>
    </comment>
    <comment ref="D4" authorId="0" shapeId="0" xr:uid="{7C26AA54-C59B-4D7A-918A-EDC3A45A161F}">
      <text>
        <r>
          <rPr>
            <sz val="12"/>
            <color indexed="81"/>
            <rFont val="Times New Roman"/>
            <family val="1"/>
          </rPr>
          <t>Inspire Courage +2</t>
        </r>
      </text>
    </comment>
    <comment ref="D5" authorId="0" shapeId="0" xr:uid="{59A67DB1-444B-4BDE-9EFF-F86619F6AE79}">
      <text>
        <r>
          <rPr>
            <sz val="12"/>
            <color indexed="81"/>
            <rFont val="Times New Roman"/>
            <family val="1"/>
          </rPr>
          <t>Inspire Courage +2</t>
        </r>
      </text>
    </comment>
    <comment ref="D12" authorId="0" shapeId="0" xr:uid="{00000000-0006-0000-0400-000002000000}">
      <text>
        <r>
          <rPr>
            <sz val="12"/>
            <color indexed="81"/>
            <rFont val="Times New Roman"/>
            <family val="1"/>
          </rPr>
          <t>Balance, Climb, Escape Artist, Hide, Jump, Move Silently, Sleight of Hand, Tumble.</t>
        </r>
      </text>
    </comment>
    <comment ref="K13" authorId="0" shapeId="0" xr:uid="{00000000-0006-0000-0400-000003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3" authorId="0" shapeId="0" xr:uid="{8CFDDB54-CF0C-4A83-9A4D-6268149AC633}">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<sst xmlns="http://schemas.openxmlformats.org/spreadsheetml/2006/main" count="518" uniqueCount="295">
  <si>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</si>
  <si>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</si>
  <si>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</si>
  <si>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</si>
  <si>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</si>
  <si>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</si>
  <si>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</si>
  <si>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</si>
  <si>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</si>
  <si>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</si>
  <si>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</si>
  <si>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</si>
  <si>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</si>
  <si>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</si>
  <si>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</si>
  <si>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</si>
  <si>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</si>
  <si>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</si>
  <si>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</si>
  <si>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</si>
  <si>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</si>
  <si>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</si>
  <si>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</si>
  <si>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</si>
  <si>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</si>
  <si>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</si>
  <si>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</si>
  <si>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</si>
  <si>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</si>
  <si>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</si>
  <si>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</si>
  <si>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</si>
  <si>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</si>
  <si>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</si>
  <si>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</si>
  <si>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</si>
  <si>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</si>
  <si>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</si>
  <si>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</si>
  <si>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</si>
  <si>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</si>
  <si>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</si>
  <si>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</si>
  <si>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</si>
  <si>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</si>
  <si>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</si>
  <si>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</si>
  <si>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</si>
  <si>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</si>
  <si>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</si>
  <si>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</si>
  <si>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</si>
  <si>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</si>
  <si>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</si>
  <si>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</si>
  <si>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</si>
  <si>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</si>
  <si>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</si>
  <si>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</si>
  <si>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</si>
  <si>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</si>
  <si>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</si>
  <si>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</si>
  <si>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</si>
  <si>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</si>
  <si>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Universal</t>
  </si>
  <si>
    <t>1 min/lvl</t>
  </si>
  <si>
    <t>Instant</t>
  </si>
  <si>
    <t>Personal</t>
  </si>
  <si>
    <t>10 min/lvl</t>
  </si>
  <si>
    <t>1 rnd/lvl</t>
  </si>
  <si>
    <t>Spell</t>
  </si>
  <si>
    <t>Cast?</t>
  </si>
  <si>
    <t>Languages</t>
  </si>
  <si>
    <t>School</t>
  </si>
  <si>
    <t>10’</t>
  </si>
  <si>
    <t>Equipment Worn</t>
  </si>
  <si>
    <t>Item</t>
  </si>
  <si>
    <t>Effects/</t>
  </si>
  <si>
    <t>Notes</t>
  </si>
  <si>
    <t>Equipment Carried</t>
  </si>
  <si>
    <t>Check</t>
  </si>
  <si>
    <t>Arcane</t>
  </si>
  <si>
    <t>Speed</t>
  </si>
  <si>
    <t>25’ + 2½’/lvl</t>
  </si>
  <si>
    <t>400’ + 40’/lvl</t>
  </si>
  <si>
    <t>Sleight of Hand</t>
  </si>
  <si>
    <t>Survival</t>
  </si>
  <si>
    <t>Craft:  (type)</t>
  </si>
  <si>
    <t>DC</t>
  </si>
  <si>
    <t>Weapon Proficiencies</t>
  </si>
  <si>
    <t>Shields (not tower)</t>
  </si>
  <si>
    <t>Atk</t>
  </si>
  <si>
    <t>Flint &amp; Steel</t>
  </si>
  <si>
    <t>Waterskin</t>
  </si>
  <si>
    <t>Components</t>
  </si>
  <si>
    <t>Casting</t>
  </si>
  <si>
    <t>V S</t>
  </si>
  <si>
    <t>1 SA</t>
  </si>
  <si>
    <t>100’ + 10’/lvl</t>
  </si>
  <si>
    <t>V S F</t>
  </si>
  <si>
    <t>1 hour</t>
  </si>
  <si>
    <t>Read Magic</t>
  </si>
  <si>
    <t>1</t>
  </si>
  <si>
    <t>Spells per Day</t>
  </si>
  <si>
    <t>Spell Level</t>
  </si>
  <si>
    <t>Total Divine</t>
  </si>
  <si>
    <t>Feats</t>
  </si>
  <si>
    <t>19-20, x2</t>
  </si>
  <si>
    <t>Prcg/Slsh</t>
  </si>
  <si>
    <t>-</t>
  </si>
  <si>
    <t>Bedroll</t>
  </si>
  <si>
    <t>Component Pouch</t>
  </si>
  <si>
    <t>Roll</t>
  </si>
  <si>
    <t>Skill/Save</t>
  </si>
  <si>
    <t>five</t>
  </si>
  <si>
    <t>30’</t>
  </si>
  <si>
    <t>Light &amp; Medium Armor</t>
  </si>
  <si>
    <t>Traveler’s Outfit</t>
  </si>
  <si>
    <t>Value</t>
  </si>
  <si>
    <t>Scrolls and Potions</t>
  </si>
  <si>
    <t>CLev</t>
  </si>
  <si>
    <t>Ranged Touch Attack</t>
  </si>
  <si>
    <t>Bard</t>
  </si>
  <si>
    <t>Bard 1</t>
  </si>
  <si>
    <t>Bard 2</t>
  </si>
  <si>
    <t>Bard 3</t>
  </si>
  <si>
    <t>Bard 4</t>
  </si>
  <si>
    <t>Belt Pouch</t>
  </si>
  <si>
    <t>Ink &amp; Pen</t>
  </si>
  <si>
    <t>Charisma Bonus</t>
  </si>
  <si>
    <t>Parchment</t>
  </si>
  <si>
    <t>1d8</t>
  </si>
  <si>
    <t>Countersong</t>
  </si>
  <si>
    <t>Fascinate</t>
  </si>
  <si>
    <t>Inspire Competence</t>
  </si>
  <si>
    <t>Prestidigitation</t>
  </si>
  <si>
    <t>PHB</t>
  </si>
  <si>
    <t>Reference</t>
  </si>
  <si>
    <t>Page</t>
  </si>
  <si>
    <t>Enchantment</t>
  </si>
  <si>
    <t>Song &amp; Silence</t>
  </si>
  <si>
    <t>Transmutation</t>
  </si>
  <si>
    <t>Bard Spells</t>
  </si>
  <si>
    <t>1d4</t>
  </si>
  <si>
    <t>Grease</t>
  </si>
  <si>
    <t>Conjuration</t>
  </si>
  <si>
    <t>V S M</t>
  </si>
  <si>
    <t>Total Equity:</t>
  </si>
  <si>
    <t>Bard 5</t>
  </si>
  <si>
    <t>Bard 6</t>
  </si>
  <si>
    <t>19-20/x2</t>
  </si>
  <si>
    <t>Slashing</t>
  </si>
  <si>
    <t>1d6</t>
  </si>
  <si>
    <t>Treated as light armor</t>
  </si>
  <si>
    <t>Spells Known</t>
  </si>
  <si>
    <t>ü</t>
  </si>
  <si>
    <t>Touch</t>
  </si>
  <si>
    <t>Exact Location</t>
  </si>
  <si>
    <t>Race</t>
  </si>
  <si>
    <t>Class</t>
  </si>
  <si>
    <t>Sex</t>
  </si>
  <si>
    <t>Age</t>
  </si>
  <si>
    <t>Alignment</t>
  </si>
  <si>
    <t>Strength</t>
  </si>
  <si>
    <t>Dexterity</t>
  </si>
  <si>
    <t>Constitution</t>
  </si>
  <si>
    <t>Intelligence</t>
  </si>
  <si>
    <t>Wisdom</t>
  </si>
  <si>
    <t>Charisma</t>
  </si>
  <si>
    <t>AC</t>
  </si>
  <si>
    <t>special</t>
  </si>
  <si>
    <t>Deity</t>
  </si>
  <si>
    <t>Region</t>
  </si>
  <si>
    <t>Height</t>
  </si>
  <si>
    <t>Weight</t>
  </si>
  <si>
    <t>Initiative</t>
  </si>
  <si>
    <t>Attack Bonus</t>
  </si>
  <si>
    <t>Lb. Capacity</t>
  </si>
  <si>
    <t>Lb. Carried</t>
  </si>
  <si>
    <t>Hit Points</t>
  </si>
  <si>
    <t>Touch AC</t>
  </si>
  <si>
    <t>FF AC</t>
  </si>
  <si>
    <t>5’ 10”</t>
  </si>
  <si>
    <t>170 lbs.</t>
  </si>
  <si>
    <t>Neutral Good</t>
  </si>
  <si>
    <t>Half-Elf (Moon)</t>
  </si>
  <si>
    <t>Tethyr</t>
  </si>
  <si>
    <t>Knowledge:  Arcana</t>
  </si>
  <si>
    <t>Celestial, Draconic</t>
  </si>
  <si>
    <t>Common, Elven, Sylvan,</t>
  </si>
  <si>
    <t>1st:  Iron Will</t>
  </si>
  <si>
    <t>3rd:  Melodic Casting</t>
  </si>
  <si>
    <t>Perform:  Vocal</t>
  </si>
  <si>
    <t>Profession:  Astrologer</t>
  </si>
  <si>
    <t>Detect Magic</t>
  </si>
  <si>
    <t>Message</t>
  </si>
  <si>
    <t>Cure Light Wounds</t>
  </si>
  <si>
    <t>Inspirational Boost</t>
  </si>
  <si>
    <t>Sleep</t>
  </si>
  <si>
    <t>Alter Self</t>
  </si>
  <si>
    <t>60’</t>
  </si>
  <si>
    <t>Swift</t>
  </si>
  <si>
    <t>Complete Adventurer</t>
  </si>
  <si>
    <t>Summon Instrument</t>
  </si>
  <si>
    <t>Conc + 1 rnd/lvl</t>
  </si>
  <si>
    <t>Inspire Courage +1</t>
  </si>
  <si>
    <t>Pyrotechnics</t>
  </si>
  <si>
    <t>1d4+1 rounds</t>
  </si>
  <si>
    <t>Perform:  Strings</t>
  </si>
  <si>
    <t>Perform:  Percussion</t>
  </si>
  <si>
    <t>2</t>
  </si>
  <si>
    <t>Mithral Chain Shirt</t>
  </si>
  <si>
    <t>Stash:  ?</t>
  </si>
  <si>
    <t>% Full:</t>
  </si>
  <si>
    <t>Heward’s Handy Haversack</t>
  </si>
  <si>
    <t>MW Yarting</t>
  </si>
  <si>
    <t>Uncle’s heirloom</t>
  </si>
  <si>
    <t>Bell</t>
  </si>
  <si>
    <t>Chalk</t>
  </si>
  <si>
    <t>Small Steel Mirror</t>
  </si>
  <si>
    <t>Bullseye Lantern</t>
  </si>
  <si>
    <t>Silk Rope</t>
  </si>
  <si>
    <t>100’</t>
  </si>
  <si>
    <t>Tent</t>
  </si>
  <si>
    <t>Shovel</t>
  </si>
  <si>
    <t>Hammer</t>
  </si>
  <si>
    <t>Crowbar</t>
  </si>
  <si>
    <t>Signal Whistle</t>
  </si>
  <si>
    <t>Scroll Case</t>
  </si>
  <si>
    <t>one</t>
  </si>
  <si>
    <t>Candle</t>
  </si>
  <si>
    <t>Sealing Wax</t>
  </si>
  <si>
    <t>Signet Ring</t>
  </si>
  <si>
    <t>Cloak of Charisma +2</t>
  </si>
  <si>
    <t>Torch</t>
  </si>
  <si>
    <t>1d6 fire</t>
  </si>
  <si>
    <t>Fire</t>
  </si>
  <si>
    <t xml:space="preserve">Speak Language:  </t>
  </si>
  <si>
    <t>Knowledge:  History</t>
  </si>
  <si>
    <t>6th:  Magical Aptitude</t>
  </si>
  <si>
    <t>6th:  Suggestion</t>
  </si>
  <si>
    <t>Knowledge:  Bardic</t>
  </si>
  <si>
    <t>Flask of Acid</t>
  </si>
  <si>
    <t>Arrows, Silver</t>
  </si>
  <si>
    <t>Gold Coins</t>
  </si>
  <si>
    <t>Torches</t>
  </si>
  <si>
    <t xml:space="preserve">Simple Weapons, Longsword, </t>
  </si>
  <si>
    <t>Rapier, Sap, Short Sword,</t>
  </si>
  <si>
    <t>Shortbow, Whip</t>
  </si>
  <si>
    <t>Light Crossbow</t>
  </si>
  <si>
    <t>80’</t>
  </si>
  <si>
    <t>Bolts</t>
  </si>
  <si>
    <t>Bolts, Cold Iron</t>
  </si>
  <si>
    <t>four</t>
  </si>
  <si>
    <t>MW Dagger</t>
  </si>
  <si>
    <t>Bolts, Silver</t>
  </si>
  <si>
    <t>Lyric Thaumaturge</t>
  </si>
  <si>
    <t>Knowledge:  Religion</t>
  </si>
  <si>
    <t>Lyric Thaumaturge 1</t>
  </si>
  <si>
    <t>V S F/DF</t>
  </si>
  <si>
    <t>Glitterdust</t>
  </si>
  <si>
    <t>Haste</t>
  </si>
  <si>
    <t>Crushing Despair</t>
  </si>
  <si>
    <t>Caster Level:</t>
  </si>
  <si>
    <t>Thaumaturge Spell</t>
  </si>
  <si>
    <t>Lyric T Bonus</t>
  </si>
  <si>
    <t>Soft Equity Ceiling:</t>
  </si>
  <si>
    <t>Contract to kill the members of the Fist of Light</t>
  </si>
  <si>
    <t>47 charges</t>
  </si>
  <si>
    <t>Oghma</t>
  </si>
  <si>
    <t>Played by Alexis Álvarez</t>
  </si>
  <si>
    <t>Bard Features</t>
  </si>
  <si>
    <t>Thaumaturge Features</t>
  </si>
  <si>
    <t>MW Longsword</t>
  </si>
  <si>
    <r>
      <t xml:space="preserve">+1 </t>
    </r>
    <r>
      <rPr>
        <i/>
        <sz val="13"/>
        <rFont val="Calibri Light"/>
        <family val="2"/>
      </rPr>
      <t>haste</t>
    </r>
  </si>
  <si>
    <r>
      <t xml:space="preserve">Potion of </t>
    </r>
    <r>
      <rPr>
        <i/>
        <sz val="12"/>
        <rFont val="Calibri Light"/>
        <family val="2"/>
      </rPr>
      <t>Cure Light Wounds</t>
    </r>
  </si>
  <si>
    <r>
      <t xml:space="preserve">Scroll of </t>
    </r>
    <r>
      <rPr>
        <i/>
        <sz val="12"/>
        <rFont val="Calibri Light"/>
        <family val="2"/>
      </rPr>
      <t>Control Darkness &amp; Shadow</t>
    </r>
  </si>
  <si>
    <r>
      <t xml:space="preserve">Scroll of </t>
    </r>
    <r>
      <rPr>
        <i/>
        <sz val="12"/>
        <rFont val="Calibri Light"/>
        <family val="2"/>
      </rPr>
      <t>Keen Edge</t>
    </r>
  </si>
  <si>
    <r>
      <t xml:space="preserve">Scroll of </t>
    </r>
    <r>
      <rPr>
        <i/>
        <sz val="12"/>
        <rFont val="Calibri Light"/>
        <family val="2"/>
      </rPr>
      <t>Cure Moderate Wounds</t>
    </r>
  </si>
  <si>
    <r>
      <t xml:space="preserve">Wand of </t>
    </r>
    <r>
      <rPr>
        <i/>
        <sz val="12"/>
        <rFont val="Calibri Light"/>
        <family val="2"/>
      </rPr>
      <t>Cure Light Wounds</t>
    </r>
  </si>
  <si>
    <t>Resistance</t>
  </si>
  <si>
    <t>Remove Fear</t>
  </si>
  <si>
    <t>Abjuration</t>
  </si>
  <si>
    <t>See Invisibility</t>
  </si>
  <si>
    <t>Divination</t>
  </si>
  <si>
    <t>Circle Dance</t>
  </si>
  <si>
    <t>1 minute</t>
  </si>
  <si>
    <t>Magic of Faerûn</t>
  </si>
  <si>
    <t>Hold Person</t>
  </si>
  <si>
    <t>V S M/DF</t>
  </si>
  <si>
    <r>
      <t>30</t>
    </r>
    <r>
      <rPr>
        <sz val="13"/>
        <rFont val="Calibri Light"/>
        <family val="2"/>
      </rPr>
      <t>/</t>
    </r>
    <r>
      <rPr>
        <sz val="13"/>
        <color indexed="51"/>
        <rFont val="Calibri Light"/>
        <family val="2"/>
      </rPr>
      <t>60</t>
    </r>
    <r>
      <rPr>
        <sz val="13"/>
        <rFont val="Calibri Light"/>
        <family val="2"/>
      </rPr>
      <t>/</t>
    </r>
    <r>
      <rPr>
        <sz val="13"/>
        <color indexed="10"/>
        <rFont val="Calibri Light"/>
        <family val="2"/>
      </rPr>
      <t>90</t>
    </r>
  </si>
  <si>
    <t>Lirael</t>
  </si>
  <si>
    <t>Bowik, Cantor of Oghma</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</si>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</sst>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7" x14ac:knownFonts="1">
    <font>
      <sz val="12"/>
      <name val="Times New Roman"/>
    </font>
    <font>
      <sz val="12"/>
      <color theme="1"/>
      <name val="Times New Roman"/>
      <family val="2"/>
    </font>
    <font>
      <sz val="12"/>
      <name val="Times New Roman"/>
      <family val="1"/>
    </font>
    <font>
      <sz val="12"/>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i/>
      <sz val="12"/>
      <color indexed="81"/>
      <name val="Times New Roman"/>
      <family val="1"/>
    </font>
    <font>
      <b/>
      <sz val="12"/>
      <color indexed="81"/>
      <name val="Times New Roman"/>
      <family val="1"/>
    </font>
    <font>
      <sz val="12"/>
      <name val="Wingdings"/>
      <charset val="2"/>
    </font>
    <font>
      <i/>
      <sz val="22"/>
      <color rgb="FF00FF00"/>
      <name val="Calibri Light"/>
      <family val="2"/>
    </font>
    <font>
      <i/>
      <sz val="22"/>
      <color indexed="17"/>
      <name val="Calibri Light"/>
      <family val="2"/>
    </font>
    <font>
      <b/>
      <sz val="12"/>
      <name val="Calibri Light"/>
      <family val="2"/>
    </font>
    <font>
      <b/>
      <sz val="12"/>
      <color rgb="FFFF0000"/>
      <name val="Calibri Light"/>
      <family val="2"/>
    </font>
    <font>
      <i/>
      <sz val="12"/>
      <color indexed="42"/>
      <name val="Calibri Light"/>
      <family val="2"/>
    </font>
    <font>
      <sz val="12"/>
      <name val="Calibri Light"/>
      <family val="2"/>
    </font>
    <font>
      <b/>
      <sz val="13"/>
      <name val="Calibri Light"/>
      <family val="2"/>
    </font>
    <font>
      <sz val="13"/>
      <name val="Calibri Light"/>
      <family val="2"/>
    </font>
    <font>
      <b/>
      <sz val="13"/>
      <color indexed="10"/>
      <name val="Calibri Light"/>
      <family val="2"/>
    </font>
    <font>
      <sz val="13"/>
      <color indexed="23"/>
      <name val="Calibri Light"/>
      <family val="2"/>
    </font>
    <font>
      <sz val="13"/>
      <color indexed="17"/>
      <name val="Calibri Light"/>
      <family val="2"/>
    </font>
    <font>
      <b/>
      <sz val="13"/>
      <color indexed="46"/>
      <name val="Calibri Light"/>
      <family val="2"/>
    </font>
    <font>
      <b/>
      <sz val="13"/>
      <color rgb="FF00B0F0"/>
      <name val="Calibri Light"/>
      <family val="2"/>
    </font>
    <font>
      <b/>
      <sz val="13"/>
      <color rgb="FF00CC00"/>
      <name val="Calibri Light"/>
      <family val="2"/>
    </font>
    <font>
      <b/>
      <sz val="13"/>
      <color indexed="17"/>
      <name val="Calibri Light"/>
      <family val="2"/>
    </font>
    <font>
      <b/>
      <sz val="13"/>
      <color indexed="51"/>
      <name val="Calibri Light"/>
      <family val="2"/>
    </font>
    <font>
      <b/>
      <sz val="13"/>
      <color indexed="52"/>
      <name val="Calibri Light"/>
      <family val="2"/>
    </font>
    <font>
      <i/>
      <sz val="18"/>
      <name val="Calibri Light"/>
      <family val="2"/>
    </font>
    <font>
      <sz val="18"/>
      <name val="Calibri Light"/>
      <family val="2"/>
    </font>
    <font>
      <b/>
      <sz val="18"/>
      <name val="Calibri Light"/>
      <family val="2"/>
    </font>
    <font>
      <i/>
      <sz val="18"/>
      <color indexed="17"/>
      <name val="Calibri Light"/>
      <family val="2"/>
    </font>
    <font>
      <b/>
      <sz val="13"/>
      <color indexed="9"/>
      <name val="Calibri Light"/>
      <family val="2"/>
    </font>
    <font>
      <b/>
      <sz val="13"/>
      <color rgb="FFFFC000"/>
      <name val="Calibri Light"/>
      <family val="2"/>
    </font>
    <font>
      <b/>
      <sz val="13"/>
      <color rgb="FFFF0000"/>
      <name val="Calibri Light"/>
      <family val="2"/>
    </font>
    <font>
      <b/>
      <sz val="13"/>
      <color rgb="FF0000FF"/>
      <name val="Calibri Light"/>
      <family val="2"/>
    </font>
    <font>
      <sz val="13"/>
      <color rgb="FFFFC000"/>
      <name val="Calibri Light"/>
      <family val="2"/>
    </font>
    <font>
      <b/>
      <sz val="13"/>
      <color rgb="FF7030A0"/>
      <name val="Calibri Light"/>
      <family val="2"/>
    </font>
    <font>
      <i/>
      <sz val="13"/>
      <name val="Calibri Light"/>
      <family val="2"/>
    </font>
    <font>
      <sz val="12"/>
      <color indexed="17"/>
      <name val="Calibri Light"/>
      <family val="2"/>
    </font>
    <font>
      <sz val="13"/>
      <color indexed="46"/>
      <name val="Calibri Light"/>
      <family val="2"/>
    </font>
    <font>
      <sz val="12"/>
      <color indexed="51"/>
      <name val="Calibri Light"/>
      <family val="2"/>
    </font>
    <font>
      <sz val="13"/>
      <color indexed="52"/>
      <name val="Calibri Light"/>
      <family val="2"/>
    </font>
    <font>
      <sz val="12"/>
      <color indexed="52"/>
      <name val="Calibri Light"/>
      <family val="2"/>
    </font>
    <font>
      <sz val="13"/>
      <color indexed="10"/>
      <name val="Calibri Light"/>
      <family val="2"/>
    </font>
    <font>
      <sz val="12"/>
      <color indexed="46"/>
      <name val="Calibri Light"/>
      <family val="2"/>
    </font>
    <font>
      <b/>
      <sz val="13"/>
      <color indexed="12"/>
      <name val="Calibri Light"/>
      <family val="2"/>
    </font>
    <font>
      <sz val="13"/>
      <color indexed="12"/>
      <name val="Calibri Light"/>
      <family val="2"/>
    </font>
    <font>
      <sz val="12"/>
      <color indexed="10"/>
      <name val="Calibri Light"/>
      <family val="2"/>
    </font>
    <font>
      <sz val="13"/>
      <color indexed="51"/>
      <name val="Calibri Light"/>
      <family val="2"/>
    </font>
    <font>
      <i/>
      <sz val="18"/>
      <color rgb="FF9966FF"/>
      <name val="Calibri Light"/>
      <family val="2"/>
    </font>
    <font>
      <b/>
      <sz val="12"/>
      <color indexed="9"/>
      <name val="Calibri Light"/>
      <family val="2"/>
    </font>
    <font>
      <i/>
      <sz val="12"/>
      <name val="Calibri Light"/>
      <family val="2"/>
    </font>
    <font>
      <i/>
      <sz val="16"/>
      <color indexed="53"/>
      <name val="Calibri Light"/>
      <family val="2"/>
    </font>
    <font>
      <i/>
      <sz val="16"/>
      <color indexed="10"/>
      <name val="Calibri Light"/>
      <family val="2"/>
    </font>
    <font>
      <i/>
      <sz val="18"/>
      <color rgb="FFFF00FF"/>
      <name val="Calibri Light"/>
      <family val="2"/>
    </font>
    <font>
      <i/>
      <sz val="18"/>
      <color indexed="12"/>
      <name val="Calibri Light"/>
      <family val="2"/>
    </font>
    <font>
      <sz val="13"/>
      <color rgb="FFFF0000"/>
      <name val="Calibri Light"/>
      <family val="2"/>
    </font>
    <font>
      <sz val="13"/>
      <color rgb="FF0000FF"/>
      <name val="Calibri Light"/>
      <family val="2"/>
    </font>
    <font>
      <b/>
      <sz val="12"/>
      <color theme="0"/>
      <name val="Calibri Light"/>
      <family val="2"/>
    </font>
    <font>
      <i/>
      <sz val="16"/>
      <color indexed="57"/>
      <name val="Calibri Light"/>
      <family val="2"/>
    </font>
    <font>
      <b/>
      <sz val="12"/>
      <color rgb="FFFFC000"/>
      <name val="Calibri Light"/>
      <family val="2"/>
    </font>
    <font>
      <sz val="12"/>
      <color rgb="FFFFC000"/>
      <name val="Calibri Light"/>
      <family val="2"/>
    </font>
    <font>
      <b/>
      <sz val="12"/>
      <color rgb="FF00B050"/>
      <name val="Calibri Light"/>
      <family val="2"/>
    </font>
    <font>
      <b/>
      <sz val="14"/>
      <name val="Calibri Light"/>
      <family val="2"/>
    </font>
    <font>
      <sz val="14"/>
      <name val="Calibri Light"/>
      <family val="2"/>
    </font>
    <font>
      <i/>
      <sz val="17"/>
      <name val="Calibri Light"/>
      <family val="2"/>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00FF00"/>
        <bgColor indexed="64"/>
      </patternFill>
    </fill>
    <fill>
      <patternFill patternType="solid">
        <fgColor rgb="FFCCFFCC"/>
        <bgColor indexed="64"/>
      </patternFill>
    </fill>
    <fill>
      <patternFill patternType="solid">
        <fgColor rgb="FFCC99FF"/>
        <bgColor indexed="64"/>
      </patternFill>
    </fill>
    <fill>
      <patternFill patternType="solid">
        <fgColor rgb="FFFF00FF"/>
        <bgColor indexed="64"/>
      </patternFill>
    </fill>
    <fill>
      <patternFill patternType="solid">
        <fgColor rgb="FF9966FF"/>
        <bgColor indexed="64"/>
      </patternFill>
    </fill>
    <fill>
      <patternFill patternType="solid">
        <fgColor rgb="FFCC99FF"/>
        <bgColor indexed="55"/>
      </patternFill>
    </fill>
    <fill>
      <patternFill patternType="solid">
        <fgColor rgb="FFFFFF00"/>
        <bgColor indexed="64"/>
      </patternFill>
    </fill>
  </fills>
  <borders count="12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hair">
        <color indexed="64"/>
      </right>
      <top style="hair">
        <color indexed="64"/>
      </top>
      <bottom/>
      <diagonal/>
    </border>
    <border>
      <left/>
      <right style="medium">
        <color auto="1"/>
      </right>
      <top style="thin">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style="double">
        <color indexed="64"/>
      </right>
      <top/>
      <bottom/>
      <diagonal/>
    </border>
    <border>
      <left style="thin">
        <color indexed="64"/>
      </left>
      <right style="double">
        <color indexed="64"/>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s>
  <cellStyleXfs count="14">
    <xf numFmtId="0" fontId="0" fillId="0" borderId="0"/>
    <xf numFmtId="0" fontId="4" fillId="0" borderId="0" applyNumberFormat="0" applyFill="0" applyBorder="0" applyAlignment="0" applyProtection="0">
      <alignment vertical="top"/>
      <protection locked="0"/>
    </xf>
    <xf numFmtId="9" fontId="2" fillId="0" borderId="0" applyFont="0" applyFill="0" applyBorder="0" applyAlignment="0" applyProtection="0"/>
    <xf numFmtId="9" fontId="3" fillId="0" borderId="0" applyFont="0" applyFill="0" applyBorder="0" applyAlignment="0" applyProtection="0"/>
    <xf numFmtId="0" fontId="6" fillId="0" borderId="0"/>
    <xf numFmtId="0" fontId="2" fillId="0" borderId="0"/>
    <xf numFmtId="0" fontId="7" fillId="0" borderId="0"/>
    <xf numFmtId="0" fontId="2" fillId="0" borderId="0"/>
    <xf numFmtId="9" fontId="2" fillId="0" borderId="0" applyFont="0" applyFill="0" applyBorder="0" applyAlignment="0" applyProtection="0"/>
    <xf numFmtId="0" fontId="2" fillId="0" borderId="0"/>
    <xf numFmtId="0" fontId="6" fillId="0" borderId="0"/>
    <xf numFmtId="0" fontId="2" fillId="0" borderId="0"/>
    <xf numFmtId="0" fontId="1" fillId="0" borderId="0"/>
    <xf numFmtId="0" fontId="2" fillId="0" borderId="0"/>
  </cellStyleXfs>
  <cellXfs count="487">
    <xf numFmtId="0" fontId="0" fillId="0" borderId="0" xfId="0"/>
    <xf numFmtId="0" fontId="10" fillId="0" borderId="0" xfId="0" applyFont="1" applyAlignment="1">
      <alignment vertical="center"/>
    </xf>
    <xf numFmtId="0" fontId="11" fillId="2" borderId="64" xfId="0" applyFont="1" applyFill="1" applyBorder="1" applyAlignment="1">
      <alignment horizontal="right" vertical="center"/>
    </xf>
    <xf numFmtId="0" fontId="11" fillId="2" borderId="65" xfId="0" applyFont="1" applyFill="1" applyBorder="1" applyAlignment="1">
      <alignment horizontal="left" vertical="center"/>
    </xf>
    <xf numFmtId="0" fontId="12" fillId="2" borderId="65" xfId="0" applyFont="1" applyFill="1" applyBorder="1" applyAlignment="1">
      <alignment horizontal="left" vertical="center"/>
    </xf>
    <xf numFmtId="0" fontId="13" fillId="2" borderId="65" xfId="0" applyFont="1" applyFill="1" applyBorder="1" applyAlignment="1">
      <alignment horizontal="centerContinuous" vertical="center"/>
    </xf>
    <xf numFmtId="0" fontId="14" fillId="2" borderId="65" xfId="0" applyFont="1" applyFill="1" applyBorder="1" applyAlignment="1">
      <alignment horizontal="center" vertical="center"/>
    </xf>
    <xf numFmtId="0" fontId="15" fillId="2" borderId="66" xfId="1" applyFont="1" applyFill="1" applyBorder="1" applyAlignment="1" applyProtection="1">
      <alignment horizontal="right" vertical="center"/>
    </xf>
    <xf numFmtId="0" fontId="16" fillId="0" borderId="0" xfId="0" applyFont="1" applyAlignment="1">
      <alignment vertical="center"/>
    </xf>
    <xf numFmtId="0" fontId="17" fillId="0" borderId="1" xfId="0" applyFont="1" applyBorder="1" applyAlignment="1">
      <alignment horizontal="right" vertical="center"/>
    </xf>
    <xf numFmtId="0" fontId="18" fillId="0" borderId="0" xfId="0" applyFont="1" applyAlignment="1">
      <alignment horizontal="centerContinuous" vertical="center"/>
    </xf>
    <xf numFmtId="0" fontId="17" fillId="0" borderId="0" xfId="0" applyFont="1" applyAlignment="1">
      <alignment horizontal="right" vertical="center"/>
    </xf>
    <xf numFmtId="0" fontId="18" fillId="0" borderId="0" xfId="0" applyFont="1" applyAlignment="1">
      <alignment horizontal="center" vertical="center"/>
    </xf>
    <xf numFmtId="0" fontId="18" fillId="0" borderId="2" xfId="0" applyFont="1" applyBorder="1" applyAlignment="1">
      <alignment horizontal="left" vertical="center"/>
    </xf>
    <xf numFmtId="0" fontId="16" fillId="0" borderId="0" xfId="0" applyFont="1" applyAlignment="1">
      <alignment horizontal="centerContinuous" vertical="center"/>
    </xf>
    <xf numFmtId="0" fontId="17" fillId="4" borderId="69" xfId="0" applyFont="1" applyFill="1" applyBorder="1" applyAlignment="1">
      <alignment horizontal="right" vertical="center"/>
    </xf>
    <xf numFmtId="1" fontId="18" fillId="0" borderId="70" xfId="0" applyNumberFormat="1" applyFont="1" applyBorder="1" applyAlignment="1">
      <alignment horizontal="centerContinuous" vertical="center"/>
    </xf>
    <xf numFmtId="0" fontId="16" fillId="0" borderId="71" xfId="0" applyFont="1" applyBorder="1" applyAlignment="1">
      <alignment horizontal="centerContinuous" vertical="center"/>
    </xf>
    <xf numFmtId="0" fontId="17" fillId="4" borderId="91" xfId="0" applyFont="1" applyFill="1" applyBorder="1" applyAlignment="1">
      <alignment horizontal="right" vertical="center"/>
    </xf>
    <xf numFmtId="49" fontId="18" fillId="0" borderId="78" xfId="0" applyNumberFormat="1" applyFont="1" applyBorder="1" applyAlignment="1">
      <alignment horizontal="center" vertical="center"/>
    </xf>
    <xf numFmtId="0" fontId="18" fillId="0" borderId="0" xfId="0" applyFont="1" applyAlignment="1">
      <alignment horizontal="left" vertical="center"/>
    </xf>
    <xf numFmtId="0" fontId="17" fillId="4" borderId="11" xfId="0" applyFont="1" applyFill="1" applyBorder="1" applyAlignment="1">
      <alignment horizontal="right" vertical="center"/>
    </xf>
    <xf numFmtId="1" fontId="18" fillId="0" borderId="26" xfId="0" applyNumberFormat="1" applyFont="1" applyBorder="1" applyAlignment="1">
      <alignment horizontal="centerContinuous" vertical="center"/>
    </xf>
    <xf numFmtId="1" fontId="18" fillId="0" borderId="101" xfId="0" applyNumberFormat="1" applyFont="1" applyBorder="1" applyAlignment="1">
      <alignment horizontal="centerContinuous" vertical="center"/>
    </xf>
    <xf numFmtId="0" fontId="17" fillId="4" borderId="32" xfId="0" applyFont="1" applyFill="1" applyBorder="1" applyAlignment="1">
      <alignment horizontal="right" vertical="center"/>
    </xf>
    <xf numFmtId="3" fontId="18" fillId="0" borderId="12" xfId="0" applyNumberFormat="1" applyFont="1" applyBorder="1" applyAlignment="1">
      <alignment horizontal="center" vertical="center"/>
    </xf>
    <xf numFmtId="0" fontId="19" fillId="2" borderId="13" xfId="0" applyFont="1" applyFill="1" applyBorder="1" applyAlignment="1">
      <alignment horizontal="right" vertical="center"/>
    </xf>
    <xf numFmtId="0" fontId="18" fillId="0" borderId="14" xfId="0" applyFont="1" applyBorder="1" applyAlignment="1">
      <alignment horizontal="center" vertical="center"/>
    </xf>
    <xf numFmtId="0" fontId="20" fillId="0" borderId="14" xfId="0" applyFont="1" applyBorder="1" applyAlignment="1">
      <alignment horizontal="center" vertical="center"/>
    </xf>
    <xf numFmtId="0" fontId="19" fillId="4" borderId="54" xfId="0" applyFont="1" applyFill="1" applyBorder="1" applyAlignment="1">
      <alignment horizontal="right" vertical="center"/>
    </xf>
    <xf numFmtId="49" fontId="21" fillId="0" borderId="35" xfId="0" applyNumberFormat="1" applyFont="1" applyBorder="1" applyAlignment="1">
      <alignment horizontal="center" shrinkToFit="1"/>
    </xf>
    <xf numFmtId="0" fontId="22" fillId="2" borderId="4" xfId="0" applyFont="1" applyFill="1" applyBorder="1" applyAlignment="1">
      <alignment horizontal="right" vertical="center"/>
    </xf>
    <xf numFmtId="0" fontId="18" fillId="0" borderId="3" xfId="0" quotePrefix="1" applyFont="1" applyBorder="1" applyAlignment="1">
      <alignment horizontal="center" vertical="center"/>
    </xf>
    <xf numFmtId="49" fontId="20" fillId="0" borderId="14" xfId="0" applyNumberFormat="1" applyFont="1" applyBorder="1" applyAlignment="1">
      <alignment horizontal="center" vertical="center"/>
    </xf>
    <xf numFmtId="0" fontId="19" fillId="4" borderId="52" xfId="0" applyFont="1" applyFill="1" applyBorder="1" applyAlignment="1">
      <alignment horizontal="right" vertical="center"/>
    </xf>
    <xf numFmtId="164" fontId="17" fillId="8" borderId="31" xfId="0" applyNumberFormat="1" applyFont="1" applyFill="1" applyBorder="1" applyAlignment="1">
      <alignment horizontal="center" vertical="center"/>
    </xf>
    <xf numFmtId="0" fontId="23" fillId="2" borderId="4" xfId="0" applyFont="1" applyFill="1" applyBorder="1" applyAlignment="1">
      <alignment horizontal="right" vertical="center"/>
    </xf>
    <xf numFmtId="49" fontId="20" fillId="0" borderId="3" xfId="0" applyNumberFormat="1" applyFont="1" applyBorder="1" applyAlignment="1">
      <alignment horizontal="center" vertical="center"/>
    </xf>
    <xf numFmtId="0" fontId="17" fillId="0" borderId="30" xfId="0" applyFont="1" applyBorder="1" applyAlignment="1">
      <alignment horizontal="center" vertical="center"/>
    </xf>
    <xf numFmtId="0" fontId="24" fillId="2" borderId="4" xfId="0" applyFont="1" applyFill="1" applyBorder="1" applyAlignment="1">
      <alignment horizontal="right" vertical="center"/>
    </xf>
    <xf numFmtId="0" fontId="25" fillId="4" borderId="52" xfId="0" applyFont="1" applyFill="1" applyBorder="1" applyAlignment="1">
      <alignment horizontal="right" vertical="center"/>
    </xf>
    <xf numFmtId="49" fontId="18" fillId="0" borderId="30" xfId="0" applyNumberFormat="1" applyFont="1" applyBorder="1" applyAlignment="1">
      <alignment horizontal="center" vertical="center"/>
    </xf>
    <xf numFmtId="0" fontId="26" fillId="2" borderId="4" xfId="0" applyFont="1" applyFill="1" applyBorder="1" applyAlignment="1">
      <alignment horizontal="right" vertical="center"/>
    </xf>
    <xf numFmtId="0" fontId="18" fillId="0" borderId="3" xfId="0" applyFont="1" applyBorder="1" applyAlignment="1">
      <alignment horizontal="center" vertical="center"/>
    </xf>
    <xf numFmtId="0" fontId="27" fillId="2" borderId="15" xfId="0" applyFont="1" applyFill="1" applyBorder="1" applyAlignment="1">
      <alignment horizontal="right" vertical="center"/>
    </xf>
    <xf numFmtId="0" fontId="18" fillId="18" borderId="26" xfId="0" quotePrefix="1" applyFont="1" applyFill="1" applyBorder="1" applyAlignment="1">
      <alignment horizontal="center" vertical="center"/>
    </xf>
    <xf numFmtId="0" fontId="20" fillId="0" borderId="26" xfId="0" applyFont="1" applyBorder="1" applyAlignment="1">
      <alignment horizontal="center" vertical="center"/>
    </xf>
    <xf numFmtId="0" fontId="25" fillId="4" borderId="53" xfId="0" applyFont="1" applyFill="1" applyBorder="1" applyAlignment="1">
      <alignment horizontal="right" vertical="center"/>
    </xf>
    <xf numFmtId="49" fontId="18" fillId="0" borderId="12" xfId="0" applyNumberFormat="1" applyFont="1" applyBorder="1" applyAlignment="1">
      <alignment horizontal="center" vertical="center"/>
    </xf>
    <xf numFmtId="0" fontId="28" fillId="0" borderId="1" xfId="0" applyFont="1" applyBorder="1" applyAlignment="1">
      <alignment vertical="center"/>
    </xf>
    <xf numFmtId="0" fontId="29" fillId="0" borderId="0" xfId="0" applyFont="1" applyAlignment="1">
      <alignment vertical="center"/>
    </xf>
    <xf numFmtId="0" fontId="30" fillId="0" borderId="0" xfId="0" applyFont="1" applyAlignment="1">
      <alignment vertical="center"/>
    </xf>
    <xf numFmtId="49" fontId="30" fillId="0" borderId="0" xfId="0" applyNumberFormat="1" applyFont="1" applyAlignment="1">
      <alignment vertical="center"/>
    </xf>
    <xf numFmtId="0" fontId="30" fillId="0" borderId="2"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3" fillId="0" borderId="0" xfId="0" applyFont="1" applyAlignment="1">
      <alignment vertical="center"/>
    </xf>
    <xf numFmtId="0" fontId="18" fillId="0" borderId="1" xfId="0" applyFont="1" applyBorder="1" applyAlignment="1">
      <alignment vertical="center"/>
    </xf>
    <xf numFmtId="0" fontId="18" fillId="0" borderId="0" xfId="0" applyFont="1" applyAlignment="1">
      <alignment vertical="center"/>
    </xf>
    <xf numFmtId="0" fontId="18" fillId="0" borderId="2"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13" fillId="0" borderId="0" xfId="0" applyFont="1" applyAlignment="1">
      <alignment horizontal="right" vertical="center"/>
    </xf>
    <xf numFmtId="0" fontId="16" fillId="0" borderId="0" xfId="0" applyFont="1" applyAlignment="1">
      <alignment horizontal="left" vertical="center"/>
    </xf>
    <xf numFmtId="0" fontId="31" fillId="0" borderId="25" xfId="0" applyFont="1" applyBorder="1" applyAlignment="1">
      <alignment horizontal="centerContinuous" vertical="center"/>
    </xf>
    <xf numFmtId="0" fontId="30" fillId="0" borderId="0" xfId="0" applyFont="1" applyAlignment="1">
      <alignment horizontal="centerContinuous" vertical="center"/>
    </xf>
    <xf numFmtId="0" fontId="32" fillId="3" borderId="67" xfId="0" applyFont="1" applyFill="1" applyBorder="1" applyAlignment="1">
      <alignment horizontal="centerContinuous" vertical="center"/>
    </xf>
    <xf numFmtId="0" fontId="32" fillId="3" borderId="39" xfId="0" applyFont="1" applyFill="1" applyBorder="1" applyAlignment="1">
      <alignment horizontal="center" vertical="center"/>
    </xf>
    <xf numFmtId="0" fontId="32" fillId="3" borderId="39" xfId="0" applyFont="1" applyFill="1" applyBorder="1" applyAlignment="1">
      <alignment horizontal="center" vertical="center" wrapText="1"/>
    </xf>
    <xf numFmtId="0" fontId="33" fillId="13" borderId="38" xfId="0" applyFont="1" applyFill="1" applyBorder="1" applyAlignment="1">
      <alignment horizontal="center" vertical="center" wrapText="1"/>
    </xf>
    <xf numFmtId="0" fontId="32" fillId="3" borderId="68" xfId="0" applyFont="1" applyFill="1" applyBorder="1" applyAlignment="1">
      <alignment horizontal="center" vertical="center"/>
    </xf>
    <xf numFmtId="0" fontId="34" fillId="0" borderId="1" xfId="0" applyFont="1" applyBorder="1" applyAlignment="1">
      <alignment vertical="center"/>
    </xf>
    <xf numFmtId="0" fontId="17" fillId="0" borderId="27" xfId="0" applyFont="1" applyBorder="1" applyAlignment="1">
      <alignment horizontal="center" vertical="center"/>
    </xf>
    <xf numFmtId="0" fontId="18" fillId="0" borderId="27" xfId="0" applyFont="1" applyBorder="1" applyAlignment="1">
      <alignment horizontal="center" vertical="center"/>
    </xf>
    <xf numFmtId="0" fontId="35" fillId="0" borderId="27" xfId="0" applyFont="1" applyBorder="1" applyAlignment="1">
      <alignment horizontal="center" vertical="center" wrapText="1"/>
    </xf>
    <xf numFmtId="0" fontId="18" fillId="0" borderId="27" xfId="0" applyFont="1" applyBorder="1" applyAlignment="1">
      <alignment horizontal="center" vertical="center" wrapText="1"/>
    </xf>
    <xf numFmtId="1" fontId="18" fillId="0" borderId="27" xfId="0" applyNumberFormat="1" applyFont="1" applyBorder="1" applyAlignment="1">
      <alignment horizontal="center" vertical="center" wrapText="1"/>
    </xf>
    <xf numFmtId="0" fontId="36" fillId="13" borderId="28" xfId="0" applyFont="1" applyFill="1" applyBorder="1" applyAlignment="1">
      <alignment horizontal="center" vertical="center"/>
    </xf>
    <xf numFmtId="0" fontId="18" fillId="0" borderId="29" xfId="0" quotePrefix="1" applyFont="1" applyBorder="1" applyAlignment="1">
      <alignment horizontal="center" vertical="center"/>
    </xf>
    <xf numFmtId="0" fontId="37" fillId="0" borderId="1" xfId="0" applyFont="1" applyBorder="1" applyAlignment="1">
      <alignment vertical="center"/>
    </xf>
    <xf numFmtId="0" fontId="22" fillId="0" borderId="28" xfId="0" applyFont="1" applyBorder="1" applyAlignment="1">
      <alignment horizontal="center" vertical="center"/>
    </xf>
    <xf numFmtId="0" fontId="35" fillId="0" borderId="34" xfId="0" applyFont="1" applyBorder="1" applyAlignment="1">
      <alignment vertical="center"/>
    </xf>
    <xf numFmtId="0" fontId="17" fillId="0" borderId="48" xfId="0" applyFont="1" applyBorder="1" applyAlignment="1">
      <alignment horizontal="center" vertical="center"/>
    </xf>
    <xf numFmtId="0" fontId="18" fillId="0" borderId="48" xfId="0" applyFont="1" applyBorder="1" applyAlignment="1">
      <alignment horizontal="center" vertical="center"/>
    </xf>
    <xf numFmtId="0" fontId="33" fillId="0" borderId="48" xfId="0" applyFont="1" applyBorder="1" applyAlignment="1">
      <alignment horizontal="center" vertical="center" wrapText="1"/>
    </xf>
    <xf numFmtId="0" fontId="18" fillId="0" borderId="48" xfId="0" applyFont="1" applyBorder="1" applyAlignment="1">
      <alignment horizontal="center" vertical="center" wrapText="1"/>
    </xf>
    <xf numFmtId="1" fontId="18" fillId="0" borderId="48" xfId="0" applyNumberFormat="1" applyFont="1" applyBorder="1" applyAlignment="1">
      <alignment horizontal="center" vertical="center" wrapText="1"/>
    </xf>
    <xf numFmtId="0" fontId="36" fillId="13" borderId="48" xfId="0" applyFont="1" applyFill="1" applyBorder="1" applyAlignment="1">
      <alignment horizontal="center" vertical="center"/>
    </xf>
    <xf numFmtId="0" fontId="18" fillId="0" borderId="35" xfId="0" quotePrefix="1" applyFont="1" applyBorder="1" applyAlignment="1">
      <alignment horizontal="center" vertical="center"/>
    </xf>
    <xf numFmtId="0" fontId="25" fillId="0" borderId="1" xfId="0" applyFont="1" applyBorder="1" applyAlignment="1">
      <alignment vertical="center"/>
    </xf>
    <xf numFmtId="49" fontId="21" fillId="0" borderId="27" xfId="0" applyNumberFormat="1" applyFont="1" applyBorder="1" applyAlignment="1">
      <alignment horizontal="center" vertical="center"/>
    </xf>
    <xf numFmtId="0" fontId="21" fillId="0" borderId="28" xfId="0" applyFont="1" applyBorder="1" applyAlignment="1">
      <alignment horizontal="center" vertical="center"/>
    </xf>
    <xf numFmtId="0" fontId="25" fillId="0" borderId="28" xfId="0" applyFont="1" applyBorder="1" applyAlignment="1">
      <alignment horizontal="center" vertical="center"/>
    </xf>
    <xf numFmtId="0" fontId="18" fillId="0" borderId="28" xfId="0" applyFont="1" applyBorder="1" applyAlignment="1">
      <alignment horizontal="center" vertical="center"/>
    </xf>
    <xf numFmtId="49" fontId="18" fillId="0" borderId="28" xfId="0" applyNumberFormat="1" applyFont="1" applyBorder="1" applyAlignment="1">
      <alignment horizontal="center" vertical="center"/>
    </xf>
    <xf numFmtId="0" fontId="18" fillId="0" borderId="29" xfId="0" applyFont="1" applyBorder="1" applyAlignment="1">
      <alignment horizontal="center" vertical="center"/>
    </xf>
    <xf numFmtId="0" fontId="39" fillId="0" borderId="0" xfId="0" applyFont="1" applyAlignment="1">
      <alignment vertical="center"/>
    </xf>
    <xf numFmtId="0" fontId="22" fillId="0" borderId="1" xfId="0" applyFont="1" applyBorder="1" applyAlignment="1">
      <alignment vertical="center"/>
    </xf>
    <xf numFmtId="49" fontId="40" fillId="0" borderId="27" xfId="0" applyNumberFormat="1" applyFont="1" applyBorder="1" applyAlignment="1">
      <alignment horizontal="center" vertical="center"/>
    </xf>
    <xf numFmtId="0" fontId="40" fillId="0" borderId="28" xfId="0" applyFont="1" applyBorder="1" applyAlignment="1">
      <alignment horizontal="center" vertical="center"/>
    </xf>
    <xf numFmtId="0" fontId="41" fillId="0" borderId="0" xfId="0" applyFont="1" applyAlignment="1">
      <alignment vertical="center"/>
    </xf>
    <xf numFmtId="0" fontId="27" fillId="15" borderId="1" xfId="0" applyFont="1" applyFill="1" applyBorder="1" applyAlignment="1">
      <alignment vertical="center"/>
    </xf>
    <xf numFmtId="0" fontId="18" fillId="15" borderId="27" xfId="0" applyFont="1" applyFill="1" applyBorder="1" applyAlignment="1">
      <alignment horizontal="center" vertical="center"/>
    </xf>
    <xf numFmtId="49" fontId="42" fillId="15" borderId="27" xfId="0" applyNumberFormat="1" applyFont="1" applyFill="1" applyBorder="1" applyAlignment="1">
      <alignment horizontal="center" vertical="center"/>
    </xf>
    <xf numFmtId="0" fontId="42" fillId="15" borderId="28" xfId="0" applyFont="1" applyFill="1" applyBorder="1" applyAlignment="1">
      <alignment horizontal="center" vertical="center"/>
    </xf>
    <xf numFmtId="0" fontId="27" fillId="15" borderId="28" xfId="0" applyFont="1" applyFill="1" applyBorder="1" applyAlignment="1">
      <alignment horizontal="center" vertical="center"/>
    </xf>
    <xf numFmtId="49" fontId="18" fillId="17" borderId="28" xfId="0" applyNumberFormat="1" applyFont="1" applyFill="1" applyBorder="1" applyAlignment="1">
      <alignment horizontal="center" vertical="center"/>
    </xf>
    <xf numFmtId="49" fontId="18" fillId="15" borderId="28" xfId="0" applyNumberFormat="1" applyFont="1" applyFill="1" applyBorder="1" applyAlignment="1">
      <alignment horizontal="center" vertical="center"/>
    </xf>
    <xf numFmtId="0" fontId="18" fillId="15" borderId="29" xfId="0" applyFont="1" applyFill="1" applyBorder="1" applyAlignment="1">
      <alignment horizontal="center" vertical="center"/>
    </xf>
    <xf numFmtId="0" fontId="43" fillId="0" borderId="0" xfId="0" applyFont="1" applyAlignment="1">
      <alignment vertical="center"/>
    </xf>
    <xf numFmtId="0" fontId="19" fillId="0" borderId="1" xfId="0" applyFont="1" applyBorder="1" applyAlignment="1">
      <alignment vertical="center"/>
    </xf>
    <xf numFmtId="49" fontId="44" fillId="0" borderId="27" xfId="0" applyNumberFormat="1" applyFont="1" applyBorder="1" applyAlignment="1">
      <alignment horizontal="center" vertical="center"/>
    </xf>
    <xf numFmtId="0" fontId="44" fillId="0" borderId="28" xfId="0" applyFont="1" applyBorder="1" applyAlignment="1">
      <alignment horizontal="center" vertical="center"/>
    </xf>
    <xf numFmtId="0" fontId="19" fillId="0" borderId="28" xfId="0" applyFont="1" applyBorder="1" applyAlignment="1">
      <alignment horizontal="center" vertical="center"/>
    </xf>
    <xf numFmtId="0" fontId="45" fillId="0" borderId="0" xfId="0" applyFont="1" applyAlignment="1">
      <alignment vertical="center"/>
    </xf>
    <xf numFmtId="0" fontId="46" fillId="17" borderId="1" xfId="0" applyFont="1" applyFill="1" applyBorder="1" applyAlignment="1">
      <alignment vertical="center"/>
    </xf>
    <xf numFmtId="0" fontId="18" fillId="17" borderId="27" xfId="0" applyFont="1" applyFill="1" applyBorder="1" applyAlignment="1">
      <alignment horizontal="center" vertical="center"/>
    </xf>
    <xf numFmtId="49" fontId="47" fillId="17" borderId="27" xfId="0" applyNumberFormat="1" applyFont="1" applyFill="1" applyBorder="1" applyAlignment="1">
      <alignment horizontal="center" vertical="center"/>
    </xf>
    <xf numFmtId="0" fontId="47" fillId="17" borderId="28" xfId="0" applyFont="1" applyFill="1" applyBorder="1" applyAlignment="1">
      <alignment horizontal="center" vertical="center"/>
    </xf>
    <xf numFmtId="0" fontId="46" fillId="17" borderId="28" xfId="0" applyFont="1" applyFill="1" applyBorder="1" applyAlignment="1">
      <alignment horizontal="center" vertical="center"/>
    </xf>
    <xf numFmtId="0" fontId="18" fillId="17" borderId="29" xfId="0" applyFont="1" applyFill="1" applyBorder="1" applyAlignment="1">
      <alignment horizontal="center" vertical="center"/>
    </xf>
    <xf numFmtId="0" fontId="48" fillId="0" borderId="0" xfId="0" applyFont="1" applyAlignment="1">
      <alignment vertical="center"/>
    </xf>
    <xf numFmtId="0" fontId="18" fillId="17" borderId="28" xfId="0" applyFont="1" applyFill="1" applyBorder="1" applyAlignment="1">
      <alignment horizontal="center" vertical="center"/>
    </xf>
    <xf numFmtId="0" fontId="25" fillId="5" borderId="1" xfId="0" applyFont="1" applyFill="1" applyBorder="1" applyAlignment="1">
      <alignment vertical="center"/>
    </xf>
    <xf numFmtId="0" fontId="18" fillId="5" borderId="27" xfId="0" applyFont="1" applyFill="1" applyBorder="1" applyAlignment="1">
      <alignment horizontal="center" vertical="center"/>
    </xf>
    <xf numFmtId="49" fontId="21" fillId="5" borderId="27" xfId="0" applyNumberFormat="1" applyFont="1" applyFill="1" applyBorder="1" applyAlignment="1">
      <alignment horizontal="center" vertical="center"/>
    </xf>
    <xf numFmtId="0" fontId="21" fillId="5" borderId="28" xfId="0" applyFont="1" applyFill="1" applyBorder="1" applyAlignment="1">
      <alignment horizontal="center" vertical="center"/>
    </xf>
    <xf numFmtId="0" fontId="25" fillId="5" borderId="28" xfId="0" applyFont="1" applyFill="1" applyBorder="1" applyAlignment="1">
      <alignment horizontal="center" vertical="center"/>
    </xf>
    <xf numFmtId="49" fontId="18" fillId="5" borderId="28" xfId="0" applyNumberFormat="1" applyFont="1" applyFill="1" applyBorder="1" applyAlignment="1">
      <alignment horizontal="center" vertical="center"/>
    </xf>
    <xf numFmtId="0" fontId="18" fillId="5" borderId="29" xfId="0" applyFont="1" applyFill="1" applyBorder="1" applyAlignment="1">
      <alignment horizontal="center" vertical="center"/>
    </xf>
    <xf numFmtId="0" fontId="27" fillId="0" borderId="1" xfId="0" applyFont="1" applyBorder="1" applyAlignment="1">
      <alignment vertical="center"/>
    </xf>
    <xf numFmtId="49" fontId="42" fillId="0" borderId="27" xfId="0" applyNumberFormat="1" applyFont="1" applyBorder="1" applyAlignment="1">
      <alignment horizontal="center" vertical="center"/>
    </xf>
    <xf numFmtId="0" fontId="42" fillId="0" borderId="28" xfId="0" applyFont="1" applyBorder="1" applyAlignment="1">
      <alignment horizontal="center" vertical="center"/>
    </xf>
    <xf numFmtId="0" fontId="27" fillId="0" borderId="28" xfId="0" applyFont="1" applyBorder="1" applyAlignment="1">
      <alignment horizontal="center" vertical="center"/>
    </xf>
    <xf numFmtId="0" fontId="25" fillId="6" borderId="1" xfId="0" applyFont="1" applyFill="1" applyBorder="1" applyAlignment="1">
      <alignment vertical="center"/>
    </xf>
    <xf numFmtId="0" fontId="18" fillId="6" borderId="27" xfId="0" applyFont="1" applyFill="1" applyBorder="1" applyAlignment="1">
      <alignment horizontal="center" vertical="center"/>
    </xf>
    <xf numFmtId="49" fontId="21" fillId="6" borderId="27" xfId="0" applyNumberFormat="1" applyFont="1" applyFill="1" applyBorder="1" applyAlignment="1">
      <alignment horizontal="center" vertical="center"/>
    </xf>
    <xf numFmtId="0" fontId="21" fillId="6" borderId="28" xfId="0" applyFont="1" applyFill="1" applyBorder="1" applyAlignment="1">
      <alignment horizontal="center" vertical="center"/>
    </xf>
    <xf numFmtId="0" fontId="25" fillId="6" borderId="28" xfId="0" applyFont="1" applyFill="1" applyBorder="1" applyAlignment="1">
      <alignment horizontal="center" vertical="center"/>
    </xf>
    <xf numFmtId="49" fontId="18" fillId="6" borderId="28" xfId="0" applyNumberFormat="1" applyFont="1" applyFill="1" applyBorder="1" applyAlignment="1">
      <alignment horizontal="center" vertical="center"/>
    </xf>
    <xf numFmtId="0" fontId="18" fillId="6" borderId="29" xfId="0" applyFont="1" applyFill="1" applyBorder="1" applyAlignment="1">
      <alignment horizontal="center" vertical="center"/>
    </xf>
    <xf numFmtId="0" fontId="26" fillId="0" borderId="1" xfId="0" applyFont="1" applyBorder="1" applyAlignment="1">
      <alignment vertical="center"/>
    </xf>
    <xf numFmtId="49" fontId="49" fillId="0" borderId="27" xfId="0" applyNumberFormat="1" applyFont="1" applyBorder="1" applyAlignment="1">
      <alignment horizontal="center" vertical="center"/>
    </xf>
    <xf numFmtId="0" fontId="49" fillId="0" borderId="28" xfId="0" applyFont="1" applyBorder="1" applyAlignment="1">
      <alignment horizontal="center" vertical="center"/>
    </xf>
    <xf numFmtId="0" fontId="26" fillId="0" borderId="28" xfId="0" applyFont="1" applyBorder="1" applyAlignment="1">
      <alignment horizontal="center" vertical="center"/>
    </xf>
    <xf numFmtId="0" fontId="25" fillId="7" borderId="1" xfId="0" applyFont="1" applyFill="1" applyBorder="1" applyAlignment="1">
      <alignment vertical="center"/>
    </xf>
    <xf numFmtId="0" fontId="18" fillId="7" borderId="27" xfId="0" applyFont="1" applyFill="1" applyBorder="1" applyAlignment="1">
      <alignment horizontal="center" vertical="center"/>
    </xf>
    <xf numFmtId="49" fontId="21" fillId="7" borderId="27" xfId="0" applyNumberFormat="1" applyFont="1" applyFill="1" applyBorder="1" applyAlignment="1">
      <alignment horizontal="center" vertical="center"/>
    </xf>
    <xf numFmtId="0" fontId="21" fillId="7" borderId="28" xfId="0" applyFont="1" applyFill="1" applyBorder="1" applyAlignment="1">
      <alignment horizontal="center" vertical="center"/>
    </xf>
    <xf numFmtId="0" fontId="25" fillId="7" borderId="28" xfId="0" applyFont="1" applyFill="1" applyBorder="1" applyAlignment="1">
      <alignment horizontal="center" vertical="center"/>
    </xf>
    <xf numFmtId="0" fontId="18" fillId="15" borderId="28" xfId="0" applyFont="1" applyFill="1" applyBorder="1" applyAlignment="1">
      <alignment horizontal="center" vertical="center"/>
    </xf>
    <xf numFmtId="49" fontId="18" fillId="7" borderId="28" xfId="0" applyNumberFormat="1" applyFont="1" applyFill="1" applyBorder="1" applyAlignment="1">
      <alignment horizontal="center" vertical="center"/>
    </xf>
    <xf numFmtId="0" fontId="18" fillId="7" borderId="29" xfId="0" applyFont="1" applyFill="1" applyBorder="1" applyAlignment="1">
      <alignment horizontal="center" vertical="center"/>
    </xf>
    <xf numFmtId="0" fontId="25" fillId="18" borderId="1" xfId="0" applyFont="1" applyFill="1" applyBorder="1" applyAlignment="1">
      <alignment vertical="center"/>
    </xf>
    <xf numFmtId="0" fontId="18" fillId="18" borderId="27" xfId="0" applyFont="1" applyFill="1" applyBorder="1" applyAlignment="1">
      <alignment horizontal="center" vertical="center"/>
    </xf>
    <xf numFmtId="49" fontId="21" fillId="18" borderId="27" xfId="0" applyNumberFormat="1" applyFont="1" applyFill="1" applyBorder="1" applyAlignment="1">
      <alignment horizontal="center" vertical="center"/>
    </xf>
    <xf numFmtId="0" fontId="21" fillId="18" borderId="28" xfId="0" applyFont="1" applyFill="1" applyBorder="1" applyAlignment="1">
      <alignment horizontal="center" vertical="center"/>
    </xf>
    <xf numFmtId="0" fontId="25" fillId="18" borderId="28" xfId="0" applyFont="1" applyFill="1" applyBorder="1" applyAlignment="1">
      <alignment horizontal="center" vertical="center"/>
    </xf>
    <xf numFmtId="0" fontId="18" fillId="21" borderId="28" xfId="0" applyFont="1" applyFill="1" applyBorder="1" applyAlignment="1">
      <alignment horizontal="center" vertical="center"/>
    </xf>
    <xf numFmtId="49" fontId="18" fillId="18" borderId="28" xfId="0" applyNumberFormat="1" applyFont="1" applyFill="1" applyBorder="1" applyAlignment="1">
      <alignment horizontal="center" vertical="center"/>
    </xf>
    <xf numFmtId="0" fontId="18" fillId="18" borderId="29" xfId="0" applyFont="1" applyFill="1" applyBorder="1" applyAlignment="1">
      <alignment horizontal="center" vertical="center"/>
    </xf>
    <xf numFmtId="0" fontId="26" fillId="15" borderId="1" xfId="0" applyFont="1" applyFill="1" applyBorder="1" applyAlignment="1">
      <alignment vertical="center"/>
    </xf>
    <xf numFmtId="49" fontId="49" fillId="15" borderId="27" xfId="0" applyNumberFormat="1" applyFont="1" applyFill="1" applyBorder="1" applyAlignment="1">
      <alignment horizontal="center" vertical="center"/>
    </xf>
    <xf numFmtId="0" fontId="49" fillId="15" borderId="28" xfId="0" applyFont="1" applyFill="1" applyBorder="1" applyAlignment="1">
      <alignment horizontal="center" vertical="center"/>
    </xf>
    <xf numFmtId="0" fontId="26" fillId="15" borderId="28" xfId="0" applyFont="1" applyFill="1" applyBorder="1" applyAlignment="1">
      <alignment horizontal="center" vertical="center"/>
    </xf>
    <xf numFmtId="0" fontId="22" fillId="5" borderId="1" xfId="0" applyFont="1" applyFill="1" applyBorder="1" applyAlignment="1">
      <alignment vertical="center"/>
    </xf>
    <xf numFmtId="49" fontId="40" fillId="5" borderId="27" xfId="0" applyNumberFormat="1" applyFont="1" applyFill="1" applyBorder="1" applyAlignment="1">
      <alignment horizontal="center" vertical="center"/>
    </xf>
    <xf numFmtId="0" fontId="40" fillId="5" borderId="28" xfId="0" applyFont="1" applyFill="1" applyBorder="1" applyAlignment="1">
      <alignment horizontal="center" vertical="center"/>
    </xf>
    <xf numFmtId="0" fontId="22" fillId="5" borderId="28" xfId="0" applyFont="1" applyFill="1" applyBorder="1" applyAlignment="1">
      <alignment horizontal="center" vertical="center"/>
    </xf>
    <xf numFmtId="0" fontId="22" fillId="9" borderId="1" xfId="0" applyFont="1" applyFill="1" applyBorder="1" applyAlignment="1">
      <alignment vertical="center"/>
    </xf>
    <xf numFmtId="0" fontId="18" fillId="9" borderId="27" xfId="0" applyFont="1" applyFill="1" applyBorder="1" applyAlignment="1">
      <alignment horizontal="center" vertical="center"/>
    </xf>
    <xf numFmtId="49" fontId="40" fillId="9" borderId="27" xfId="0" applyNumberFormat="1" applyFont="1" applyFill="1" applyBorder="1" applyAlignment="1">
      <alignment horizontal="center" vertical="center"/>
    </xf>
    <xf numFmtId="0" fontId="40" fillId="9" borderId="28" xfId="0" applyFont="1" applyFill="1" applyBorder="1" applyAlignment="1">
      <alignment horizontal="center" vertical="center"/>
    </xf>
    <xf numFmtId="0" fontId="22" fillId="9" borderId="28" xfId="0" applyFont="1" applyFill="1" applyBorder="1" applyAlignment="1">
      <alignment horizontal="center" vertical="center"/>
    </xf>
    <xf numFmtId="0" fontId="18" fillId="9" borderId="28" xfId="0" applyFont="1" applyFill="1" applyBorder="1" applyAlignment="1">
      <alignment horizontal="center" vertical="center"/>
    </xf>
    <xf numFmtId="49" fontId="18" fillId="9" borderId="28" xfId="0" applyNumberFormat="1" applyFont="1" applyFill="1" applyBorder="1" applyAlignment="1">
      <alignment horizontal="center" vertical="center"/>
    </xf>
    <xf numFmtId="0" fontId="18" fillId="9" borderId="29" xfId="0" applyFont="1" applyFill="1" applyBorder="1" applyAlignment="1">
      <alignment horizontal="center" vertical="center"/>
    </xf>
    <xf numFmtId="0" fontId="25" fillId="17" borderId="1" xfId="0" applyFont="1" applyFill="1" applyBorder="1" applyAlignment="1">
      <alignment vertical="center"/>
    </xf>
    <xf numFmtId="49" fontId="21" fillId="17" borderId="27" xfId="0" applyNumberFormat="1" applyFont="1" applyFill="1" applyBorder="1" applyAlignment="1">
      <alignment horizontal="center" vertical="center"/>
    </xf>
    <xf numFmtId="0" fontId="21" fillId="17" borderId="28" xfId="0" applyFont="1" applyFill="1" applyBorder="1" applyAlignment="1">
      <alignment horizontal="center" vertical="center"/>
    </xf>
    <xf numFmtId="0" fontId="25" fillId="17" borderId="28" xfId="0" applyFont="1" applyFill="1" applyBorder="1" applyAlignment="1">
      <alignment horizontal="center" vertical="center"/>
    </xf>
    <xf numFmtId="0" fontId="18" fillId="17" borderId="29" xfId="0" quotePrefix="1" applyFont="1" applyFill="1" applyBorder="1" applyAlignment="1">
      <alignment horizontal="center" vertical="center"/>
    </xf>
    <xf numFmtId="0" fontId="22" fillId="17" borderId="1" xfId="0" applyFont="1" applyFill="1" applyBorder="1" applyAlignment="1">
      <alignment vertical="center"/>
    </xf>
    <xf numFmtId="49" fontId="40" fillId="17" borderId="27" xfId="0" applyNumberFormat="1" applyFont="1" applyFill="1" applyBorder="1" applyAlignment="1">
      <alignment horizontal="center" vertical="center"/>
    </xf>
    <xf numFmtId="0" fontId="40" fillId="17" borderId="28" xfId="0" applyFont="1" applyFill="1" applyBorder="1" applyAlignment="1">
      <alignment horizontal="center" vertical="center"/>
    </xf>
    <xf numFmtId="0" fontId="22" fillId="17" borderId="28" xfId="0" applyFont="1" applyFill="1" applyBorder="1" applyAlignment="1">
      <alignment horizontal="center" vertical="center"/>
    </xf>
    <xf numFmtId="0" fontId="18" fillId="15" borderId="29" xfId="0" quotePrefix="1" applyFont="1" applyFill="1" applyBorder="1" applyAlignment="1">
      <alignment horizontal="center" vertical="center"/>
    </xf>
    <xf numFmtId="0" fontId="22" fillId="0" borderId="8" xfId="0" applyFont="1" applyBorder="1" applyAlignment="1">
      <alignment vertical="center"/>
    </xf>
    <xf numFmtId="0" fontId="18" fillId="0" borderId="47" xfId="0" applyFont="1" applyBorder="1" applyAlignment="1">
      <alignment horizontal="center" vertical="center"/>
    </xf>
    <xf numFmtId="49" fontId="40" fillId="0" borderId="47" xfId="0" applyNumberFormat="1" applyFont="1" applyBorder="1" applyAlignment="1">
      <alignment horizontal="center" vertical="center"/>
    </xf>
    <xf numFmtId="0" fontId="40" fillId="0" borderId="49" xfId="0" applyFont="1" applyBorder="1" applyAlignment="1">
      <alignment horizontal="center" vertical="center"/>
    </xf>
    <xf numFmtId="0" fontId="22" fillId="0" borderId="49" xfId="0" applyFont="1" applyBorder="1" applyAlignment="1">
      <alignment horizontal="center" vertical="center"/>
    </xf>
    <xf numFmtId="49" fontId="18" fillId="0" borderId="49" xfId="0" applyNumberFormat="1" applyFont="1" applyBorder="1" applyAlignment="1">
      <alignment horizontal="center" vertical="center"/>
    </xf>
    <xf numFmtId="0" fontId="36" fillId="13" borderId="47" xfId="0" applyFont="1" applyFill="1" applyBorder="1" applyAlignment="1">
      <alignment horizontal="center" vertical="center"/>
    </xf>
    <xf numFmtId="0" fontId="18" fillId="0" borderId="36" xfId="0" applyFont="1" applyBorder="1" applyAlignment="1">
      <alignment horizontal="center" vertical="center"/>
    </xf>
    <xf numFmtId="0" fontId="13"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left" vertical="center"/>
    </xf>
    <xf numFmtId="49" fontId="16" fillId="0" borderId="0" xfId="0" applyNumberFormat="1" applyFont="1" applyAlignment="1">
      <alignment horizontal="center" vertical="center"/>
    </xf>
    <xf numFmtId="0" fontId="50" fillId="0" borderId="25" xfId="0" applyFont="1" applyBorder="1" applyAlignment="1">
      <alignment horizontal="centerContinuous" vertical="center"/>
    </xf>
    <xf numFmtId="0" fontId="32" fillId="20" borderId="22" xfId="0" applyFont="1" applyFill="1" applyBorder="1" applyAlignment="1">
      <alignment horizontal="centerContinuous" vertical="center"/>
    </xf>
    <xf numFmtId="0" fontId="32" fillId="20" borderId="23" xfId="0" applyFont="1" applyFill="1" applyBorder="1" applyAlignment="1">
      <alignment horizontal="center" vertical="center"/>
    </xf>
    <xf numFmtId="0" fontId="51" fillId="20" borderId="23" xfId="0" applyFont="1" applyFill="1" applyBorder="1" applyAlignment="1">
      <alignment horizontal="center" vertical="center"/>
    </xf>
    <xf numFmtId="0" fontId="32" fillId="20" borderId="24" xfId="0" applyFont="1" applyFill="1" applyBorder="1" applyAlignment="1">
      <alignment horizontal="centerContinuous" vertical="center"/>
    </xf>
    <xf numFmtId="0" fontId="18" fillId="11" borderId="1" xfId="0" applyFont="1" applyFill="1" applyBorder="1" applyAlignment="1">
      <alignment horizontal="center" vertical="center" shrinkToFit="1"/>
    </xf>
    <xf numFmtId="0" fontId="18" fillId="11" borderId="27" xfId="0" applyFont="1" applyFill="1" applyBorder="1" applyAlignment="1">
      <alignment horizontal="center" vertical="center" wrapText="1"/>
    </xf>
    <xf numFmtId="0" fontId="18" fillId="0" borderId="27" xfId="0" applyFont="1" applyBorder="1" applyAlignment="1">
      <alignment horizontal="center" vertical="center" shrinkToFit="1"/>
    </xf>
    <xf numFmtId="9" fontId="18" fillId="0" borderId="28" xfId="2" applyFont="1" applyFill="1" applyBorder="1" applyAlignment="1">
      <alignment horizontal="center" vertical="center" shrinkToFit="1"/>
    </xf>
    <xf numFmtId="0" fontId="18" fillId="0" borderId="28" xfId="2" applyNumberFormat="1" applyFont="1" applyFill="1" applyBorder="1" applyAlignment="1">
      <alignment horizontal="center" vertical="center" shrinkToFit="1"/>
    </xf>
    <xf numFmtId="0" fontId="18" fillId="0" borderId="29" xfId="0" applyFont="1" applyBorder="1" applyAlignment="1">
      <alignment horizontal="center" vertical="center" wrapText="1"/>
    </xf>
    <xf numFmtId="0" fontId="18" fillId="0" borderId="28" xfId="0" applyFont="1" applyBorder="1" applyAlignment="1">
      <alignment horizontal="center" vertical="center" shrinkToFit="1"/>
    </xf>
    <xf numFmtId="9" fontId="18" fillId="11" borderId="27" xfId="3" applyFont="1" applyFill="1" applyBorder="1" applyAlignment="1">
      <alignment horizontal="center" vertical="center" shrinkToFit="1"/>
    </xf>
    <xf numFmtId="9" fontId="18" fillId="11" borderId="28" xfId="3" applyFont="1" applyFill="1" applyBorder="1" applyAlignment="1">
      <alignment horizontal="center" vertical="center" shrinkToFit="1"/>
    </xf>
    <xf numFmtId="0" fontId="18" fillId="11" borderId="28" xfId="0" applyFont="1" applyFill="1" applyBorder="1" applyAlignment="1">
      <alignment horizontal="center" vertical="center" shrinkToFit="1"/>
    </xf>
    <xf numFmtId="0" fontId="18" fillId="11" borderId="28" xfId="3" applyNumberFormat="1" applyFont="1" applyFill="1" applyBorder="1" applyAlignment="1">
      <alignment horizontal="center" vertical="center" shrinkToFit="1"/>
    </xf>
    <xf numFmtId="0" fontId="18" fillId="0" borderId="1" xfId="0" applyFont="1" applyBorder="1" applyAlignment="1">
      <alignment horizontal="center" vertical="center" shrinkToFit="1"/>
    </xf>
    <xf numFmtId="9" fontId="18" fillId="0" borderId="27" xfId="2" applyFont="1" applyFill="1" applyBorder="1" applyAlignment="1">
      <alignment horizontal="center" vertical="center" shrinkToFit="1"/>
    </xf>
    <xf numFmtId="0" fontId="18" fillId="11" borderId="34" xfId="0" applyFont="1" applyFill="1" applyBorder="1" applyAlignment="1">
      <alignment horizontal="center" vertical="center" shrinkToFit="1"/>
    </xf>
    <xf numFmtId="0" fontId="18" fillId="11" borderId="48" xfId="0" applyFont="1" applyFill="1" applyBorder="1" applyAlignment="1">
      <alignment horizontal="center" vertical="center" wrapText="1"/>
    </xf>
    <xf numFmtId="9" fontId="18" fillId="0" borderId="48" xfId="2" applyFont="1" applyFill="1" applyBorder="1" applyAlignment="1">
      <alignment horizontal="center" vertical="center" shrinkToFit="1"/>
    </xf>
    <xf numFmtId="9" fontId="18" fillId="0" borderId="14" xfId="2" applyFont="1" applyFill="1" applyBorder="1" applyAlignment="1">
      <alignment horizontal="center" vertical="center" shrinkToFit="1"/>
    </xf>
    <xf numFmtId="0" fontId="18" fillId="0" borderId="14" xfId="0" applyFont="1" applyBorder="1" applyAlignment="1">
      <alignment horizontal="center" vertical="center" shrinkToFit="1"/>
    </xf>
    <xf numFmtId="0" fontId="18" fillId="0" borderId="14" xfId="2" applyNumberFormat="1" applyFont="1" applyFill="1" applyBorder="1" applyAlignment="1">
      <alignment horizontal="center" vertical="center" shrinkToFit="1"/>
    </xf>
    <xf numFmtId="0" fontId="18" fillId="0" borderId="35" xfId="0" applyFont="1" applyBorder="1" applyAlignment="1">
      <alignment horizontal="center" vertical="center" wrapText="1"/>
    </xf>
    <xf numFmtId="0" fontId="18" fillId="18" borderId="1" xfId="0" applyFont="1" applyFill="1" applyBorder="1" applyAlignment="1">
      <alignment horizontal="center" vertical="center" shrinkToFit="1"/>
    </xf>
    <xf numFmtId="0" fontId="18" fillId="18" borderId="27" xfId="0" applyFont="1" applyFill="1" applyBorder="1" applyAlignment="1">
      <alignment horizontal="center" vertical="center" wrapText="1"/>
    </xf>
    <xf numFmtId="9" fontId="18" fillId="18" borderId="27" xfId="2" applyFont="1" applyFill="1" applyBorder="1" applyAlignment="1">
      <alignment horizontal="center" vertical="center" shrinkToFit="1"/>
    </xf>
    <xf numFmtId="9" fontId="18" fillId="18" borderId="28" xfId="8" applyFont="1" applyFill="1" applyBorder="1" applyAlignment="1">
      <alignment horizontal="center" vertical="center" shrinkToFit="1"/>
    </xf>
    <xf numFmtId="0" fontId="18" fillId="18" borderId="28" xfId="0" applyFont="1" applyFill="1" applyBorder="1" applyAlignment="1">
      <alignment horizontal="center" vertical="center" shrinkToFit="1"/>
    </xf>
    <xf numFmtId="0" fontId="18" fillId="18" borderId="28" xfId="8" applyNumberFormat="1" applyFont="1" applyFill="1" applyBorder="1" applyAlignment="1">
      <alignment horizontal="center" vertical="center" shrinkToFit="1"/>
    </xf>
    <xf numFmtId="0" fontId="18" fillId="18" borderId="28" xfId="2" applyNumberFormat="1" applyFont="1" applyFill="1" applyBorder="1" applyAlignment="1">
      <alignment horizontal="center" vertical="center" shrinkToFit="1"/>
    </xf>
    <xf numFmtId="9" fontId="18" fillId="11" borderId="48" xfId="3" applyFont="1" applyFill="1" applyBorder="1" applyAlignment="1">
      <alignment horizontal="center" vertical="center" shrinkToFit="1"/>
    </xf>
    <xf numFmtId="9" fontId="18" fillId="11" borderId="14" xfId="3" applyFont="1" applyFill="1" applyBorder="1" applyAlignment="1">
      <alignment horizontal="center" vertical="center" shrinkToFit="1"/>
    </xf>
    <xf numFmtId="0" fontId="18" fillId="11" borderId="14" xfId="0" applyFont="1" applyFill="1" applyBorder="1" applyAlignment="1">
      <alignment horizontal="center" vertical="center" shrinkToFit="1"/>
    </xf>
    <xf numFmtId="0" fontId="18" fillId="11" borderId="14" xfId="3" applyNumberFormat="1" applyFont="1" applyFill="1" applyBorder="1" applyAlignment="1">
      <alignment horizontal="center" vertical="center" shrinkToFit="1"/>
    </xf>
    <xf numFmtId="0" fontId="18" fillId="0" borderId="29" xfId="0" applyFont="1" applyBorder="1" applyAlignment="1">
      <alignment horizontal="center" vertical="center" shrinkToFit="1"/>
    </xf>
    <xf numFmtId="9" fontId="18" fillId="18" borderId="28" xfId="2" applyFont="1" applyFill="1" applyBorder="1" applyAlignment="1">
      <alignment horizontal="center" vertical="center" shrinkToFit="1"/>
    </xf>
    <xf numFmtId="0" fontId="18" fillId="18" borderId="29" xfId="0" applyFont="1" applyFill="1" applyBorder="1" applyAlignment="1">
      <alignment horizontal="center" vertical="center" wrapText="1"/>
    </xf>
    <xf numFmtId="0" fontId="18" fillId="0" borderId="34"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47" xfId="0" applyFont="1" applyBorder="1" applyAlignment="1">
      <alignment horizontal="center" vertical="center" wrapText="1"/>
    </xf>
    <xf numFmtId="9" fontId="18" fillId="0" borderId="47" xfId="2" applyFont="1" applyFill="1" applyBorder="1" applyAlignment="1">
      <alignment horizontal="center" vertical="center" shrinkToFit="1"/>
    </xf>
    <xf numFmtId="9" fontId="18" fillId="0" borderId="49" xfId="2" applyFont="1" applyFill="1" applyBorder="1" applyAlignment="1">
      <alignment horizontal="center" vertical="center" shrinkToFit="1"/>
    </xf>
    <xf numFmtId="0" fontId="18" fillId="0" borderId="49" xfId="0" applyFont="1" applyBorder="1" applyAlignment="1">
      <alignment horizontal="center" vertical="center" shrinkToFit="1"/>
    </xf>
    <xf numFmtId="0" fontId="18" fillId="0" borderId="49" xfId="2" applyNumberFormat="1" applyFont="1" applyFill="1" applyBorder="1" applyAlignment="1">
      <alignment horizontal="center" vertical="center" shrinkToFit="1"/>
    </xf>
    <xf numFmtId="0" fontId="18" fillId="0" borderId="36" xfId="0" applyFont="1" applyBorder="1" applyAlignment="1">
      <alignment horizontal="center" vertical="center" wrapText="1"/>
    </xf>
    <xf numFmtId="0" fontId="52" fillId="18" borderId="0" xfId="0" applyFont="1" applyFill="1" applyAlignment="1">
      <alignment horizontal="center" vertical="center"/>
    </xf>
    <xf numFmtId="0" fontId="53" fillId="0" borderId="33" xfId="0" applyFont="1" applyBorder="1" applyAlignment="1">
      <alignment horizontal="centerContinuous" vertical="center"/>
    </xf>
    <xf numFmtId="0" fontId="16" fillId="0" borderId="0" xfId="0" applyFont="1" applyAlignment="1">
      <alignment vertical="center" wrapText="1"/>
    </xf>
    <xf numFmtId="0" fontId="54" fillId="0" borderId="33" xfId="0" applyFont="1" applyBorder="1" applyAlignment="1">
      <alignment horizontal="centerContinuous" vertical="center" wrapText="1"/>
    </xf>
    <xf numFmtId="0" fontId="18" fillId="0" borderId="0" xfId="0" applyFont="1" applyAlignment="1">
      <alignment vertical="center" wrapText="1"/>
    </xf>
    <xf numFmtId="0" fontId="55" fillId="0" borderId="0" xfId="0" applyFont="1" applyAlignment="1">
      <alignment horizontal="centerContinuous" vertical="center" wrapText="1"/>
    </xf>
    <xf numFmtId="0" fontId="30" fillId="0" borderId="0" xfId="0" applyFont="1" applyAlignment="1">
      <alignment horizontal="centerContinuous" vertical="center" wrapText="1"/>
    </xf>
    <xf numFmtId="0" fontId="56" fillId="0" borderId="0" xfId="0" applyFont="1" applyAlignment="1">
      <alignment horizontal="centerContinuous" vertical="center" wrapText="1"/>
    </xf>
    <xf numFmtId="0" fontId="57" fillId="0" borderId="37" xfId="0" applyFont="1" applyBorder="1" applyAlignment="1">
      <alignment horizontal="centerContinuous" vertical="center"/>
    </xf>
    <xf numFmtId="0" fontId="18" fillId="0" borderId="55" xfId="0" applyFont="1" applyBorder="1" applyAlignment="1">
      <alignment horizontal="centerContinuous" vertical="center"/>
    </xf>
    <xf numFmtId="0" fontId="13" fillId="0" borderId="5" xfId="0" applyFont="1" applyBorder="1" applyAlignment="1">
      <alignment horizontal="centerContinuous" vertical="center"/>
    </xf>
    <xf numFmtId="0" fontId="16" fillId="0" borderId="6" xfId="0" applyFont="1" applyBorder="1" applyAlignment="1">
      <alignment horizontal="centerContinuous" vertical="center" wrapText="1"/>
    </xf>
    <xf numFmtId="0" fontId="16" fillId="0" borderId="7" xfId="0" applyFont="1" applyBorder="1" applyAlignment="1">
      <alignment horizontal="centerContinuous" vertical="center" wrapText="1"/>
    </xf>
    <xf numFmtId="0" fontId="58" fillId="0" borderId="37" xfId="0" applyFont="1" applyBorder="1" applyAlignment="1">
      <alignment horizontal="centerContinuous" vertical="center"/>
    </xf>
    <xf numFmtId="0" fontId="18" fillId="0" borderId="37" xfId="0" applyFont="1" applyBorder="1" applyAlignment="1">
      <alignment horizontal="centerContinuous"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58" fillId="0" borderId="50" xfId="0" quotePrefix="1" applyFont="1" applyBorder="1" applyAlignment="1">
      <alignment horizontal="center" vertical="center" shrinkToFi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10" borderId="60"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8" fillId="0" borderId="0" xfId="0" applyFont="1" applyAlignment="1">
      <alignment horizontal="left" vertical="center" wrapText="1"/>
    </xf>
    <xf numFmtId="0" fontId="18" fillId="0" borderId="37" xfId="0" applyFont="1" applyBorder="1" applyAlignment="1">
      <alignment horizontal="centerContinuous" vertical="center" wrapText="1"/>
    </xf>
    <xf numFmtId="0" fontId="16" fillId="0" borderId="58" xfId="0" applyFont="1" applyBorder="1" applyAlignment="1">
      <alignment horizontal="center" vertical="center" wrapText="1"/>
    </xf>
    <xf numFmtId="0" fontId="16" fillId="0" borderId="42" xfId="0" applyFont="1" applyBorder="1" applyAlignment="1">
      <alignment horizontal="center" vertical="center" wrapText="1"/>
    </xf>
    <xf numFmtId="0" fontId="16" fillId="10" borderId="42" xfId="0" applyFont="1" applyFill="1" applyBorder="1" applyAlignment="1">
      <alignment horizontal="center" vertical="center" wrapText="1"/>
    </xf>
    <xf numFmtId="0" fontId="16" fillId="18" borderId="42" xfId="0" applyFont="1" applyFill="1" applyBorder="1" applyAlignment="1">
      <alignment horizontal="center" vertical="center" wrapText="1"/>
    </xf>
    <xf numFmtId="0" fontId="16" fillId="10" borderId="43" xfId="0" applyFont="1" applyFill="1" applyBorder="1" applyAlignment="1">
      <alignment horizontal="center" vertical="center" wrapText="1"/>
    </xf>
    <xf numFmtId="0" fontId="18" fillId="0" borderId="50" xfId="0" applyFont="1" applyBorder="1" applyAlignment="1">
      <alignment horizontal="centerContinuous" vertical="center"/>
    </xf>
    <xf numFmtId="0" fontId="21" fillId="0" borderId="37" xfId="0" applyFont="1" applyBorder="1" applyAlignment="1">
      <alignment horizontal="center" vertical="center" shrinkToFit="1"/>
    </xf>
    <xf numFmtId="0" fontId="59" fillId="19" borderId="106" xfId="0" applyFont="1" applyFill="1" applyBorder="1" applyAlignment="1">
      <alignment horizontal="center" vertical="center" wrapText="1"/>
    </xf>
    <xf numFmtId="0" fontId="59" fillId="19" borderId="107" xfId="0" applyFont="1" applyFill="1" applyBorder="1" applyAlignment="1">
      <alignment horizontal="center" vertical="center" wrapText="1"/>
    </xf>
    <xf numFmtId="0" fontId="13" fillId="10" borderId="107" xfId="0" applyFont="1" applyFill="1" applyBorder="1" applyAlignment="1">
      <alignment horizontal="center" vertical="center" wrapText="1"/>
    </xf>
    <xf numFmtId="0" fontId="13" fillId="10" borderId="108" xfId="0" applyFont="1" applyFill="1" applyBorder="1" applyAlignment="1">
      <alignment horizontal="center" vertical="center" wrapText="1"/>
    </xf>
    <xf numFmtId="0" fontId="60" fillId="0" borderId="33" xfId="0" applyFont="1" applyBorder="1" applyAlignment="1">
      <alignment horizontal="centerContinuous" vertical="center" wrapText="1"/>
    </xf>
    <xf numFmtId="1" fontId="16" fillId="0" borderId="103" xfId="0" applyNumberFormat="1" applyFont="1" applyBorder="1" applyAlignment="1">
      <alignment horizontal="center" vertical="center" wrapText="1"/>
    </xf>
    <xf numFmtId="1" fontId="16" fillId="0" borderId="104" xfId="0" applyNumberFormat="1" applyFont="1" applyBorder="1" applyAlignment="1">
      <alignment horizontal="center" vertical="center" wrapText="1"/>
    </xf>
    <xf numFmtId="0" fontId="16" fillId="10" borderId="104" xfId="0" applyFont="1" applyFill="1" applyBorder="1" applyAlignment="1">
      <alignment horizontal="center" vertical="center" wrapText="1"/>
    </xf>
    <xf numFmtId="0" fontId="16" fillId="10" borderId="105" xfId="0" applyFont="1" applyFill="1" applyBorder="1" applyAlignment="1">
      <alignment horizontal="center" vertical="center" wrapText="1"/>
    </xf>
    <xf numFmtId="0" fontId="16" fillId="16" borderId="63" xfId="0" applyFont="1" applyFill="1" applyBorder="1" applyAlignment="1">
      <alignment horizontal="center" vertical="center" wrapText="1"/>
    </xf>
    <xf numFmtId="0" fontId="16" fillId="16" borderId="44" xfId="0" applyFont="1" applyFill="1" applyBorder="1" applyAlignment="1">
      <alignment horizontal="center" vertical="center" wrapText="1"/>
    </xf>
    <xf numFmtId="0" fontId="16" fillId="10" borderId="44" xfId="0" applyFont="1" applyFill="1" applyBorder="1" applyAlignment="1">
      <alignment horizontal="center" vertical="center" wrapText="1"/>
    </xf>
    <xf numFmtId="0" fontId="16" fillId="10" borderId="45" xfId="0" applyFont="1" applyFill="1" applyBorder="1" applyAlignment="1">
      <alignment horizontal="center" vertical="center" wrapText="1"/>
    </xf>
    <xf numFmtId="0" fontId="18" fillId="0" borderId="56" xfId="0" applyFont="1" applyBorder="1" applyAlignment="1">
      <alignment horizontal="centerContinuous" vertical="center"/>
    </xf>
    <xf numFmtId="0" fontId="17" fillId="0" borderId="0" xfId="0" applyFont="1" applyAlignment="1">
      <alignment horizontal="right" vertical="center" wrapText="1"/>
    </xf>
    <xf numFmtId="0" fontId="18" fillId="0" borderId="0" xfId="0" applyFont="1" applyAlignment="1">
      <alignment horizontal="center" vertical="center" wrapText="1"/>
    </xf>
    <xf numFmtId="0" fontId="21" fillId="0" borderId="56" xfId="0" quotePrefix="1" applyFont="1" applyBorder="1" applyAlignment="1">
      <alignment horizontal="center" vertical="center" shrinkToFit="1"/>
    </xf>
    <xf numFmtId="0" fontId="28" fillId="0" borderId="0" xfId="0" applyFont="1" applyAlignment="1">
      <alignment horizontal="centerContinuous" vertical="center"/>
    </xf>
    <xf numFmtId="0" fontId="51" fillId="12" borderId="16" xfId="0" applyFont="1" applyFill="1" applyBorder="1" applyAlignment="1">
      <alignment horizontal="center" vertical="center"/>
    </xf>
    <xf numFmtId="0" fontId="51" fillId="12" borderId="17" xfId="0" applyFont="1" applyFill="1" applyBorder="1" applyAlignment="1">
      <alignment horizontal="center" vertical="center"/>
    </xf>
    <xf numFmtId="49" fontId="51" fillId="12" borderId="17" xfId="0" applyNumberFormat="1" applyFont="1" applyFill="1" applyBorder="1" applyAlignment="1">
      <alignment horizontal="center" vertical="center"/>
    </xf>
    <xf numFmtId="0" fontId="51" fillId="12" borderId="21" xfId="0" applyFont="1" applyFill="1" applyBorder="1" applyAlignment="1">
      <alignment horizontal="center" vertical="center"/>
    </xf>
    <xf numFmtId="0" fontId="61" fillId="13" borderId="21" xfId="0" applyFont="1" applyFill="1" applyBorder="1" applyAlignment="1">
      <alignment horizontal="center" vertical="center"/>
    </xf>
    <xf numFmtId="0" fontId="51" fillId="12" borderId="18" xfId="0" applyFont="1" applyFill="1" applyBorder="1" applyAlignment="1">
      <alignment horizontal="center" vertical="center"/>
    </xf>
    <xf numFmtId="0" fontId="51" fillId="12" borderId="33" xfId="0" applyFont="1" applyFill="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4" xfId="0" quotePrefix="1" applyFont="1" applyBorder="1" applyAlignment="1">
      <alignment horizontal="center" vertical="center" wrapText="1"/>
    </xf>
    <xf numFmtId="0" fontId="16" fillId="22" borderId="74" xfId="2" applyNumberFormat="1" applyFont="1" applyFill="1" applyBorder="1" applyAlignment="1">
      <alignment horizontal="center" vertical="center"/>
    </xf>
    <xf numFmtId="49" fontId="16" fillId="0" borderId="120" xfId="2" applyNumberFormat="1" applyFont="1" applyFill="1" applyBorder="1" applyAlignment="1">
      <alignment horizontal="center" vertical="center"/>
    </xf>
    <xf numFmtId="0" fontId="16" fillId="0" borderId="120" xfId="0" applyFont="1" applyBorder="1" applyAlignment="1">
      <alignment horizontal="center" vertical="center" shrinkToFit="1"/>
    </xf>
    <xf numFmtId="164" fontId="16" fillId="0" borderId="74" xfId="0" applyNumberFormat="1" applyFont="1" applyBorder="1" applyAlignment="1">
      <alignment horizontal="center" vertical="center"/>
    </xf>
    <xf numFmtId="164" fontId="16" fillId="0" borderId="75" xfId="0" applyNumberFormat="1" applyFont="1" applyBorder="1" applyAlignment="1">
      <alignment horizontal="center" vertical="center"/>
    </xf>
    <xf numFmtId="1" fontId="62" fillId="13" borderId="121" xfId="0" applyNumberFormat="1" applyFont="1" applyFill="1" applyBorder="1" applyAlignment="1">
      <alignment horizontal="center" vertical="center"/>
    </xf>
    <xf numFmtId="1" fontId="16" fillId="0" borderId="46" xfId="0" applyNumberFormat="1" applyFont="1" applyBorder="1" applyAlignment="1">
      <alignment horizontal="center" vertical="center"/>
    </xf>
    <xf numFmtId="0" fontId="16" fillId="0" borderId="122" xfId="0" applyFont="1" applyBorder="1" applyAlignment="1">
      <alignment horizontal="center" vertical="center"/>
    </xf>
    <xf numFmtId="1" fontId="16" fillId="0" borderId="55" xfId="0" applyNumberFormat="1" applyFont="1" applyBorder="1" applyAlignment="1">
      <alignment horizontal="center" vertical="center"/>
    </xf>
    <xf numFmtId="0" fontId="16" fillId="0" borderId="116" xfId="0" applyFont="1" applyBorder="1" applyAlignment="1">
      <alignment horizontal="center" vertical="center"/>
    </xf>
    <xf numFmtId="0" fontId="16" fillId="0" borderId="117" xfId="0" applyFont="1" applyBorder="1" applyAlignment="1">
      <alignment horizontal="center" vertical="center"/>
    </xf>
    <xf numFmtId="0" fontId="16" fillId="0" borderId="117" xfId="0" quotePrefix="1" applyFont="1" applyBorder="1" applyAlignment="1">
      <alignment horizontal="center" vertical="center" wrapText="1"/>
    </xf>
    <xf numFmtId="0" fontId="16" fillId="22" borderId="117" xfId="2" applyNumberFormat="1" applyFont="1" applyFill="1" applyBorder="1" applyAlignment="1">
      <alignment horizontal="center" vertical="center"/>
    </xf>
    <xf numFmtId="49" fontId="16" fillId="0" borderId="117" xfId="2" applyNumberFormat="1" applyFont="1" applyFill="1" applyBorder="1" applyAlignment="1">
      <alignment horizontal="center" vertical="center"/>
    </xf>
    <xf numFmtId="0" fontId="16" fillId="0" borderId="117" xfId="0" applyFont="1" applyBorder="1" applyAlignment="1">
      <alignment horizontal="center" vertical="center" shrinkToFit="1"/>
    </xf>
    <xf numFmtId="164" fontId="16" fillId="0" borderId="117" xfId="0" applyNumberFormat="1" applyFont="1" applyBorder="1" applyAlignment="1">
      <alignment horizontal="center" vertical="center"/>
    </xf>
    <xf numFmtId="164" fontId="16" fillId="0" borderId="123" xfId="0" applyNumberFormat="1" applyFont="1" applyBorder="1" applyAlignment="1">
      <alignment horizontal="center" vertical="center"/>
    </xf>
    <xf numFmtId="1" fontId="62" fillId="13" borderId="124" xfId="0" applyNumberFormat="1" applyFont="1" applyFill="1" applyBorder="1" applyAlignment="1">
      <alignment horizontal="center" vertical="center"/>
    </xf>
    <xf numFmtId="1" fontId="16" fillId="0" borderId="42" xfId="0" applyNumberFormat="1" applyFont="1" applyBorder="1" applyAlignment="1">
      <alignment horizontal="center" vertical="center"/>
    </xf>
    <xf numFmtId="0" fontId="16" fillId="0" borderId="43" xfId="0" applyFont="1" applyBorder="1" applyAlignment="1">
      <alignment horizontal="center" vertical="center"/>
    </xf>
    <xf numFmtId="1" fontId="16" fillId="0" borderId="37" xfId="0" applyNumberFormat="1" applyFont="1" applyBorder="1" applyAlignment="1">
      <alignment horizontal="center" vertical="center"/>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16" fillId="0" borderId="80" xfId="0" quotePrefix="1" applyFont="1" applyBorder="1" applyAlignment="1">
      <alignment horizontal="center" vertical="center" wrapText="1"/>
    </xf>
    <xf numFmtId="0" fontId="16" fillId="22" borderId="80" xfId="2" applyNumberFormat="1" applyFont="1" applyFill="1" applyBorder="1" applyAlignment="1">
      <alignment horizontal="center" vertical="center"/>
    </xf>
    <xf numFmtId="49" fontId="16" fillId="0" borderId="80" xfId="2" applyNumberFormat="1" applyFont="1" applyBorder="1" applyAlignment="1">
      <alignment horizontal="center" vertical="center"/>
    </xf>
    <xf numFmtId="0" fontId="16" fillId="0" borderId="80" xfId="0" applyFont="1" applyBorder="1" applyAlignment="1">
      <alignment horizontal="center" vertical="center" shrinkToFit="1"/>
    </xf>
    <xf numFmtId="164" fontId="16" fillId="0" borderId="80" xfId="0" applyNumberFormat="1" applyFont="1" applyBorder="1" applyAlignment="1">
      <alignment horizontal="center" vertical="center"/>
    </xf>
    <xf numFmtId="164" fontId="16" fillId="0" borderId="81" xfId="0" applyNumberFormat="1" applyFont="1" applyBorder="1" applyAlignment="1">
      <alignment horizontal="center" vertical="center"/>
    </xf>
    <xf numFmtId="1" fontId="62" fillId="13" borderId="125" xfId="0" applyNumberFormat="1" applyFont="1" applyFill="1" applyBorder="1" applyAlignment="1">
      <alignment horizontal="center" vertical="center"/>
    </xf>
    <xf numFmtId="1" fontId="16" fillId="0" borderId="44" xfId="0" applyNumberFormat="1" applyFont="1" applyBorder="1" applyAlignment="1">
      <alignment horizontal="center" vertical="center"/>
    </xf>
    <xf numFmtId="0" fontId="13" fillId="0" borderId="45" xfId="0" applyFont="1" applyBorder="1" applyAlignment="1">
      <alignment horizontal="center" vertical="center"/>
    </xf>
    <xf numFmtId="1" fontId="16" fillId="0" borderId="50" xfId="0" applyNumberFormat="1" applyFont="1" applyBorder="1" applyAlignment="1">
      <alignment horizontal="center" vertical="center"/>
    </xf>
    <xf numFmtId="0" fontId="16" fillId="0" borderId="0" xfId="0" applyFont="1" applyAlignment="1">
      <alignment horizontal="center" vertical="center"/>
    </xf>
    <xf numFmtId="1" fontId="16" fillId="0" borderId="0" xfId="0" applyNumberFormat="1" applyFont="1" applyAlignment="1">
      <alignment vertical="center"/>
    </xf>
    <xf numFmtId="1" fontId="51" fillId="12" borderId="33" xfId="0" applyNumberFormat="1" applyFont="1" applyFill="1" applyBorder="1" applyAlignment="1">
      <alignment horizontal="center" vertical="center"/>
    </xf>
    <xf numFmtId="0" fontId="16" fillId="0" borderId="109" xfId="0" applyFont="1" applyBorder="1" applyAlignment="1">
      <alignment horizontal="center" vertical="center"/>
    </xf>
    <xf numFmtId="0" fontId="16" fillId="0" borderId="110" xfId="0" applyFont="1" applyBorder="1" applyAlignment="1">
      <alignment horizontal="center" vertical="center"/>
    </xf>
    <xf numFmtId="49" fontId="16" fillId="0" borderId="110" xfId="0" applyNumberFormat="1" applyFont="1" applyBorder="1" applyAlignment="1">
      <alignment horizontal="center" vertical="center"/>
    </xf>
    <xf numFmtId="164" fontId="16" fillId="0" borderId="110" xfId="0" applyNumberFormat="1" applyFont="1" applyBorder="1" applyAlignment="1">
      <alignment horizontal="center" vertical="center"/>
    </xf>
    <xf numFmtId="1" fontId="62" fillId="13" borderId="110" xfId="0" applyNumberFormat="1" applyFont="1" applyFill="1" applyBorder="1" applyAlignment="1">
      <alignment horizontal="center" vertical="center"/>
    </xf>
    <xf numFmtId="1" fontId="16" fillId="0" borderId="110" xfId="0" applyNumberFormat="1" applyFont="1" applyBorder="1" applyAlignment="1">
      <alignment horizontal="center" vertical="center"/>
    </xf>
    <xf numFmtId="0" fontId="16" fillId="0" borderId="112" xfId="0" applyFont="1" applyBorder="1" applyAlignment="1">
      <alignment horizontal="center" vertical="center"/>
    </xf>
    <xf numFmtId="1" fontId="16" fillId="0" borderId="92" xfId="0" applyNumberFormat="1" applyFont="1" applyBorder="1" applyAlignment="1">
      <alignment horizontal="center" vertical="center"/>
    </xf>
    <xf numFmtId="0" fontId="63" fillId="0" borderId="117" xfId="0" applyFont="1" applyBorder="1" applyAlignment="1">
      <alignment horizontal="center" vertical="center"/>
    </xf>
    <xf numFmtId="49" fontId="16" fillId="0" borderId="117" xfId="0" applyNumberFormat="1" applyFont="1" applyBorder="1" applyAlignment="1">
      <alignment horizontal="center" vertical="center"/>
    </xf>
    <xf numFmtId="1" fontId="62" fillId="13" borderId="117" xfId="0" applyNumberFormat="1" applyFont="1" applyFill="1" applyBorder="1" applyAlignment="1">
      <alignment horizontal="center" vertical="center"/>
    </xf>
    <xf numFmtId="1" fontId="16" fillId="0" borderId="117" xfId="0" applyNumberFormat="1" applyFont="1" applyBorder="1" applyAlignment="1">
      <alignment horizontal="center" vertical="center"/>
    </xf>
    <xf numFmtId="0" fontId="16" fillId="0" borderId="118" xfId="0" applyFont="1" applyBorder="1" applyAlignment="1">
      <alignment horizontal="center" vertical="center"/>
    </xf>
    <xf numFmtId="0" fontId="16" fillId="18" borderId="15" xfId="0" applyFont="1" applyFill="1" applyBorder="1" applyAlignment="1">
      <alignment horizontal="center" vertical="center"/>
    </xf>
    <xf numFmtId="0" fontId="16" fillId="18" borderId="47" xfId="0" applyFont="1" applyFill="1" applyBorder="1" applyAlignment="1">
      <alignment horizontal="center" vertical="center"/>
    </xf>
    <xf numFmtId="49" fontId="16" fillId="18" borderId="47" xfId="0" applyNumberFormat="1" applyFont="1" applyFill="1" applyBorder="1" applyAlignment="1">
      <alignment horizontal="center" vertical="center"/>
    </xf>
    <xf numFmtId="164" fontId="16" fillId="18" borderId="47" xfId="0" applyNumberFormat="1" applyFont="1" applyFill="1" applyBorder="1" applyAlignment="1">
      <alignment horizontal="center" vertical="center"/>
    </xf>
    <xf numFmtId="1" fontId="16" fillId="18" borderId="47" xfId="0" applyNumberFormat="1" applyFont="1" applyFill="1" applyBorder="1" applyAlignment="1">
      <alignment horizontal="center" vertical="center"/>
    </xf>
    <xf numFmtId="1" fontId="62" fillId="13" borderId="47" xfId="0" applyNumberFormat="1" applyFont="1" applyFill="1" applyBorder="1" applyAlignment="1">
      <alignment horizontal="center" vertical="center"/>
    </xf>
    <xf numFmtId="0" fontId="16" fillId="18" borderId="36" xfId="0" applyFont="1" applyFill="1" applyBorder="1" applyAlignment="1">
      <alignment horizontal="center" vertical="center"/>
    </xf>
    <xf numFmtId="1" fontId="16" fillId="9" borderId="50" xfId="0" applyNumberFormat="1" applyFont="1" applyFill="1" applyBorder="1" applyAlignment="1">
      <alignment horizontal="center" vertical="center"/>
    </xf>
    <xf numFmtId="164" fontId="16" fillId="0" borderId="0" xfId="0" applyNumberFormat="1" applyFont="1" applyAlignment="1">
      <alignment horizontal="center" vertical="center"/>
    </xf>
    <xf numFmtId="0" fontId="51" fillId="12" borderId="21" xfId="0" applyFont="1" applyFill="1" applyBorder="1" applyAlignment="1">
      <alignment horizontal="centerContinuous" vertical="center"/>
    </xf>
    <xf numFmtId="0" fontId="51" fillId="12" borderId="72" xfId="0" applyFont="1" applyFill="1" applyBorder="1" applyAlignment="1">
      <alignment horizontal="centerContinuous" vertical="center"/>
    </xf>
    <xf numFmtId="0" fontId="51" fillId="12" borderId="51" xfId="0" applyFont="1" applyFill="1" applyBorder="1" applyAlignment="1">
      <alignment horizontal="centerContinuous" vertical="center"/>
    </xf>
    <xf numFmtId="0" fontId="16" fillId="0" borderId="73" xfId="0" applyFont="1" applyBorder="1" applyAlignment="1">
      <alignment horizontal="center" vertical="center" shrinkToFit="1"/>
    </xf>
    <xf numFmtId="0" fontId="16" fillId="0" borderId="74" xfId="0" quotePrefix="1" applyFont="1" applyBorder="1" applyAlignment="1">
      <alignment horizontal="center" vertical="center"/>
    </xf>
    <xf numFmtId="9" fontId="16" fillId="0" borderId="74" xfId="0" applyNumberFormat="1" applyFont="1" applyBorder="1" applyAlignment="1">
      <alignment horizontal="center" vertical="center"/>
    </xf>
    <xf numFmtId="49" fontId="16" fillId="0" borderId="74" xfId="0" quotePrefix="1" applyNumberFormat="1" applyFont="1" applyBorder="1" applyAlignment="1">
      <alignment horizontal="center" vertical="center"/>
    </xf>
    <xf numFmtId="164" fontId="16" fillId="0" borderId="75" xfId="0" applyNumberFormat="1" applyFont="1" applyBorder="1" applyAlignment="1">
      <alignment horizontal="centerContinuous" vertical="center"/>
    </xf>
    <xf numFmtId="164" fontId="16" fillId="0" borderId="76" xfId="0" applyNumberFormat="1" applyFont="1" applyBorder="1" applyAlignment="1">
      <alignment horizontal="centerContinuous" vertical="center"/>
    </xf>
    <xf numFmtId="0" fontId="16" fillId="0" borderId="77" xfId="0" quotePrefix="1" applyFont="1" applyBorder="1" applyAlignment="1">
      <alignment horizontal="centerContinuous" vertical="center"/>
    </xf>
    <xf numFmtId="0" fontId="16" fillId="0" borderId="80" xfId="0" quotePrefix="1" applyFont="1" applyBorder="1" applyAlignment="1">
      <alignment horizontal="center" vertical="center"/>
    </xf>
    <xf numFmtId="9" fontId="16" fillId="0" borderId="80" xfId="0" applyNumberFormat="1" applyFont="1" applyBorder="1" applyAlignment="1">
      <alignment horizontal="center" vertical="center"/>
    </xf>
    <xf numFmtId="164" fontId="13" fillId="0" borderId="81" xfId="0" applyNumberFormat="1" applyFont="1" applyBorder="1" applyAlignment="1">
      <alignment horizontal="centerContinuous" vertical="center"/>
    </xf>
    <xf numFmtId="164" fontId="13" fillId="0" borderId="82" xfId="0" applyNumberFormat="1" applyFont="1" applyBorder="1" applyAlignment="1">
      <alignment horizontal="centerContinuous" vertical="center"/>
    </xf>
    <xf numFmtId="0" fontId="13" fillId="0" borderId="83" xfId="0" applyFont="1" applyBorder="1" applyAlignment="1">
      <alignment horizontal="centerContinuous" vertical="center"/>
    </xf>
    <xf numFmtId="0" fontId="51" fillId="12" borderId="19" xfId="0" applyFont="1" applyFill="1" applyBorder="1" applyAlignment="1">
      <alignment horizontal="centerContinuous" vertical="center"/>
    </xf>
    <xf numFmtId="0" fontId="51" fillId="12" borderId="20" xfId="0" applyFont="1" applyFill="1" applyBorder="1" applyAlignment="1">
      <alignment horizontal="centerContinuous" vertical="center"/>
    </xf>
    <xf numFmtId="0" fontId="16" fillId="0" borderId="87" xfId="0" applyFont="1" applyBorder="1" applyAlignment="1">
      <alignment horizontal="centerContinuous" vertical="center"/>
    </xf>
    <xf numFmtId="0" fontId="16" fillId="0" borderId="88" xfId="0" applyFont="1" applyBorder="1" applyAlignment="1">
      <alignment horizontal="centerContinuous" vertical="center"/>
    </xf>
    <xf numFmtId="0" fontId="16" fillId="0" borderId="75" xfId="0" applyFont="1" applyBorder="1" applyAlignment="1">
      <alignment horizontal="centerContinuous" vertical="center"/>
    </xf>
    <xf numFmtId="49" fontId="16" fillId="0" borderId="75" xfId="0" applyNumberFormat="1" applyFont="1" applyBorder="1" applyAlignment="1">
      <alignment horizontal="center" vertical="center"/>
    </xf>
    <xf numFmtId="49" fontId="16" fillId="0" borderId="75" xfId="0" applyNumberFormat="1" applyFont="1" applyBorder="1" applyAlignment="1">
      <alignment horizontal="centerContinuous" vertical="center"/>
    </xf>
    <xf numFmtId="49" fontId="16" fillId="0" borderId="76" xfId="0" applyNumberFormat="1" applyFont="1" applyBorder="1" applyAlignment="1">
      <alignment horizontal="centerContinuous" vertical="center"/>
    </xf>
    <xf numFmtId="0" fontId="16" fillId="0" borderId="77" xfId="0" applyFont="1" applyBorder="1" applyAlignment="1">
      <alignment horizontal="centerContinuous" vertical="center"/>
    </xf>
    <xf numFmtId="0" fontId="16" fillId="0" borderId="1" xfId="0" applyFont="1" applyBorder="1" applyAlignment="1">
      <alignment horizontal="centerContinuous" vertical="center"/>
    </xf>
    <xf numFmtId="0" fontId="16" fillId="0" borderId="119" xfId="0" applyFont="1" applyBorder="1" applyAlignment="1">
      <alignment horizontal="centerContinuous" vertical="center"/>
    </xf>
    <xf numFmtId="0" fontId="16" fillId="0" borderId="28" xfId="0" applyFont="1" applyBorder="1" applyAlignment="1">
      <alignment horizontal="centerContinuous" vertical="center"/>
    </xf>
    <xf numFmtId="164" fontId="16" fillId="0" borderId="27" xfId="0" applyNumberFormat="1" applyFont="1" applyBorder="1" applyAlignment="1">
      <alignment horizontal="center" vertical="center"/>
    </xf>
    <xf numFmtId="49" fontId="16" fillId="0" borderId="28" xfId="0" applyNumberFormat="1" applyFont="1" applyBorder="1" applyAlignment="1">
      <alignment horizontal="center" vertical="center"/>
    </xf>
    <xf numFmtId="49" fontId="16" fillId="0" borderId="28" xfId="0" applyNumberFormat="1" applyFont="1" applyBorder="1" applyAlignment="1">
      <alignment horizontal="centerContinuous" vertical="center"/>
    </xf>
    <xf numFmtId="49" fontId="16" fillId="0" borderId="0" xfId="0" applyNumberFormat="1" applyFont="1" applyAlignment="1">
      <alignment horizontal="centerContinuous" vertical="center"/>
    </xf>
    <xf numFmtId="0" fontId="16" fillId="0" borderId="2" xfId="0" applyFont="1" applyBorder="1" applyAlignment="1">
      <alignment horizontal="centerContinuous" vertical="center"/>
    </xf>
    <xf numFmtId="1" fontId="16" fillId="0" borderId="111" xfId="0" applyNumberFormat="1" applyFont="1" applyBorder="1" applyAlignment="1">
      <alignment horizontal="center" vertical="center"/>
    </xf>
    <xf numFmtId="0" fontId="16" fillId="0" borderId="89" xfId="0" applyFont="1" applyBorder="1" applyAlignment="1">
      <alignment horizontal="centerContinuous" vertical="center"/>
    </xf>
    <xf numFmtId="0" fontId="16" fillId="0" borderId="90" xfId="0" applyFont="1" applyBorder="1" applyAlignment="1">
      <alignment horizontal="centerContinuous" vertical="center"/>
    </xf>
    <xf numFmtId="0" fontId="16" fillId="0" borderId="81" xfId="0" applyFont="1" applyBorder="1" applyAlignment="1">
      <alignment horizontal="centerContinuous" vertical="center"/>
    </xf>
    <xf numFmtId="49" fontId="16" fillId="0" borderId="81" xfId="0" applyNumberFormat="1" applyFont="1" applyBorder="1" applyAlignment="1">
      <alignment horizontal="center" vertical="center"/>
    </xf>
    <xf numFmtId="49" fontId="16" fillId="0" borderId="81" xfId="0" applyNumberFormat="1" applyFont="1" applyBorder="1" applyAlignment="1">
      <alignment horizontal="centerContinuous" vertical="center"/>
    </xf>
    <xf numFmtId="49" fontId="16" fillId="0" borderId="82" xfId="0" applyNumberFormat="1" applyFont="1" applyBorder="1" applyAlignment="1">
      <alignment horizontal="centerContinuous" vertical="center"/>
    </xf>
    <xf numFmtId="0" fontId="16" fillId="0" borderId="83" xfId="0" applyFont="1" applyBorder="1" applyAlignment="1">
      <alignment horizontal="centerContinuous" vertical="center"/>
    </xf>
    <xf numFmtId="0" fontId="51" fillId="12" borderId="93" xfId="0" applyFont="1" applyFill="1" applyBorder="1" applyAlignment="1">
      <alignment horizontal="center" vertical="center"/>
    </xf>
    <xf numFmtId="0" fontId="16" fillId="0" borderId="94" xfId="0" applyFont="1" applyBorder="1" applyAlignment="1">
      <alignment horizontal="centerContinuous" vertical="center" shrinkToFit="1"/>
    </xf>
    <xf numFmtId="0" fontId="51" fillId="0" borderId="95" xfId="0" applyFont="1" applyBorder="1" applyAlignment="1">
      <alignment horizontal="centerContinuous" vertical="center"/>
    </xf>
    <xf numFmtId="0" fontId="51" fillId="0" borderId="96" xfId="0" applyFont="1" applyBorder="1" applyAlignment="1">
      <alignment horizontal="centerContinuous" vertical="center"/>
    </xf>
    <xf numFmtId="0" fontId="16" fillId="0" borderId="97" xfId="0" applyFont="1" applyBorder="1" applyAlignment="1">
      <alignment horizontal="center" vertical="center"/>
    </xf>
    <xf numFmtId="0" fontId="16" fillId="0" borderId="98" xfId="0" applyFont="1" applyBorder="1" applyAlignment="1">
      <alignment horizontal="centerContinuous" vertical="center"/>
    </xf>
    <xf numFmtId="1" fontId="16" fillId="0" borderId="99" xfId="0" applyNumberFormat="1" applyFont="1" applyBorder="1" applyAlignment="1">
      <alignment horizontal="center" vertical="center"/>
    </xf>
    <xf numFmtId="0" fontId="16" fillId="0" borderId="89" xfId="0" applyFont="1" applyBorder="1" applyAlignment="1">
      <alignment horizontal="centerContinuous" vertical="center" shrinkToFit="1"/>
    </xf>
    <xf numFmtId="0" fontId="51" fillId="0" borderId="82" xfId="0" applyFont="1" applyBorder="1" applyAlignment="1">
      <alignment horizontal="centerContinuous" vertical="center"/>
    </xf>
    <xf numFmtId="0" fontId="51" fillId="0" borderId="63" xfId="0" applyFont="1" applyBorder="1" applyAlignment="1">
      <alignment horizontal="centerContinuous" vertical="center"/>
    </xf>
    <xf numFmtId="0" fontId="16" fillId="0" borderId="44" xfId="0" applyFont="1" applyBorder="1" applyAlignment="1">
      <alignment horizontal="center" vertical="center"/>
    </xf>
    <xf numFmtId="0" fontId="16" fillId="0" borderId="45" xfId="0" applyFont="1" applyBorder="1" applyAlignment="1">
      <alignment horizontal="centerContinuous" vertical="center"/>
    </xf>
    <xf numFmtId="0" fontId="64" fillId="0" borderId="0" xfId="0" applyFont="1" applyAlignment="1">
      <alignment horizontal="right" vertical="center"/>
    </xf>
    <xf numFmtId="0" fontId="65" fillId="0" borderId="0" xfId="0" applyFont="1" applyAlignment="1">
      <alignment horizontal="center" vertical="center"/>
    </xf>
    <xf numFmtId="164" fontId="28" fillId="0" borderId="0" xfId="0" applyNumberFormat="1" applyFont="1" applyAlignment="1">
      <alignment horizontal="centerContinuous" vertical="center"/>
    </xf>
    <xf numFmtId="0" fontId="51" fillId="3" borderId="38" xfId="0" applyFont="1" applyFill="1" applyBorder="1" applyAlignment="1">
      <alignment horizontal="center" vertical="center"/>
    </xf>
    <xf numFmtId="164" fontId="51" fillId="3" borderId="39" xfId="0" applyNumberFormat="1" applyFont="1" applyFill="1" applyBorder="1" applyAlignment="1">
      <alignment horizontal="center" vertical="center"/>
    </xf>
    <xf numFmtId="0" fontId="51" fillId="3" borderId="38" xfId="0" applyFont="1" applyFill="1" applyBorder="1" applyAlignment="1">
      <alignment horizontal="right" vertical="center"/>
    </xf>
    <xf numFmtId="0" fontId="51" fillId="3" borderId="40" xfId="0" applyFont="1" applyFill="1" applyBorder="1" applyAlignment="1">
      <alignment vertical="center"/>
    </xf>
    <xf numFmtId="1" fontId="51" fillId="3" borderId="33" xfId="0" applyNumberFormat="1" applyFont="1" applyFill="1" applyBorder="1" applyAlignment="1">
      <alignment horizontal="center" vertical="center"/>
    </xf>
    <xf numFmtId="0" fontId="16" fillId="0" borderId="85" xfId="0" applyFont="1" applyBorder="1" applyAlignment="1">
      <alignment horizontal="center" vertical="center" shrinkToFit="1"/>
    </xf>
    <xf numFmtId="0" fontId="16" fillId="0" borderId="42" xfId="0" applyFont="1" applyBorder="1" applyAlignment="1">
      <alignment horizontal="center" vertical="center" shrinkToFit="1"/>
    </xf>
    <xf numFmtId="164" fontId="16" fillId="0" borderId="42" xfId="0" applyNumberFormat="1" applyFont="1" applyBorder="1" applyAlignment="1">
      <alignment horizontal="center" vertical="center" shrinkToFit="1"/>
    </xf>
    <xf numFmtId="0" fontId="16" fillId="0" borderId="42" xfId="0" applyFont="1" applyBorder="1" applyAlignment="1">
      <alignment horizontal="left" vertical="center"/>
    </xf>
    <xf numFmtId="0" fontId="16" fillId="0" borderId="43" xfId="0" applyFont="1" applyBorder="1" applyAlignment="1">
      <alignment horizontal="left" vertical="center" shrinkToFit="1"/>
    </xf>
    <xf numFmtId="1" fontId="16" fillId="0" borderId="55" xfId="0" applyNumberFormat="1" applyFont="1" applyBorder="1" applyAlignment="1">
      <alignment horizontal="center" vertical="center" shrinkToFit="1"/>
    </xf>
    <xf numFmtId="1" fontId="16" fillId="0" borderId="37" xfId="0" applyNumberFormat="1" applyFont="1" applyBorder="1" applyAlignment="1">
      <alignment horizontal="center" vertical="center" shrinkToFit="1"/>
    </xf>
    <xf numFmtId="0" fontId="16" fillId="0" borderId="100" xfId="0" applyFont="1" applyBorder="1" applyAlignment="1">
      <alignment horizontal="center" vertical="center" shrinkToFit="1"/>
    </xf>
    <xf numFmtId="0" fontId="16" fillId="0" borderId="97" xfId="0" applyFont="1" applyBorder="1" applyAlignment="1">
      <alignment horizontal="center" vertical="center" shrinkToFit="1"/>
    </xf>
    <xf numFmtId="164" fontId="16" fillId="0" borderId="97" xfId="0" applyNumberFormat="1" applyFont="1" applyBorder="1" applyAlignment="1">
      <alignment horizontal="center" vertical="center" shrinkToFit="1"/>
    </xf>
    <xf numFmtId="0" fontId="16" fillId="0" borderId="97" xfId="0" applyFont="1" applyBorder="1" applyAlignment="1">
      <alignment horizontal="left" vertical="center"/>
    </xf>
    <xf numFmtId="0" fontId="16" fillId="0" borderId="98" xfId="0" applyFont="1" applyBorder="1" applyAlignment="1">
      <alignment horizontal="left" vertical="center" shrinkToFit="1"/>
    </xf>
    <xf numFmtId="0" fontId="16" fillId="0" borderId="41" xfId="0" applyFont="1" applyBorder="1" applyAlignment="1">
      <alignment horizontal="center" vertical="center" shrinkToFit="1"/>
    </xf>
    <xf numFmtId="0" fontId="16" fillId="0" borderId="86" xfId="0" applyFont="1" applyBorder="1" applyAlignment="1">
      <alignment horizontal="center" vertical="center" shrinkToFit="1"/>
    </xf>
    <xf numFmtId="0" fontId="16" fillId="0" borderId="44" xfId="0" applyFont="1" applyBorder="1" applyAlignment="1">
      <alignment horizontal="center" vertical="center" shrinkToFit="1"/>
    </xf>
    <xf numFmtId="164" fontId="16" fillId="0" borderId="44" xfId="0" applyNumberFormat="1" applyFont="1" applyBorder="1" applyAlignment="1">
      <alignment horizontal="center" vertical="center" shrinkToFit="1"/>
    </xf>
    <xf numFmtId="0" fontId="16" fillId="0" borderId="44" xfId="0" applyFont="1" applyBorder="1" applyAlignment="1">
      <alignment horizontal="left" vertical="center"/>
    </xf>
    <xf numFmtId="0" fontId="16" fillId="0" borderId="45" xfId="0" applyFont="1" applyBorder="1" applyAlignment="1">
      <alignment horizontal="left" vertical="center" shrinkToFit="1"/>
    </xf>
    <xf numFmtId="1" fontId="16" fillId="14" borderId="50" xfId="0" applyNumberFormat="1" applyFont="1" applyFill="1" applyBorder="1" applyAlignment="1">
      <alignment horizontal="center" vertical="center" shrinkToFit="1"/>
    </xf>
    <xf numFmtId="164" fontId="28" fillId="0" borderId="0" xfId="0" applyNumberFormat="1" applyFont="1" applyAlignment="1">
      <alignment horizontal="centerContinuous" vertical="center" shrinkToFit="1"/>
    </xf>
    <xf numFmtId="0" fontId="28" fillId="0" borderId="0" xfId="0" applyFont="1" applyAlignment="1">
      <alignment horizontal="centerContinuous" vertical="center" shrinkToFit="1"/>
    </xf>
    <xf numFmtId="1" fontId="28" fillId="0" borderId="0" xfId="0" applyNumberFormat="1" applyFont="1" applyAlignment="1">
      <alignment horizontal="centerContinuous" vertical="center" shrinkToFit="1"/>
    </xf>
    <xf numFmtId="1" fontId="16" fillId="0" borderId="57" xfId="0" applyNumberFormat="1" applyFont="1" applyBorder="1" applyAlignment="1">
      <alignment horizontal="center" vertical="center" shrinkToFit="1"/>
    </xf>
    <xf numFmtId="2" fontId="16" fillId="0" borderId="57" xfId="0" applyNumberFormat="1" applyFont="1" applyBorder="1" applyAlignment="1">
      <alignment horizontal="center" vertical="center" shrinkToFit="1"/>
    </xf>
    <xf numFmtId="1" fontId="16" fillId="0" borderId="50" xfId="0" applyNumberFormat="1" applyFont="1" applyBorder="1" applyAlignment="1">
      <alignment horizontal="center" vertical="center" shrinkToFit="1"/>
    </xf>
    <xf numFmtId="0" fontId="16" fillId="0" borderId="0" xfId="0" applyFont="1" applyAlignment="1">
      <alignment horizontal="center" vertical="center" shrinkToFit="1"/>
    </xf>
    <xf numFmtId="0" fontId="66" fillId="0" borderId="0" xfId="0" applyFont="1" applyAlignment="1">
      <alignment vertical="center"/>
    </xf>
    <xf numFmtId="0" fontId="16" fillId="0" borderId="0" xfId="0" applyFont="1" applyAlignment="1">
      <alignment horizontal="left" vertical="center" shrinkToFit="1"/>
    </xf>
    <xf numFmtId="164" fontId="51" fillId="3" borderId="33" xfId="0" applyNumberFormat="1" applyFont="1" applyFill="1" applyBorder="1" applyAlignment="1">
      <alignment horizontal="center" vertical="center"/>
    </xf>
    <xf numFmtId="1" fontId="16" fillId="0" borderId="42" xfId="0" applyNumberFormat="1" applyFont="1" applyBorder="1" applyAlignment="1">
      <alignment horizontal="center" vertical="center" shrinkToFit="1"/>
    </xf>
    <xf numFmtId="0" fontId="16" fillId="0" borderId="113" xfId="0" applyFont="1" applyBorder="1" applyAlignment="1">
      <alignment horizontal="left" vertical="center"/>
    </xf>
    <xf numFmtId="0" fontId="16" fillId="0" borderId="0" xfId="0" applyFont="1"/>
    <xf numFmtId="2" fontId="16" fillId="0" borderId="37" xfId="0" applyNumberFormat="1" applyFont="1" applyBorder="1" applyAlignment="1">
      <alignment horizontal="center" vertical="center" shrinkToFit="1"/>
    </xf>
    <xf numFmtId="0" fontId="16" fillId="0" borderId="94" xfId="0" applyFont="1" applyBorder="1" applyAlignment="1">
      <alignment horizontal="center" vertical="center" shrinkToFit="1"/>
    </xf>
    <xf numFmtId="1" fontId="16" fillId="0" borderId="97" xfId="0" applyNumberFormat="1" applyFont="1" applyBorder="1" applyAlignment="1">
      <alignment horizontal="center" vertical="center" shrinkToFit="1"/>
    </xf>
    <xf numFmtId="0" fontId="16" fillId="0" borderId="115" xfId="0" applyFont="1" applyBorder="1" applyAlignment="1">
      <alignment horizontal="left" vertical="center"/>
    </xf>
    <xf numFmtId="1" fontId="16" fillId="0" borderId="99" xfId="0" applyNumberFormat="1" applyFont="1" applyBorder="1" applyAlignment="1">
      <alignment horizontal="center" vertical="center" shrinkToFit="1"/>
    </xf>
    <xf numFmtId="0" fontId="16" fillId="0" borderId="89" xfId="0" applyFont="1" applyBorder="1" applyAlignment="1">
      <alignment horizontal="center" vertical="center" shrinkToFit="1"/>
    </xf>
    <xf numFmtId="1" fontId="16" fillId="0" borderId="44" xfId="0" applyNumberFormat="1" applyFont="1" applyBorder="1" applyAlignment="1">
      <alignment horizontal="center" vertical="center" shrinkToFit="1"/>
    </xf>
    <xf numFmtId="0" fontId="16" fillId="0" borderId="114" xfId="0" applyFont="1" applyBorder="1" applyAlignment="1">
      <alignment horizontal="left" vertical="center"/>
    </xf>
    <xf numFmtId="9" fontId="16" fillId="0" borderId="0" xfId="2" applyFont="1" applyBorder="1" applyAlignment="1">
      <alignment horizontal="center" vertical="center"/>
    </xf>
    <xf numFmtId="0" fontId="28" fillId="0" borderId="0" xfId="0" applyFont="1"/>
    <xf numFmtId="1" fontId="16" fillId="0" borderId="0" xfId="0" applyNumberFormat="1" applyFont="1" applyAlignment="1">
      <alignment horizontal="center" vertical="center" shrinkToFit="1"/>
    </xf>
    <xf numFmtId="0" fontId="16" fillId="0" borderId="84" xfId="0" applyFont="1" applyBorder="1" applyAlignment="1">
      <alignment horizontal="center" vertical="center" shrinkToFit="1"/>
    </xf>
    <xf numFmtId="0" fontId="16" fillId="0" borderId="46" xfId="0" applyFont="1" applyBorder="1" applyAlignment="1">
      <alignment horizontal="center" vertical="center" shrinkToFit="1"/>
    </xf>
    <xf numFmtId="164" fontId="16" fillId="0" borderId="46" xfId="0" applyNumberFormat="1" applyFont="1" applyBorder="1" applyAlignment="1">
      <alignment horizontal="center" vertical="center" shrinkToFit="1"/>
    </xf>
    <xf numFmtId="0" fontId="16" fillId="0" borderId="42" xfId="0" applyFont="1" applyBorder="1" applyAlignment="1">
      <alignment horizontal="center" vertical="center"/>
    </xf>
    <xf numFmtId="165" fontId="16" fillId="0" borderId="0" xfId="0" applyNumberFormat="1" applyFont="1" applyAlignment="1">
      <alignment horizontal="center" vertical="center"/>
    </xf>
    <xf numFmtId="0" fontId="13" fillId="0" borderId="62" xfId="0" applyFont="1" applyBorder="1" applyAlignment="1">
      <alignment horizontal="right" vertical="center"/>
    </xf>
    <xf numFmtId="0" fontId="13" fillId="0" borderId="37" xfId="0" applyFont="1" applyBorder="1" applyAlignment="1">
      <alignment horizontal="right" vertical="center"/>
    </xf>
    <xf numFmtId="0" fontId="13" fillId="0" borderId="102" xfId="0" applyFont="1" applyBorder="1" applyAlignment="1">
      <alignment horizontal="right" vertical="center"/>
    </xf>
    <xf numFmtId="0" fontId="13" fillId="0" borderId="57" xfId="0" applyFont="1" applyBorder="1" applyAlignment="1">
      <alignment horizontal="right" vertical="center"/>
    </xf>
    <xf numFmtId="0" fontId="13" fillId="0" borderId="50" xfId="0" applyFont="1" applyBorder="1" applyAlignment="1">
      <alignment horizontal="right" vertical="center"/>
    </xf>
    <xf numFmtId="9" fontId="18" fillId="0" borderId="27" xfId="8" applyFont="1" applyFill="1" applyBorder="1" applyAlignment="1">
      <alignment horizontal="center" vertical="center" shrinkToFit="1"/>
    </xf>
    <xf numFmtId="9" fontId="18" fillId="0" borderId="28" xfId="8" applyFont="1" applyFill="1" applyBorder="1" applyAlignment="1">
      <alignment horizontal="center" vertical="center" shrinkToFit="1"/>
    </xf>
    <xf numFmtId="0" fontId="18" fillId="0" borderId="28" xfId="5" applyFont="1" applyBorder="1" applyAlignment="1">
      <alignment horizontal="center" vertical="center"/>
    </xf>
    <xf numFmtId="0" fontId="18" fillId="0" borderId="28" xfId="8" applyNumberFormat="1" applyFont="1" applyFill="1" applyBorder="1" applyAlignment="1">
      <alignment horizontal="center" vertical="center" shrinkToFit="1"/>
    </xf>
    <xf numFmtId="0" fontId="18" fillId="0" borderId="29" xfId="5" applyFont="1" applyBorder="1" applyAlignment="1">
      <alignment horizontal="center" vertical="center"/>
    </xf>
    <xf numFmtId="0" fontId="18" fillId="22" borderId="27" xfId="0" applyFont="1" applyFill="1" applyBorder="1" applyAlignment="1">
      <alignment horizontal="center" vertical="center" wrapText="1"/>
    </xf>
    <xf numFmtId="0" fontId="18" fillId="22" borderId="28" xfId="0" applyFont="1" applyFill="1" applyBorder="1" applyAlignment="1">
      <alignment horizontal="center" vertical="center"/>
    </xf>
    <xf numFmtId="0" fontId="18" fillId="22" borderId="48" xfId="0" applyFont="1" applyFill="1" applyBorder="1" applyAlignment="1">
      <alignment horizontal="center" vertical="center" wrapText="1"/>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5">
    <dxf>
      <font>
        <color rgb="FFFF0000"/>
      </font>
    </dxf>
    <dxf>
      <fill>
        <patternFill>
          <bgColor rgb="FFFF0000"/>
        </patternFill>
      </fill>
    </dxf>
    <dxf>
      <font>
        <b val="0"/>
        <i/>
        <color auto="1"/>
      </font>
      <fill>
        <patternFill>
          <bgColor theme="0" tint="-0.24994659260841701"/>
        </patternFill>
      </fill>
    </dxf>
    <dxf>
      <font>
        <b/>
        <i val="0"/>
        <color theme="1"/>
      </font>
      <fill>
        <patternFill>
          <bgColor rgb="FF00FF00"/>
        </patternFill>
      </fill>
    </dxf>
    <dxf>
      <font>
        <b/>
        <i val="0"/>
      </font>
      <fill>
        <patternFill>
          <bgColor rgb="FF00FF00"/>
        </patternFill>
      </fill>
    </dxf>
    <dxf>
      <fill>
        <patternFill>
          <bgColor rgb="FF99FF99"/>
        </patternFill>
      </fill>
    </dxf>
    <dxf>
      <font>
        <b val="0"/>
        <i/>
        <color auto="1"/>
      </font>
      <fill>
        <patternFill>
          <bgColor theme="0" tint="-0.24994659260841701"/>
        </patternFill>
      </fill>
    </dxf>
    <dxf>
      <font>
        <b/>
        <i val="0"/>
        <color theme="1"/>
      </font>
      <fill>
        <patternFill>
          <bgColor rgb="FF00FF00"/>
        </patternFill>
      </fill>
    </dxf>
    <dxf>
      <font>
        <b/>
        <i val="0"/>
        <color theme="1"/>
      </font>
      <fill>
        <patternFill>
          <bgColor rgb="FF00FF00"/>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5EED7CD8-7975-4B1F-8C5C-C8BF23DA988D}"/>
  </tableStyles>
  <colors>
    <mruColors>
      <color rgb="FFCC99FF"/>
      <color rgb="FFCCFFCC"/>
      <color rgb="FF00FF00"/>
      <color rgb="FF9966FF"/>
      <color rgb="FFFF00FF"/>
      <color rgb="FF66FF33"/>
      <color rgb="FF0000FF"/>
      <color rgb="FF66FF66"/>
      <color rgb="FF00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xdr:colOff>
      <xdr:row>16</xdr:row>
      <xdr:rowOff>66675</xdr:rowOff>
    </xdr:from>
    <xdr:to>
      <xdr:col>6</xdr:col>
      <xdr:colOff>1108710</xdr:colOff>
      <xdr:row>35</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26670" y="3777615"/>
          <a:ext cx="6301740" cy="417576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mn-lt"/>
              <a:ea typeface="+mn-ea"/>
              <a:cs typeface="+mn-cs"/>
            </a:rPr>
            <a:t>Appearance:</a:t>
          </a:r>
          <a:r>
            <a:rPr lang="en-US" sz="1100">
              <a:effectLst/>
              <a:latin typeface="+mn-lt"/>
              <a:ea typeface="+mn-ea"/>
              <a:cs typeface="+mn-cs"/>
            </a:rPr>
            <a:t>  Short, stylish, raven hair, sideburns and ‘stache.  Dark grey eyes.  Slender, sharp features and angles.  Tends toward cool, flowy clothing styles, with skirts, sashes, and scarves.</a:t>
          </a:r>
        </a:p>
        <a:p>
          <a:pPr algn="just"/>
          <a:r>
            <a:rPr lang="en-US" sz="1100">
              <a:effectLst/>
              <a:latin typeface="+mn-lt"/>
              <a:ea typeface="+mn-ea"/>
              <a:cs typeface="+mn-cs"/>
            </a:rPr>
            <a:t> </a:t>
          </a:r>
        </a:p>
        <a:p>
          <a:pPr algn="just"/>
          <a:r>
            <a:rPr lang="en-US" sz="1100" b="1">
              <a:effectLst/>
              <a:latin typeface="+mn-lt"/>
              <a:ea typeface="+mn-ea"/>
              <a:cs typeface="+mn-cs"/>
            </a:rPr>
            <a:t>History: </a:t>
          </a:r>
          <a:r>
            <a:rPr lang="en-US" sz="1100">
              <a:effectLst/>
              <a:latin typeface="+mn-lt"/>
              <a:ea typeface="+mn-ea"/>
              <a:cs typeface="+mn-cs"/>
            </a:rPr>
            <a:t> Born to a half-elf adventurer woman and a human smithmaster, his parents were “killed by bandits” when Bowik was very young.  (True or not, this is the story he was told later.) He was adopted and raised by his human uncle, a bard in Darramor.  During his youth, Bowik came to appreciate music and its impact on people and their lives.  He came to see music as a divine force, a benevolent, creative energy that runs through all of the multiverse.  In dreams and visions, he is inspired to identify the Triad (Tyr, Torm, and Ilmater) as an important manifestation of Good in his world, in large part due to their position as gods of action, not merely philosophy or ideals.  He takes on the goal of composing an ultimate symphony, encompassing the Triad’s theology and his own ideology of Musica Beneva.  He joined the College Fochluchan to further this goal.  He has been active and ambitious in this body, raising as he may through its ranks.  His travels and duties eventually brought him back near his old stomping grounds, where he began to establish himself as an astrologer (seeking the true Music of the Spheres), adventurer and all around influence for good to those who come to know him.</a:t>
          </a:r>
        </a:p>
        <a:p>
          <a:pPr algn="just"/>
          <a:endParaRPr lang="en-US" sz="1100">
            <a:effectLst/>
            <a:latin typeface="+mn-lt"/>
            <a:ea typeface="+mn-ea"/>
            <a:cs typeface="+mn-cs"/>
          </a:endParaRPr>
        </a:p>
        <a:p>
          <a:pPr algn="just"/>
          <a:r>
            <a:rPr lang="en-US" sz="1100" b="1">
              <a:effectLst/>
              <a:latin typeface="+mn-lt"/>
              <a:ea typeface="+mn-ea"/>
              <a:cs typeface="+mn-cs"/>
            </a:rPr>
            <a:t>Personality:  </a:t>
          </a:r>
          <a:r>
            <a:rPr lang="en-US" sz="1100">
              <a:effectLst/>
              <a:latin typeface="+mn-lt"/>
              <a:ea typeface="+mn-ea"/>
              <a:cs typeface="+mn-cs"/>
            </a:rPr>
            <a:t>His lucky and the support of others that Bowik has enjoyed his entire life (due to his charismatic character) have brought out within him an overflowing optimism that rarely, if ever, is diminished by hardship or obstacle.  He is sometimes foolishly hopeful for what the future will bring, smiling and looking forward in even the darkest of moments.</a:t>
          </a:r>
        </a:p>
        <a:p>
          <a:pPr algn="just"/>
          <a:endParaRPr lang="en-US" sz="1100">
            <a:effectLst/>
            <a:latin typeface="+mn-lt"/>
            <a:ea typeface="+mn-ea"/>
            <a:cs typeface="+mn-cs"/>
          </a:endParaRPr>
        </a:p>
        <a:p>
          <a:pPr algn="just"/>
          <a:r>
            <a:rPr lang="en-US" sz="1100" b="1">
              <a:effectLst/>
              <a:latin typeface="+mn-lt"/>
              <a:ea typeface="+mn-ea"/>
              <a:cs typeface="+mn-cs"/>
            </a:rPr>
            <a:t>Background: </a:t>
          </a:r>
          <a:r>
            <a:rPr lang="en-US" sz="1100">
              <a:effectLst/>
              <a:latin typeface="+mn-lt"/>
              <a:ea typeface="+mn-ea"/>
              <a:cs typeface="+mn-cs"/>
            </a:rPr>
            <a:t>Entertainer - raised by his uncle in the bardic arts and performance from an early age, Bowik has known the appreciative eyes and ears of audiences from early on.  His inborn talent and love of bringing joy and healthy tears to others brought him much success in these endeavors.</a:t>
          </a:r>
        </a:p>
      </xdr:txBody>
    </xdr:sp>
    <xdr:clientData/>
  </xdr:twoCellAnchor>
  <xdr:twoCellAnchor>
    <xdr:from>
      <xdr:col>5</xdr:col>
      <xdr:colOff>66675</xdr:colOff>
      <xdr:row>14</xdr:row>
      <xdr:rowOff>175260</xdr:rowOff>
    </xdr:from>
    <xdr:to>
      <xdr:col>6</xdr:col>
      <xdr:colOff>1074420</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143375" y="3147060"/>
          <a:ext cx="2150745" cy="283845"/>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228600</xdr:colOff>
      <xdr:row>0</xdr:row>
      <xdr:rowOff>0</xdr:rowOff>
    </xdr:from>
    <xdr:to>
      <xdr:col>4</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123825</xdr:colOff>
      <xdr:row>1</xdr:row>
      <xdr:rowOff>116205</xdr:rowOff>
    </xdr:from>
    <xdr:to>
      <xdr:col>4</xdr:col>
      <xdr:colOff>337185</xdr:colOff>
      <xdr:row>2</xdr:row>
      <xdr:rowOff>59055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zoomScaleNormal="100" workbookViewId="0"/>
  </sheetViews>
  <sheetFormatPr defaultColWidth="13" defaultRowHeight="15.6" x14ac:dyDescent="0.3"/>
  <cols>
    <col min="1" max="1" width="13.796875" style="64" customWidth="1"/>
    <col min="2" max="2" width="10" style="65" customWidth="1"/>
    <col min="3" max="3" width="5.09765625" style="65" customWidth="1"/>
    <col min="4" max="4" width="13.69921875" style="64" bestFit="1" customWidth="1"/>
    <col min="5" max="5" width="10.8984375" style="65" bestFit="1" customWidth="1"/>
    <col min="6" max="6" width="15" style="64" customWidth="1"/>
    <col min="7" max="7" width="15" style="65" customWidth="1"/>
    <col min="8" max="16384" width="13" style="8"/>
  </cols>
  <sheetData>
    <row r="1" spans="1:7" ht="30" thickTop="1" thickBot="1" x14ac:dyDescent="0.35">
      <c r="A1" s="2" t="s">
        <v>292</v>
      </c>
      <c r="B1" s="3" t="s">
        <v>293</v>
      </c>
      <c r="C1" s="4"/>
      <c r="D1" s="5"/>
      <c r="E1" s="6"/>
      <c r="F1" s="5"/>
      <c r="G1" s="7" t="s">
        <v>271</v>
      </c>
    </row>
    <row r="2" spans="1:7" ht="18" thickTop="1" x14ac:dyDescent="0.3">
      <c r="A2" s="9" t="s">
        <v>159</v>
      </c>
      <c r="B2" s="10" t="s">
        <v>186</v>
      </c>
      <c r="C2" s="10"/>
      <c r="D2" s="11" t="s">
        <v>161</v>
      </c>
      <c r="E2" s="12" t="s">
        <v>294</v>
      </c>
      <c r="F2" s="8"/>
      <c r="G2" s="13"/>
    </row>
    <row r="3" spans="1:7" ht="17.399999999999999" x14ac:dyDescent="0.3">
      <c r="A3" s="9" t="s">
        <v>160</v>
      </c>
      <c r="B3" s="10" t="s">
        <v>123</v>
      </c>
      <c r="C3" s="10"/>
      <c r="D3" s="11" t="s">
        <v>0</v>
      </c>
      <c r="E3" s="12">
        <v>6</v>
      </c>
      <c r="F3" s="11"/>
      <c r="G3" s="13"/>
    </row>
    <row r="4" spans="1:7" ht="17.399999999999999" x14ac:dyDescent="0.3">
      <c r="A4" s="9" t="s">
        <v>160</v>
      </c>
      <c r="B4" s="14" t="s">
        <v>257</v>
      </c>
      <c r="C4" s="14"/>
      <c r="D4" s="11" t="s">
        <v>0</v>
      </c>
      <c r="E4" s="12">
        <v>1</v>
      </c>
      <c r="F4" s="11"/>
      <c r="G4" s="13"/>
    </row>
    <row r="5" spans="1:7" ht="17.399999999999999" x14ac:dyDescent="0.3">
      <c r="A5" s="9" t="s">
        <v>173</v>
      </c>
      <c r="B5" s="10" t="s">
        <v>187</v>
      </c>
      <c r="C5" s="10"/>
      <c r="D5" s="11" t="s">
        <v>162</v>
      </c>
      <c r="E5" s="12">
        <v>76</v>
      </c>
      <c r="F5" s="11"/>
      <c r="G5" s="13"/>
    </row>
    <row r="6" spans="1:7" ht="17.399999999999999" x14ac:dyDescent="0.3">
      <c r="A6" s="9" t="s">
        <v>172</v>
      </c>
      <c r="B6" s="10" t="s">
        <v>270</v>
      </c>
      <c r="C6" s="10"/>
      <c r="D6" s="11" t="s">
        <v>174</v>
      </c>
      <c r="E6" s="12" t="s">
        <v>183</v>
      </c>
      <c r="F6" s="11"/>
      <c r="G6" s="13"/>
    </row>
    <row r="7" spans="1:7" ht="18" thickBot="1" x14ac:dyDescent="0.35">
      <c r="A7" s="9" t="s">
        <v>163</v>
      </c>
      <c r="B7" s="10" t="s">
        <v>185</v>
      </c>
      <c r="C7" s="10"/>
      <c r="D7" s="11" t="s">
        <v>175</v>
      </c>
      <c r="E7" s="12" t="s">
        <v>184</v>
      </c>
      <c r="F7" s="11"/>
      <c r="G7" s="13"/>
    </row>
    <row r="8" spans="1:7" ht="18" thickTop="1" x14ac:dyDescent="0.3">
      <c r="A8" s="15" t="s">
        <v>177</v>
      </c>
      <c r="B8" s="16">
        <f>4+2</f>
        <v>6</v>
      </c>
      <c r="C8" s="17"/>
      <c r="D8" s="18" t="s">
        <v>83</v>
      </c>
      <c r="E8" s="19" t="s">
        <v>116</v>
      </c>
      <c r="F8" s="20"/>
      <c r="G8" s="13"/>
    </row>
    <row r="9" spans="1:7" ht="18" thickBot="1" x14ac:dyDescent="0.35">
      <c r="A9" s="21" t="s">
        <v>176</v>
      </c>
      <c r="B9" s="22" t="str">
        <f>C11</f>
        <v>+1</v>
      </c>
      <c r="C9" s="23"/>
      <c r="D9" s="24"/>
      <c r="E9" s="25"/>
      <c r="F9" s="20"/>
      <c r="G9" s="13"/>
    </row>
    <row r="10" spans="1:7" ht="18" thickTop="1" x14ac:dyDescent="0.35">
      <c r="A10" s="26" t="s">
        <v>164</v>
      </c>
      <c r="B10" s="27">
        <f>9</f>
        <v>9</v>
      </c>
      <c r="C10" s="28">
        <f t="shared" ref="C10:C13" si="0">IF(B10&gt;9.9,CONCATENATE("+",ROUNDDOWN((B10-10)/2,0)),ROUNDUP((B10-10)/2,0))</f>
        <v>-1</v>
      </c>
      <c r="D10" s="29" t="s">
        <v>178</v>
      </c>
      <c r="E10" s="30" t="s">
        <v>291</v>
      </c>
      <c r="F10" s="20"/>
      <c r="G10" s="13"/>
    </row>
    <row r="11" spans="1:7" ht="17.399999999999999" x14ac:dyDescent="0.3">
      <c r="A11" s="31" t="s">
        <v>165</v>
      </c>
      <c r="B11" s="32">
        <f>12</f>
        <v>12</v>
      </c>
      <c r="C11" s="33" t="str">
        <f t="shared" si="0"/>
        <v>+1</v>
      </c>
      <c r="D11" s="34" t="s">
        <v>179</v>
      </c>
      <c r="E11" s="35">
        <f>SUM(Martial!G3:G17)+SUM(Equipment!C3:C12)</f>
        <v>28.5</v>
      </c>
      <c r="F11" s="20"/>
      <c r="G11" s="13"/>
    </row>
    <row r="12" spans="1:7" ht="17.399999999999999" x14ac:dyDescent="0.3">
      <c r="A12" s="36" t="s">
        <v>166</v>
      </c>
      <c r="B12" s="32">
        <f>12</f>
        <v>12</v>
      </c>
      <c r="C12" s="37" t="str">
        <f t="shared" si="0"/>
        <v>+1</v>
      </c>
      <c r="D12" s="34" t="s">
        <v>180</v>
      </c>
      <c r="E12" s="38">
        <f>ROUNDUP(((E3*8)*0.75)+((E4*6)*0.75)+((E3+E4)*C12),0)</f>
        <v>48</v>
      </c>
      <c r="F12" s="20"/>
      <c r="G12" s="13"/>
    </row>
    <row r="13" spans="1:7" ht="17.399999999999999" x14ac:dyDescent="0.3">
      <c r="A13" s="39" t="s">
        <v>167</v>
      </c>
      <c r="B13" s="32">
        <f>13</f>
        <v>13</v>
      </c>
      <c r="C13" s="33" t="str">
        <f t="shared" si="0"/>
        <v>+1</v>
      </c>
      <c r="D13" s="40" t="s">
        <v>181</v>
      </c>
      <c r="E13" s="41">
        <f>10+C11</f>
        <v>11</v>
      </c>
      <c r="F13" s="9"/>
      <c r="G13" s="13"/>
    </row>
    <row r="14" spans="1:7" ht="17.399999999999999" x14ac:dyDescent="0.3">
      <c r="A14" s="42" t="s">
        <v>168</v>
      </c>
      <c r="B14" s="43">
        <f>8</f>
        <v>8</v>
      </c>
      <c r="C14" s="28">
        <f t="shared" ref="C14:C15" si="1">IF(B14&gt;9.9,CONCATENATE("+",ROUNDDOWN((B14-10)/2,0)),ROUNDUP((B14-10)/2,0))</f>
        <v>-1</v>
      </c>
      <c r="D14" s="40" t="s">
        <v>182</v>
      </c>
      <c r="E14" s="41">
        <f>E15-C11</f>
        <v>16</v>
      </c>
      <c r="F14" s="20"/>
      <c r="G14" s="13"/>
    </row>
    <row r="15" spans="1:7" ht="18" thickBot="1" x14ac:dyDescent="0.35">
      <c r="A15" s="44" t="s">
        <v>169</v>
      </c>
      <c r="B15" s="45">
        <f>18+2</f>
        <v>20</v>
      </c>
      <c r="C15" s="46" t="str">
        <f t="shared" si="1"/>
        <v>+5</v>
      </c>
      <c r="D15" s="47" t="s">
        <v>170</v>
      </c>
      <c r="E15" s="48">
        <f>E13+SUM(Martial!B13:B14)</f>
        <v>17</v>
      </c>
      <c r="F15" s="20"/>
      <c r="G15" s="13"/>
    </row>
    <row r="16" spans="1:7" ht="24.6" thickTop="1" thickBot="1" x14ac:dyDescent="0.35">
      <c r="A16" s="49" t="s">
        <v>18</v>
      </c>
      <c r="B16" s="50"/>
      <c r="C16" s="50"/>
      <c r="D16" s="51"/>
      <c r="E16" s="52"/>
      <c r="F16" s="51"/>
      <c r="G16" s="53"/>
    </row>
    <row r="17" spans="1:7" s="57" customFormat="1" ht="18" thickTop="1" x14ac:dyDescent="0.3">
      <c r="A17" s="54"/>
      <c r="B17" s="55"/>
      <c r="C17" s="55"/>
      <c r="D17" s="55"/>
      <c r="E17" s="55"/>
      <c r="F17" s="55"/>
      <c r="G17" s="56"/>
    </row>
    <row r="18" spans="1:7" s="57" customFormat="1" ht="17.399999999999999" x14ac:dyDescent="0.3">
      <c r="A18" s="58"/>
      <c r="B18" s="59"/>
      <c r="C18" s="59"/>
      <c r="D18" s="59"/>
      <c r="E18" s="59"/>
      <c r="F18" s="59"/>
      <c r="G18" s="60"/>
    </row>
    <row r="19" spans="1:7" s="57" customFormat="1" ht="17.399999999999999" x14ac:dyDescent="0.3">
      <c r="A19" s="58"/>
      <c r="B19" s="59"/>
      <c r="C19" s="59"/>
      <c r="D19" s="59"/>
      <c r="E19" s="59"/>
      <c r="F19" s="59"/>
      <c r="G19" s="60"/>
    </row>
    <row r="20" spans="1:7" s="57" customFormat="1" ht="17.399999999999999" x14ac:dyDescent="0.3">
      <c r="A20" s="58"/>
      <c r="B20" s="59"/>
      <c r="C20" s="59"/>
      <c r="D20" s="59"/>
      <c r="E20" s="59"/>
      <c r="F20" s="59"/>
      <c r="G20" s="60"/>
    </row>
    <row r="21" spans="1:7" s="57" customFormat="1" ht="17.399999999999999" x14ac:dyDescent="0.3">
      <c r="A21" s="58"/>
      <c r="B21" s="59"/>
      <c r="C21" s="59"/>
      <c r="D21" s="59"/>
      <c r="E21" s="59"/>
      <c r="F21" s="59"/>
      <c r="G21" s="60"/>
    </row>
    <row r="22" spans="1:7" s="57" customFormat="1" ht="17.399999999999999" x14ac:dyDescent="0.3">
      <c r="A22" s="58"/>
      <c r="B22" s="59"/>
      <c r="C22" s="59"/>
      <c r="D22" s="59"/>
      <c r="E22" s="59"/>
      <c r="F22" s="59"/>
      <c r="G22" s="60"/>
    </row>
    <row r="23" spans="1:7" s="57" customFormat="1" ht="17.399999999999999" x14ac:dyDescent="0.3">
      <c r="A23" s="58"/>
      <c r="B23" s="59"/>
      <c r="C23" s="59"/>
      <c r="D23" s="59"/>
      <c r="E23" s="59"/>
      <c r="F23" s="59"/>
      <c r="G23" s="60"/>
    </row>
    <row r="24" spans="1:7" s="57" customFormat="1" ht="17.399999999999999" x14ac:dyDescent="0.3">
      <c r="A24" s="58"/>
      <c r="B24" s="59"/>
      <c r="C24" s="59"/>
      <c r="D24" s="59"/>
      <c r="E24" s="59"/>
      <c r="F24" s="59"/>
      <c r="G24" s="60"/>
    </row>
    <row r="25" spans="1:7" s="57" customFormat="1" ht="17.399999999999999" x14ac:dyDescent="0.3">
      <c r="A25" s="58"/>
      <c r="B25" s="59"/>
      <c r="C25" s="59"/>
      <c r="D25" s="59"/>
      <c r="E25" s="59"/>
      <c r="F25" s="59"/>
      <c r="G25" s="60"/>
    </row>
    <row r="26" spans="1:7" s="57" customFormat="1" ht="17.399999999999999" x14ac:dyDescent="0.3">
      <c r="A26" s="58"/>
      <c r="B26" s="59"/>
      <c r="C26" s="59"/>
      <c r="D26" s="59"/>
      <c r="E26" s="59"/>
      <c r="F26" s="59"/>
      <c r="G26" s="60"/>
    </row>
    <row r="27" spans="1:7" s="57" customFormat="1" ht="17.399999999999999" x14ac:dyDescent="0.3">
      <c r="A27" s="58"/>
      <c r="B27" s="59"/>
      <c r="C27" s="59"/>
      <c r="D27" s="59"/>
      <c r="E27" s="59"/>
      <c r="F27" s="59"/>
      <c r="G27" s="60"/>
    </row>
    <row r="28" spans="1:7" s="57" customFormat="1" ht="17.399999999999999" x14ac:dyDescent="0.3">
      <c r="A28" s="58"/>
      <c r="B28" s="59"/>
      <c r="C28" s="59"/>
      <c r="D28" s="59"/>
      <c r="E28" s="59"/>
      <c r="F28" s="59"/>
      <c r="G28" s="60"/>
    </row>
    <row r="29" spans="1:7" s="57" customFormat="1" ht="17.399999999999999" x14ac:dyDescent="0.3">
      <c r="A29" s="58"/>
      <c r="B29" s="59"/>
      <c r="C29" s="59"/>
      <c r="D29" s="59"/>
      <c r="E29" s="59"/>
      <c r="F29" s="59"/>
      <c r="G29" s="60"/>
    </row>
    <row r="30" spans="1:7" s="57" customFormat="1" ht="17.399999999999999" x14ac:dyDescent="0.3">
      <c r="A30" s="58"/>
      <c r="B30" s="59"/>
      <c r="C30" s="59"/>
      <c r="D30" s="59"/>
      <c r="E30" s="59"/>
      <c r="F30" s="59"/>
      <c r="G30" s="60"/>
    </row>
    <row r="31" spans="1:7" s="57" customFormat="1" ht="17.399999999999999" x14ac:dyDescent="0.3">
      <c r="A31" s="58"/>
      <c r="B31" s="59"/>
      <c r="C31" s="59"/>
      <c r="D31" s="59"/>
      <c r="E31" s="59"/>
      <c r="F31" s="59"/>
      <c r="G31" s="60"/>
    </row>
    <row r="32" spans="1:7" s="57" customFormat="1" ht="17.399999999999999" x14ac:dyDescent="0.3">
      <c r="A32" s="58"/>
      <c r="B32" s="59"/>
      <c r="C32" s="59"/>
      <c r="D32" s="59"/>
      <c r="E32" s="59"/>
      <c r="F32" s="59"/>
      <c r="G32" s="60"/>
    </row>
    <row r="33" spans="1:7" s="57" customFormat="1" ht="17.399999999999999" x14ac:dyDescent="0.3">
      <c r="A33" s="58"/>
      <c r="B33" s="59"/>
      <c r="C33" s="59"/>
      <c r="D33" s="59"/>
      <c r="E33" s="59"/>
      <c r="F33" s="59"/>
      <c r="G33" s="60"/>
    </row>
    <row r="34" spans="1:7" s="57" customFormat="1" ht="17.399999999999999" x14ac:dyDescent="0.3">
      <c r="A34" s="58"/>
      <c r="B34" s="59"/>
      <c r="C34" s="59"/>
      <c r="D34" s="59"/>
      <c r="E34" s="59"/>
      <c r="F34" s="59"/>
      <c r="G34" s="60"/>
    </row>
    <row r="35" spans="1:7" s="57" customFormat="1" ht="17.399999999999999" x14ac:dyDescent="0.3">
      <c r="A35" s="58"/>
      <c r="B35" s="59"/>
      <c r="C35" s="59"/>
      <c r="D35" s="59"/>
      <c r="E35" s="59"/>
      <c r="F35" s="59"/>
      <c r="G35" s="60"/>
    </row>
    <row r="36" spans="1:7" ht="18" thickBot="1" x14ac:dyDescent="0.35">
      <c r="A36" s="61"/>
      <c r="B36" s="62"/>
      <c r="C36" s="62"/>
      <c r="D36" s="62"/>
      <c r="E36" s="62"/>
      <c r="F36" s="62"/>
      <c r="G36" s="63"/>
    </row>
    <row r="37" spans="1:7" ht="16.2" thickTop="1" x14ac:dyDescent="0.3"/>
  </sheetData>
  <phoneticPr fontId="0" type="noConversion"/>
  <conditionalFormatting sqref="E11">
    <cfRule type="cellIs" dxfId="14" priority="4" stopIfTrue="1" operator="greaterThan">
      <formula>60</formula>
    </cfRule>
    <cfRule type="cellIs" dxfId="13" priority="5" stopIfTrue="1" operator="between">
      <formula>30</formula>
      <formula>60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showGridLines="0" workbookViewId="0">
      <pane ySplit="2" topLeftCell="A3" activePane="bottomLeft" state="frozen"/>
      <selection pane="bottomLeft" activeCell="A3" sqref="A3"/>
    </sheetView>
  </sheetViews>
  <sheetFormatPr defaultColWidth="13" defaultRowHeight="15.6" x14ac:dyDescent="0.3"/>
  <cols>
    <col min="1" max="1" width="22.69921875" style="64" bestFit="1" customWidth="1"/>
    <col min="2" max="2" width="5.8984375" style="64" bestFit="1" customWidth="1"/>
    <col min="3" max="3" width="7.09765625" style="65" hidden="1" customWidth="1"/>
    <col min="4" max="4" width="5.796875" style="65" hidden="1" customWidth="1"/>
    <col min="5" max="5" width="9.296875" style="65" bestFit="1" customWidth="1"/>
    <col min="6" max="6" width="7.3984375" style="65" customWidth="1"/>
    <col min="7" max="7" width="5.8984375" style="65" bestFit="1" customWidth="1"/>
    <col min="8" max="8" width="4.69921875" style="65" bestFit="1" customWidth="1"/>
    <col min="9" max="9" width="6.8984375" style="65" bestFit="1" customWidth="1"/>
    <col min="10" max="10" width="17" style="64" customWidth="1"/>
    <col min="11" max="16384" width="13" style="8"/>
  </cols>
  <sheetData>
    <row r="1" spans="1:10" ht="24" thickBot="1" x14ac:dyDescent="0.35">
      <c r="A1" s="66" t="s">
        <v>7</v>
      </c>
      <c r="B1" s="67"/>
      <c r="C1" s="67"/>
      <c r="D1" s="67"/>
      <c r="E1" s="67"/>
      <c r="F1" s="67"/>
      <c r="G1" s="67"/>
      <c r="H1" s="67"/>
      <c r="I1" s="67"/>
      <c r="J1" s="67"/>
    </row>
    <row r="2" spans="1:10" s="57" customFormat="1" ht="35.4" thickBot="1" x14ac:dyDescent="0.35">
      <c r="A2" s="68" t="s">
        <v>114</v>
      </c>
      <c r="B2" s="69" t="s">
        <v>23</v>
      </c>
      <c r="C2" s="69" t="s">
        <v>30</v>
      </c>
      <c r="D2" s="69" t="s">
        <v>22</v>
      </c>
      <c r="E2" s="70" t="s">
        <v>55</v>
      </c>
      <c r="F2" s="70" t="s">
        <v>31</v>
      </c>
      <c r="G2" s="70" t="s">
        <v>57</v>
      </c>
      <c r="H2" s="71" t="s">
        <v>113</v>
      </c>
      <c r="I2" s="69" t="s">
        <v>81</v>
      </c>
      <c r="J2" s="72" t="s">
        <v>79</v>
      </c>
    </row>
    <row r="3" spans="1:10" s="57" customFormat="1" ht="17.399999999999999" x14ac:dyDescent="0.3">
      <c r="A3" s="73" t="s">
        <v>60</v>
      </c>
      <c r="B3" s="74">
        <f>2+0</f>
        <v>2</v>
      </c>
      <c r="C3" s="75" t="s">
        <v>25</v>
      </c>
      <c r="D3" s="75" t="str">
        <f>IF(C3="Str",'Personal File'!$C$10,IF(C3="Dex",'Personal File'!$C$11,IF(C3="Con",'Personal File'!$C$12,IF(C3="Int",'Personal File'!$C$13,IF(C3="Wis",'Personal File'!$C$14,IF(C3="Cha",'Personal File'!$C$15))))))</f>
        <v>+1</v>
      </c>
      <c r="E3" s="76" t="str">
        <f t="shared" ref="E3:E5" si="0">CONCATENATE(C3," (",D3,")")</f>
        <v>Con (+1)</v>
      </c>
      <c r="F3" s="484">
        <v>1</v>
      </c>
      <c r="G3" s="78">
        <f t="shared" ref="G3:G47" si="1">B3+D3+F3</f>
        <v>4</v>
      </c>
      <c r="H3" s="79">
        <f t="shared" ref="H3:H5" ca="1" si="2">RANDBETWEEN(1,20)</f>
        <v>19</v>
      </c>
      <c r="I3" s="78">
        <f ca="1">SUM(G3:H3)</f>
        <v>23</v>
      </c>
      <c r="J3" s="80"/>
    </row>
    <row r="4" spans="1:10" s="57" customFormat="1" ht="17.399999999999999" x14ac:dyDescent="0.3">
      <c r="A4" s="81" t="s">
        <v>61</v>
      </c>
      <c r="B4" s="74">
        <f>5+2</f>
        <v>7</v>
      </c>
      <c r="C4" s="75" t="s">
        <v>28</v>
      </c>
      <c r="D4" s="75" t="str">
        <f>IF(C4="Str",'Personal File'!$C$10,IF(C4="Dex",'Personal File'!$C$11,IF(C4="Con",'Personal File'!$C$12,IF(C4="Int",'Personal File'!$C$13,IF(C4="Wis",'Personal File'!$C$14,IF(C4="Cha",'Personal File'!$C$15))))))</f>
        <v>+1</v>
      </c>
      <c r="E4" s="82" t="str">
        <f t="shared" si="0"/>
        <v>Dex (+1)</v>
      </c>
      <c r="F4" s="485">
        <v>1</v>
      </c>
      <c r="G4" s="78">
        <f t="shared" si="1"/>
        <v>9</v>
      </c>
      <c r="H4" s="79">
        <f t="shared" ca="1" si="2"/>
        <v>13</v>
      </c>
      <c r="I4" s="78">
        <f ca="1">SUM(G4:H4)</f>
        <v>22</v>
      </c>
      <c r="J4" s="80" t="s">
        <v>275</v>
      </c>
    </row>
    <row r="5" spans="1:10" s="57" customFormat="1" ht="17.399999999999999" x14ac:dyDescent="0.3">
      <c r="A5" s="83" t="s">
        <v>62</v>
      </c>
      <c r="B5" s="84">
        <f>5+2</f>
        <v>7</v>
      </c>
      <c r="C5" s="85" t="s">
        <v>27</v>
      </c>
      <c r="D5" s="85">
        <f>IF(C5="Str",'Personal File'!$C$10,IF(C5="Dex",'Personal File'!$C$11,IF(C5="Con",'Personal File'!$C$12,IF(C5="Int",'Personal File'!$C$13,IF(C5="Wis",'Personal File'!$C$14,IF(C5="Cha",'Personal File'!$C$15))))))</f>
        <v>-1</v>
      </c>
      <c r="E5" s="86" t="str">
        <f t="shared" si="0"/>
        <v>Wis (-1)</v>
      </c>
      <c r="F5" s="486">
        <f>2+1</f>
        <v>3</v>
      </c>
      <c r="G5" s="88">
        <f t="shared" si="1"/>
        <v>9</v>
      </c>
      <c r="H5" s="89">
        <f t="shared" ca="1" si="2"/>
        <v>12</v>
      </c>
      <c r="I5" s="88">
        <f ca="1">SUM(G5:H5)</f>
        <v>21</v>
      </c>
      <c r="J5" s="90"/>
    </row>
    <row r="6" spans="1:10" s="98" customFormat="1" ht="17.399999999999999" x14ac:dyDescent="0.3">
      <c r="A6" s="91" t="s">
        <v>32</v>
      </c>
      <c r="B6" s="75">
        <v>0</v>
      </c>
      <c r="C6" s="92" t="s">
        <v>26</v>
      </c>
      <c r="D6" s="93" t="str">
        <f>IF(C6="Str",'Personal File'!$C$10,IF(C6="Dex",'Personal File'!$C$11,IF(C6="Con",'Personal File'!$C$12,IF(C6="Int",'Personal File'!$C$13,IF(C6="Wis",'Personal File'!$C$14,IF(C6="Cha",'Personal File'!$C$15))))))</f>
        <v>+1</v>
      </c>
      <c r="E6" s="94" t="str">
        <f t="shared" ref="E6:E47" si="3">CONCATENATE(C6," (",D6,")")</f>
        <v>Int (+1)</v>
      </c>
      <c r="F6" s="95" t="s">
        <v>56</v>
      </c>
      <c r="G6" s="96">
        <f t="shared" si="1"/>
        <v>1</v>
      </c>
      <c r="H6" s="79">
        <f ca="1">RANDBETWEEN(1,20)</f>
        <v>14</v>
      </c>
      <c r="I6" s="96">
        <f t="shared" ref="I6:I47" ca="1" si="4">SUM(G6:H6)</f>
        <v>15</v>
      </c>
      <c r="J6" s="97"/>
    </row>
    <row r="7" spans="1:10" s="102" customFormat="1" ht="17.399999999999999" x14ac:dyDescent="0.3">
      <c r="A7" s="99" t="s">
        <v>33</v>
      </c>
      <c r="B7" s="75">
        <v>0</v>
      </c>
      <c r="C7" s="100" t="s">
        <v>28</v>
      </c>
      <c r="D7" s="101" t="str">
        <f>IF(C7="Str",'Personal File'!$C$10,IF(C7="Dex",'Personal File'!$C$11,IF(C7="Con",'Personal File'!$C$12,IF(C7="Int",'Personal File'!$C$13,IF(C7="Wis",'Personal File'!$C$14,IF(C7="Cha",'Personal File'!$C$15))))))</f>
        <v>+1</v>
      </c>
      <c r="E7" s="82" t="str">
        <f t="shared" si="3"/>
        <v>Dex (+1)</v>
      </c>
      <c r="F7" s="95">
        <f>SUM(Martial!$D$13:$D$14)*-1</f>
        <v>0</v>
      </c>
      <c r="G7" s="96">
        <f t="shared" si="1"/>
        <v>1</v>
      </c>
      <c r="H7" s="79">
        <f t="shared" ref="H7:H46" ca="1" si="5">RANDBETWEEN(1,20)</f>
        <v>11</v>
      </c>
      <c r="I7" s="96">
        <f t="shared" ca="1" si="4"/>
        <v>12</v>
      </c>
      <c r="J7" s="97"/>
    </row>
    <row r="8" spans="1:10" s="111" customFormat="1" ht="17.399999999999999" x14ac:dyDescent="0.3">
      <c r="A8" s="103" t="s">
        <v>34</v>
      </c>
      <c r="B8" s="104">
        <v>2</v>
      </c>
      <c r="C8" s="105" t="s">
        <v>24</v>
      </c>
      <c r="D8" s="106" t="str">
        <f>IF(C8="Str",'Personal File'!$C$10,IF(C8="Dex",'Personal File'!$C$11,IF(C8="Con",'Personal File'!$C$12,IF(C8="Int",'Personal File'!$C$13,IF(C8="Wis",'Personal File'!$C$14,IF(C8="Cha",'Personal File'!$C$15))))))</f>
        <v>+5</v>
      </c>
      <c r="E8" s="107" t="str">
        <f t="shared" si="3"/>
        <v>Cha (+5)</v>
      </c>
      <c r="F8" s="108" t="s">
        <v>211</v>
      </c>
      <c r="G8" s="109">
        <f t="shared" si="1"/>
        <v>9</v>
      </c>
      <c r="H8" s="79">
        <f t="shared" ca="1" si="5"/>
        <v>16</v>
      </c>
      <c r="I8" s="109">
        <f t="shared" ca="1" si="4"/>
        <v>25</v>
      </c>
      <c r="J8" s="110"/>
    </row>
    <row r="9" spans="1:10" s="116" customFormat="1" ht="17.399999999999999" x14ac:dyDescent="0.3">
      <c r="A9" s="112" t="s">
        <v>35</v>
      </c>
      <c r="B9" s="75">
        <v>0</v>
      </c>
      <c r="C9" s="113" t="s">
        <v>29</v>
      </c>
      <c r="D9" s="114">
        <f>IF(C9="Str",'Personal File'!$C$10,IF(C9="Dex",'Personal File'!$C$11,IF(C9="Con",'Personal File'!$C$12,IF(C9="Int",'Personal File'!$C$13,IF(C9="Wis",'Personal File'!$C$14,IF(C9="Cha",'Personal File'!$C$15))))))</f>
        <v>-1</v>
      </c>
      <c r="E9" s="115" t="str">
        <f t="shared" si="3"/>
        <v>Str (-1)</v>
      </c>
      <c r="F9" s="95">
        <f>SUM(Martial!$D$13:$D$14)*-1</f>
        <v>0</v>
      </c>
      <c r="G9" s="96">
        <f t="shared" si="1"/>
        <v>-1</v>
      </c>
      <c r="H9" s="79">
        <f t="shared" ca="1" si="5"/>
        <v>5</v>
      </c>
      <c r="I9" s="96">
        <f t="shared" ca="1" si="4"/>
        <v>4</v>
      </c>
      <c r="J9" s="97"/>
    </row>
    <row r="10" spans="1:10" s="116" customFormat="1" ht="17.399999999999999" x14ac:dyDescent="0.3">
      <c r="A10" s="117" t="s">
        <v>8</v>
      </c>
      <c r="B10" s="118">
        <v>3</v>
      </c>
      <c r="C10" s="119" t="s">
        <v>25</v>
      </c>
      <c r="D10" s="120" t="str">
        <f>IF(C10="Str",'Personal File'!$C$10,IF(C10="Dex",'Personal File'!$C$11,IF(C10="Con",'Personal File'!$C$12,IF(C10="Int",'Personal File'!$C$13,IF(C10="Wis",'Personal File'!$C$14,IF(C10="Cha",'Personal File'!$C$15))))))</f>
        <v>+1</v>
      </c>
      <c r="E10" s="121" t="str">
        <f t="shared" si="3"/>
        <v>Con (+1)</v>
      </c>
      <c r="F10" s="108" t="s">
        <v>56</v>
      </c>
      <c r="G10" s="108">
        <f t="shared" si="1"/>
        <v>4</v>
      </c>
      <c r="H10" s="79">
        <f t="shared" ca="1" si="5"/>
        <v>7</v>
      </c>
      <c r="I10" s="108">
        <f t="shared" ca="1" si="4"/>
        <v>11</v>
      </c>
      <c r="J10" s="122"/>
    </row>
    <row r="11" spans="1:10" s="98" customFormat="1" ht="17.399999999999999" x14ac:dyDescent="0.3">
      <c r="A11" s="91" t="s">
        <v>88</v>
      </c>
      <c r="B11" s="75">
        <v>0</v>
      </c>
      <c r="C11" s="92" t="s">
        <v>26</v>
      </c>
      <c r="D11" s="93" t="str">
        <f>IF(C11="Str",'Personal File'!$C$10,IF(C11="Dex",'Personal File'!$C$11,IF(C11="Con",'Personal File'!$C$12,IF(C11="Int",'Personal File'!$C$13,IF(C11="Wis",'Personal File'!$C$14,IF(C11="Cha",'Personal File'!$C$15))))))</f>
        <v>+1</v>
      </c>
      <c r="E11" s="94" t="str">
        <f t="shared" si="3"/>
        <v>Int (+1)</v>
      </c>
      <c r="F11" s="96" t="s">
        <v>56</v>
      </c>
      <c r="G11" s="96">
        <f t="shared" si="1"/>
        <v>1</v>
      </c>
      <c r="H11" s="79">
        <f t="shared" ca="1" si="5"/>
        <v>11</v>
      </c>
      <c r="I11" s="96">
        <f t="shared" ca="1" si="4"/>
        <v>12</v>
      </c>
      <c r="J11" s="97"/>
    </row>
    <row r="12" spans="1:10" s="123" customFormat="1" ht="17.399999999999999" x14ac:dyDescent="0.3">
      <c r="A12" s="91" t="s">
        <v>36</v>
      </c>
      <c r="B12" s="75">
        <v>0</v>
      </c>
      <c r="C12" s="92" t="s">
        <v>26</v>
      </c>
      <c r="D12" s="93" t="str">
        <f>IF(C12="Str",'Personal File'!$C$10,IF(C12="Dex",'Personal File'!$C$11,IF(C12="Con",'Personal File'!$C$12,IF(C12="Int",'Personal File'!$C$13,IF(C12="Wis",'Personal File'!$C$14,IF(C12="Cha",'Personal File'!$C$15))))))</f>
        <v>+1</v>
      </c>
      <c r="E12" s="94" t="str">
        <f t="shared" si="3"/>
        <v>Int (+1)</v>
      </c>
      <c r="F12" s="96" t="s">
        <v>56</v>
      </c>
      <c r="G12" s="96">
        <f t="shared" si="1"/>
        <v>1</v>
      </c>
      <c r="H12" s="79">
        <f t="shared" ca="1" si="5"/>
        <v>17</v>
      </c>
      <c r="I12" s="96">
        <f t="shared" ref="I12" ca="1" si="6">SUM(G12:H12)</f>
        <v>18</v>
      </c>
      <c r="J12" s="97"/>
    </row>
    <row r="13" spans="1:10" s="102" customFormat="1" ht="17.399999999999999" x14ac:dyDescent="0.3">
      <c r="A13" s="103" t="s">
        <v>37</v>
      </c>
      <c r="B13" s="104">
        <v>2</v>
      </c>
      <c r="C13" s="105" t="s">
        <v>24</v>
      </c>
      <c r="D13" s="106" t="str">
        <f>IF(C13="Str",'Personal File'!$C$10,IF(C13="Dex",'Personal File'!$C$11,IF(C13="Con",'Personal File'!$C$12,IF(C13="Int",'Personal File'!$C$13,IF(C13="Wis",'Personal File'!$C$14,IF(C13="Cha",'Personal File'!$C$15))))))</f>
        <v>+5</v>
      </c>
      <c r="E13" s="107" t="str">
        <f t="shared" si="3"/>
        <v>Cha (+5)</v>
      </c>
      <c r="F13" s="124">
        <f>2+2</f>
        <v>4</v>
      </c>
      <c r="G13" s="109">
        <f t="shared" si="1"/>
        <v>11</v>
      </c>
      <c r="H13" s="79">
        <f t="shared" ca="1" si="5"/>
        <v>1</v>
      </c>
      <c r="I13" s="109">
        <f t="shared" ca="1" si="4"/>
        <v>12</v>
      </c>
      <c r="J13" s="110"/>
    </row>
    <row r="14" spans="1:10" s="102" customFormat="1" ht="17.399999999999999" x14ac:dyDescent="0.3">
      <c r="A14" s="125" t="s">
        <v>38</v>
      </c>
      <c r="B14" s="126">
        <v>0</v>
      </c>
      <c r="C14" s="127" t="s">
        <v>26</v>
      </c>
      <c r="D14" s="128" t="str">
        <f>IF(C14="Str",'Personal File'!$C$10,IF(C14="Dex",'Personal File'!$C$11,IF(C14="Con",'Personal File'!$C$12,IF(C14="Int",'Personal File'!$C$13,IF(C14="Wis",'Personal File'!$C$14,IF(C14="Cha",'Personal File'!$C$15))))))</f>
        <v>+1</v>
      </c>
      <c r="E14" s="129" t="str">
        <f t="shared" si="3"/>
        <v>Int (+1)</v>
      </c>
      <c r="F14" s="130" t="s">
        <v>56</v>
      </c>
      <c r="G14" s="130">
        <f t="shared" si="1"/>
        <v>1</v>
      </c>
      <c r="H14" s="79">
        <f t="shared" ca="1" si="5"/>
        <v>7</v>
      </c>
      <c r="I14" s="130">
        <f t="shared" ref="I14" ca="1" si="7">SUM(G14:H14)</f>
        <v>8</v>
      </c>
      <c r="J14" s="131"/>
    </row>
    <row r="15" spans="1:10" s="102" customFormat="1" ht="17.399999999999999" x14ac:dyDescent="0.3">
      <c r="A15" s="132" t="s">
        <v>39</v>
      </c>
      <c r="B15" s="75">
        <v>0</v>
      </c>
      <c r="C15" s="133" t="s">
        <v>24</v>
      </c>
      <c r="D15" s="134" t="str">
        <f>IF(C15="Str",'Personal File'!$C$10,IF(C15="Dex",'Personal File'!$C$11,IF(C15="Con",'Personal File'!$C$12,IF(C15="Int",'Personal File'!$C$13,IF(C15="Wis",'Personal File'!$C$14,IF(C15="Cha",'Personal File'!$C$15))))))</f>
        <v>+5</v>
      </c>
      <c r="E15" s="135" t="str">
        <f t="shared" si="3"/>
        <v>Cha (+5)</v>
      </c>
      <c r="F15" s="95">
        <v>0</v>
      </c>
      <c r="G15" s="96">
        <f t="shared" si="1"/>
        <v>5</v>
      </c>
      <c r="H15" s="79">
        <f t="shared" ca="1" si="5"/>
        <v>20</v>
      </c>
      <c r="I15" s="96">
        <f t="shared" ca="1" si="4"/>
        <v>25</v>
      </c>
      <c r="J15" s="97"/>
    </row>
    <row r="16" spans="1:10" s="102" customFormat="1" ht="17.399999999999999" x14ac:dyDescent="0.3">
      <c r="A16" s="99" t="s">
        <v>40</v>
      </c>
      <c r="B16" s="75">
        <v>0</v>
      </c>
      <c r="C16" s="100" t="s">
        <v>28</v>
      </c>
      <c r="D16" s="101" t="str">
        <f>IF(C16="Str",'Personal File'!$C$10,IF(C16="Dex",'Personal File'!$C$11,IF(C16="Con",'Personal File'!$C$12,IF(C16="Int",'Personal File'!$C$13,IF(C16="Wis",'Personal File'!$C$14,IF(C16="Cha",'Personal File'!$C$15))))))</f>
        <v>+1</v>
      </c>
      <c r="E16" s="82" t="str">
        <f t="shared" si="3"/>
        <v>Dex (+1)</v>
      </c>
      <c r="F16" s="95">
        <f>SUM(Martial!$D$13:$D$14)*-1</f>
        <v>0</v>
      </c>
      <c r="G16" s="96">
        <f t="shared" si="1"/>
        <v>1</v>
      </c>
      <c r="H16" s="79">
        <f t="shared" ca="1" si="5"/>
        <v>5</v>
      </c>
      <c r="I16" s="96">
        <f t="shared" ca="1" si="4"/>
        <v>6</v>
      </c>
      <c r="J16" s="97"/>
    </row>
    <row r="17" spans="1:10" s="102" customFormat="1" ht="17.399999999999999" x14ac:dyDescent="0.3">
      <c r="A17" s="136" t="s">
        <v>41</v>
      </c>
      <c r="B17" s="137">
        <v>0</v>
      </c>
      <c r="C17" s="138" t="s">
        <v>26</v>
      </c>
      <c r="D17" s="139" t="str">
        <f>IF(C17="Str",'Personal File'!$C$10,IF(C17="Dex",'Personal File'!$C$11,IF(C17="Con",'Personal File'!$C$12,IF(C17="Int",'Personal File'!$C$13,IF(C17="Wis",'Personal File'!$C$14,IF(C17="Cha",'Personal File'!$C$15))))))</f>
        <v>+1</v>
      </c>
      <c r="E17" s="140" t="str">
        <f t="shared" si="3"/>
        <v>Int (+1)</v>
      </c>
      <c r="F17" s="141" t="s">
        <v>56</v>
      </c>
      <c r="G17" s="141">
        <f t="shared" si="1"/>
        <v>1</v>
      </c>
      <c r="H17" s="79">
        <f t="shared" ca="1" si="5"/>
        <v>16</v>
      </c>
      <c r="I17" s="141">
        <f t="shared" ca="1" si="4"/>
        <v>17</v>
      </c>
      <c r="J17" s="142"/>
    </row>
    <row r="18" spans="1:10" s="102" customFormat="1" ht="17.399999999999999" x14ac:dyDescent="0.3">
      <c r="A18" s="103" t="s">
        <v>42</v>
      </c>
      <c r="B18" s="104">
        <v>2</v>
      </c>
      <c r="C18" s="105" t="s">
        <v>24</v>
      </c>
      <c r="D18" s="106" t="str">
        <f>IF(C18="Str",'Personal File'!$C$10,IF(C18="Dex",'Personal File'!$C$11,IF(C18="Con",'Personal File'!$C$12,IF(C18="Int",'Personal File'!$C$13,IF(C18="Wis",'Personal File'!$C$14,IF(C18="Cha",'Personal File'!$C$15))))))</f>
        <v>+5</v>
      </c>
      <c r="E18" s="107" t="str">
        <f t="shared" si="3"/>
        <v>Cha (+5)</v>
      </c>
      <c r="F18" s="108" t="s">
        <v>211</v>
      </c>
      <c r="G18" s="109">
        <f t="shared" si="1"/>
        <v>9</v>
      </c>
      <c r="H18" s="79">
        <f t="shared" ca="1" si="5"/>
        <v>13</v>
      </c>
      <c r="I18" s="109">
        <f t="shared" ca="1" si="4"/>
        <v>22</v>
      </c>
      <c r="J18" s="110"/>
    </row>
    <row r="19" spans="1:10" s="102" customFormat="1" ht="17.399999999999999" x14ac:dyDescent="0.3">
      <c r="A19" s="132" t="s">
        <v>10</v>
      </c>
      <c r="B19" s="75">
        <v>0</v>
      </c>
      <c r="C19" s="133" t="s">
        <v>24</v>
      </c>
      <c r="D19" s="134" t="str">
        <f>IF(C19="Str",'Personal File'!$C$10,IF(C19="Dex",'Personal File'!$C$11,IF(C19="Con",'Personal File'!$C$12,IF(C19="Int",'Personal File'!$C$13,IF(C19="Wis",'Personal File'!$C$14,IF(C19="Cha",'Personal File'!$C$15))))))</f>
        <v>+5</v>
      </c>
      <c r="E19" s="135" t="str">
        <f t="shared" si="3"/>
        <v>Cha (+5)</v>
      </c>
      <c r="F19" s="96" t="s">
        <v>56</v>
      </c>
      <c r="G19" s="96">
        <f t="shared" si="1"/>
        <v>5</v>
      </c>
      <c r="H19" s="79">
        <f t="shared" ca="1" si="5"/>
        <v>13</v>
      </c>
      <c r="I19" s="96">
        <f t="shared" ca="1" si="4"/>
        <v>18</v>
      </c>
      <c r="J19" s="97"/>
    </row>
    <row r="20" spans="1:10" s="102" customFormat="1" ht="17.399999999999999" x14ac:dyDescent="0.3">
      <c r="A20" s="143" t="s">
        <v>43</v>
      </c>
      <c r="B20" s="75">
        <v>0</v>
      </c>
      <c r="C20" s="144" t="s">
        <v>27</v>
      </c>
      <c r="D20" s="145">
        <f>IF(C20="Str",'Personal File'!$C$10,IF(C20="Dex",'Personal File'!$C$11,IF(C20="Con",'Personal File'!$C$12,IF(C20="Int",'Personal File'!$C$13,IF(C20="Wis",'Personal File'!$C$14,IF(C20="Cha",'Personal File'!$C$15))))))</f>
        <v>-1</v>
      </c>
      <c r="E20" s="146" t="str">
        <f t="shared" si="3"/>
        <v>Wis (-1)</v>
      </c>
      <c r="F20" s="96" t="s">
        <v>56</v>
      </c>
      <c r="G20" s="96">
        <f t="shared" si="1"/>
        <v>-1</v>
      </c>
      <c r="H20" s="79">
        <f t="shared" ca="1" si="5"/>
        <v>9</v>
      </c>
      <c r="I20" s="96">
        <f t="shared" ca="1" si="4"/>
        <v>8</v>
      </c>
      <c r="J20" s="97"/>
    </row>
    <row r="21" spans="1:10" s="102" customFormat="1" ht="17.399999999999999" x14ac:dyDescent="0.3">
      <c r="A21" s="99" t="s">
        <v>44</v>
      </c>
      <c r="B21" s="75">
        <v>0</v>
      </c>
      <c r="C21" s="100" t="s">
        <v>28</v>
      </c>
      <c r="D21" s="101" t="str">
        <f>IF(C21="Str",'Personal File'!$C$10,IF(C21="Dex",'Personal File'!$C$11,IF(C21="Con",'Personal File'!$C$12,IF(C21="Int",'Personal File'!$C$13,IF(C21="Wis",'Personal File'!$C$14,IF(C21="Cha",'Personal File'!$C$15))))))</f>
        <v>+1</v>
      </c>
      <c r="E21" s="82" t="str">
        <f t="shared" si="3"/>
        <v>Dex (+1)</v>
      </c>
      <c r="F21" s="95">
        <f>SUM(Martial!$D$13:$D$14)*-1</f>
        <v>0</v>
      </c>
      <c r="G21" s="96">
        <f t="shared" si="1"/>
        <v>1</v>
      </c>
      <c r="H21" s="79">
        <f t="shared" ca="1" si="5"/>
        <v>14</v>
      </c>
      <c r="I21" s="96">
        <f t="shared" ca="1" si="4"/>
        <v>15</v>
      </c>
      <c r="J21" s="97"/>
    </row>
    <row r="22" spans="1:10" s="102" customFormat="1" ht="17.399999999999999" x14ac:dyDescent="0.3">
      <c r="A22" s="132" t="s">
        <v>45</v>
      </c>
      <c r="B22" s="75">
        <v>0</v>
      </c>
      <c r="C22" s="133" t="s">
        <v>24</v>
      </c>
      <c r="D22" s="134" t="str">
        <f>IF(C22="Str",'Personal File'!$C$10,IF(C22="Dex",'Personal File'!$C$11,IF(C22="Con",'Personal File'!$C$12,IF(C22="Int",'Personal File'!$C$13,IF(C22="Wis",'Personal File'!$C$14,IF(C22="Cha",'Personal File'!$C$15))))))</f>
        <v>+5</v>
      </c>
      <c r="E22" s="135" t="str">
        <f t="shared" si="3"/>
        <v>Cha (+5)</v>
      </c>
      <c r="F22" s="95">
        <f>2+2</f>
        <v>4</v>
      </c>
      <c r="G22" s="96">
        <f t="shared" si="1"/>
        <v>9</v>
      </c>
      <c r="H22" s="79">
        <f t="shared" ca="1" si="5"/>
        <v>10</v>
      </c>
      <c r="I22" s="96">
        <f t="shared" ca="1" si="4"/>
        <v>19</v>
      </c>
      <c r="J22" s="97"/>
    </row>
    <row r="23" spans="1:10" s="102" customFormat="1" ht="17.399999999999999" x14ac:dyDescent="0.3">
      <c r="A23" s="112" t="s">
        <v>46</v>
      </c>
      <c r="B23" s="75">
        <v>0</v>
      </c>
      <c r="C23" s="113" t="s">
        <v>29</v>
      </c>
      <c r="D23" s="114">
        <f>IF(C23="Str",'Personal File'!$C$10,IF(C23="Dex",'Personal File'!$C$11,IF(C23="Con",'Personal File'!$C$12,IF(C23="Int",'Personal File'!$C$13,IF(C23="Wis",'Personal File'!$C$14,IF(C23="Cha",'Personal File'!$C$15))))))</f>
        <v>-1</v>
      </c>
      <c r="E23" s="115" t="str">
        <f t="shared" si="3"/>
        <v>Str (-1)</v>
      </c>
      <c r="F23" s="95">
        <f>SUM(Martial!$D$13:$D$14)*-1</f>
        <v>0</v>
      </c>
      <c r="G23" s="96">
        <f t="shared" si="1"/>
        <v>-1</v>
      </c>
      <c r="H23" s="79">
        <f t="shared" ca="1" si="5"/>
        <v>7</v>
      </c>
      <c r="I23" s="96">
        <f t="shared" ca="1" si="4"/>
        <v>6</v>
      </c>
      <c r="J23" s="97"/>
    </row>
    <row r="24" spans="1:10" s="102" customFormat="1" ht="17.399999999999999" x14ac:dyDescent="0.3">
      <c r="A24" s="147" t="s">
        <v>188</v>
      </c>
      <c r="B24" s="148">
        <v>10</v>
      </c>
      <c r="C24" s="149" t="s">
        <v>26</v>
      </c>
      <c r="D24" s="150" t="str">
        <f>IF(C24="Str",'Personal File'!$C$10,IF(C24="Dex",'Personal File'!$C$11,IF(C24="Con",'Personal File'!$C$12,IF(C24="Int",'Personal File'!$C$13,IF(C24="Wis",'Personal File'!$C$14,IF(C24="Cha",'Personal File'!$C$15))))))</f>
        <v>+1</v>
      </c>
      <c r="E24" s="151" t="str">
        <f>CONCATENATE(C24," (",D24,")")</f>
        <v>Int (+1)</v>
      </c>
      <c r="F24" s="152">
        <v>0</v>
      </c>
      <c r="G24" s="153">
        <f t="shared" si="1"/>
        <v>11</v>
      </c>
      <c r="H24" s="79">
        <f t="shared" ca="1" si="5"/>
        <v>6</v>
      </c>
      <c r="I24" s="153">
        <f t="shared" ca="1" si="4"/>
        <v>17</v>
      </c>
      <c r="J24" s="154"/>
    </row>
    <row r="25" spans="1:10" s="102" customFormat="1" ht="17.399999999999999" x14ac:dyDescent="0.3">
      <c r="A25" s="155" t="s">
        <v>242</v>
      </c>
      <c r="B25" s="156">
        <f>'Personal File'!$E$3</f>
        <v>6</v>
      </c>
      <c r="C25" s="157" t="s">
        <v>26</v>
      </c>
      <c r="D25" s="158" t="str">
        <f>IF(C25="Str",'Personal File'!$C$10,IF(C25="Dex",'Personal File'!$C$11,IF(C25="Con",'Personal File'!$C$12,IF(C25="Int",'Personal File'!$C$13,IF(C25="Wis",'Personal File'!$C$14,IF(C25="Cha",'Personal File'!$C$15))))))</f>
        <v>+1</v>
      </c>
      <c r="E25" s="159" t="str">
        <f>CONCATENATE(C25," (",D25,")")</f>
        <v>Int (+1)</v>
      </c>
      <c r="F25" s="160">
        <v>0</v>
      </c>
      <c r="G25" s="161">
        <f t="shared" si="1"/>
        <v>7</v>
      </c>
      <c r="H25" s="79">
        <f t="shared" ca="1" si="5"/>
        <v>4</v>
      </c>
      <c r="I25" s="161">
        <f t="shared" ca="1" si="4"/>
        <v>11</v>
      </c>
      <c r="J25" s="162"/>
    </row>
    <row r="26" spans="1:10" s="102" customFormat="1" ht="17.399999999999999" x14ac:dyDescent="0.3">
      <c r="A26" s="147" t="s">
        <v>239</v>
      </c>
      <c r="B26" s="148">
        <v>2</v>
      </c>
      <c r="C26" s="149" t="s">
        <v>26</v>
      </c>
      <c r="D26" s="150" t="str">
        <f>IF(C26="Str",'Personal File'!$C$10,IF(C26="Dex",'Personal File'!$C$11,IF(C26="Con",'Personal File'!$C$12,IF(C26="Int",'Personal File'!$C$13,IF(C26="Wis",'Personal File'!$C$14,IF(C26="Cha",'Personal File'!$C$15))))))</f>
        <v>+1</v>
      </c>
      <c r="E26" s="151" t="str">
        <f>CONCATENATE(C26," (",D26,")")</f>
        <v>Int (+1)</v>
      </c>
      <c r="F26" s="152">
        <v>0</v>
      </c>
      <c r="G26" s="153">
        <f t="shared" ref="G26" si="8">B26+D26+F26</f>
        <v>3</v>
      </c>
      <c r="H26" s="79">
        <f t="shared" ca="1" si="5"/>
        <v>6</v>
      </c>
      <c r="I26" s="153">
        <f t="shared" ref="I26" ca="1" si="9">SUM(G26:H26)</f>
        <v>9</v>
      </c>
      <c r="J26" s="154"/>
    </row>
    <row r="27" spans="1:10" s="102" customFormat="1" ht="17.399999999999999" x14ac:dyDescent="0.3">
      <c r="A27" s="147" t="s">
        <v>258</v>
      </c>
      <c r="B27" s="148">
        <v>1</v>
      </c>
      <c r="C27" s="149" t="s">
        <v>26</v>
      </c>
      <c r="D27" s="150" t="str">
        <f>IF(C27="Str",'Personal File'!$C$10,IF(C27="Dex",'Personal File'!$C$11,IF(C27="Con",'Personal File'!$C$12,IF(C27="Int",'Personal File'!$C$13,IF(C27="Wis",'Personal File'!$C$14,IF(C27="Cha",'Personal File'!$C$15))))))</f>
        <v>+1</v>
      </c>
      <c r="E27" s="151" t="str">
        <f>CONCATENATE(C27," (",D27,")")</f>
        <v>Int (+1)</v>
      </c>
      <c r="F27" s="152">
        <v>0</v>
      </c>
      <c r="G27" s="153">
        <f t="shared" ref="G27" si="10">B27+D27+F27</f>
        <v>2</v>
      </c>
      <c r="H27" s="79">
        <f t="shared" ca="1" si="5"/>
        <v>8</v>
      </c>
      <c r="I27" s="153">
        <f t="shared" ref="I27" ca="1" si="11">SUM(G27:H27)</f>
        <v>10</v>
      </c>
      <c r="J27" s="154"/>
    </row>
    <row r="28" spans="1:10" s="102" customFormat="1" ht="17.399999999999999" x14ac:dyDescent="0.3">
      <c r="A28" s="163" t="s">
        <v>47</v>
      </c>
      <c r="B28" s="104">
        <v>10</v>
      </c>
      <c r="C28" s="164" t="s">
        <v>27</v>
      </c>
      <c r="D28" s="165">
        <f>IF(C28="Str",'Personal File'!$C$10,IF(C28="Dex",'Personal File'!$C$11,IF(C28="Con",'Personal File'!$C$12,IF(C28="Int",'Personal File'!$C$13,IF(C28="Wis",'Personal File'!$C$14,IF(C28="Cha",'Personal File'!$C$15))))))</f>
        <v>-1</v>
      </c>
      <c r="E28" s="166" t="str">
        <f t="shared" si="3"/>
        <v>Wis (-1)</v>
      </c>
      <c r="F28" s="108" t="s">
        <v>103</v>
      </c>
      <c r="G28" s="109">
        <f t="shared" si="1"/>
        <v>10</v>
      </c>
      <c r="H28" s="79">
        <f t="shared" ca="1" si="5"/>
        <v>7</v>
      </c>
      <c r="I28" s="109">
        <f t="shared" ca="1" si="4"/>
        <v>17</v>
      </c>
      <c r="J28" s="110"/>
    </row>
    <row r="29" spans="1:10" s="102" customFormat="1" ht="17.399999999999999" x14ac:dyDescent="0.3">
      <c r="A29" s="99" t="s">
        <v>11</v>
      </c>
      <c r="B29" s="75">
        <v>0</v>
      </c>
      <c r="C29" s="100" t="s">
        <v>28</v>
      </c>
      <c r="D29" s="101" t="str">
        <f>IF(C29="Str",'Personal File'!$C$10,IF(C29="Dex",'Personal File'!$C$11,IF(C29="Con",'Personal File'!$C$12,IF(C29="Int",'Personal File'!$C$13,IF(C29="Wis",'Personal File'!$C$14,IF(C29="Cha",'Personal File'!$C$15))))))</f>
        <v>+1</v>
      </c>
      <c r="E29" s="82" t="str">
        <f t="shared" si="3"/>
        <v>Dex (+1)</v>
      </c>
      <c r="F29" s="95">
        <f>SUM(Martial!$D$13:$D$14)*-1</f>
        <v>0</v>
      </c>
      <c r="G29" s="96">
        <f t="shared" si="1"/>
        <v>1</v>
      </c>
      <c r="H29" s="79">
        <f t="shared" ca="1" si="5"/>
        <v>18</v>
      </c>
      <c r="I29" s="96">
        <f t="shared" ca="1" si="4"/>
        <v>19</v>
      </c>
      <c r="J29" s="97"/>
    </row>
    <row r="30" spans="1:10" s="102" customFormat="1" ht="17.399999999999999" x14ac:dyDescent="0.3">
      <c r="A30" s="167" t="s">
        <v>48</v>
      </c>
      <c r="B30" s="126">
        <v>0</v>
      </c>
      <c r="C30" s="168" t="s">
        <v>28</v>
      </c>
      <c r="D30" s="169" t="str">
        <f>IF(C30="Str",'Personal File'!$C$10,IF(C30="Dex",'Personal File'!$C$11,IF(C30="Con",'Personal File'!$C$12,IF(C30="Int",'Personal File'!$C$13,IF(C30="Wis",'Personal File'!$C$14,IF(C30="Cha",'Personal File'!$C$15))))))</f>
        <v>+1</v>
      </c>
      <c r="E30" s="170" t="str">
        <f t="shared" si="3"/>
        <v>Dex (+1)</v>
      </c>
      <c r="F30" s="130" t="s">
        <v>56</v>
      </c>
      <c r="G30" s="130">
        <f t="shared" si="1"/>
        <v>1</v>
      </c>
      <c r="H30" s="79">
        <f t="shared" ca="1" si="5"/>
        <v>8</v>
      </c>
      <c r="I30" s="130">
        <f t="shared" ca="1" si="4"/>
        <v>9</v>
      </c>
      <c r="J30" s="131"/>
    </row>
    <row r="31" spans="1:10" ht="17.399999999999999" x14ac:dyDescent="0.3">
      <c r="A31" s="103" t="s">
        <v>210</v>
      </c>
      <c r="B31" s="104">
        <v>1</v>
      </c>
      <c r="C31" s="105" t="s">
        <v>24</v>
      </c>
      <c r="D31" s="106" t="str">
        <f>IF(C31="Str",'Personal File'!$C$10,IF(C31="Dex",'Personal File'!$C$11,IF(C31="Con",'Personal File'!$C$12,IF(C31="Int",'Personal File'!$C$13,IF(C31="Wis",'Personal File'!$C$14,IF(C31="Cha",'Personal File'!$C$15))))))</f>
        <v>+5</v>
      </c>
      <c r="E31" s="107" t="str">
        <f t="shared" si="3"/>
        <v>Cha (+5)</v>
      </c>
      <c r="F31" s="109" t="s">
        <v>56</v>
      </c>
      <c r="G31" s="109">
        <f t="shared" si="1"/>
        <v>6</v>
      </c>
      <c r="H31" s="79">
        <f t="shared" ca="1" si="5"/>
        <v>15</v>
      </c>
      <c r="I31" s="109">
        <f t="shared" ca="1" si="4"/>
        <v>21</v>
      </c>
      <c r="J31" s="110"/>
    </row>
    <row r="32" spans="1:10" ht="17.399999999999999" x14ac:dyDescent="0.3">
      <c r="A32" s="103" t="s">
        <v>209</v>
      </c>
      <c r="B32" s="104">
        <v>3</v>
      </c>
      <c r="C32" s="105" t="s">
        <v>24</v>
      </c>
      <c r="D32" s="106" t="str">
        <f>IF(C32="Str",'Personal File'!$C$10,IF(C32="Dex",'Personal File'!$C$11,IF(C32="Con",'Personal File'!$C$12,IF(C32="Int",'Personal File'!$C$13,IF(C32="Wis",'Personal File'!$C$14,IF(C32="Cha",'Personal File'!$C$15))))))</f>
        <v>+5</v>
      </c>
      <c r="E32" s="107" t="str">
        <f t="shared" si="3"/>
        <v>Cha (+5)</v>
      </c>
      <c r="F32" s="109" t="s">
        <v>56</v>
      </c>
      <c r="G32" s="109">
        <f t="shared" si="1"/>
        <v>8</v>
      </c>
      <c r="H32" s="79">
        <f t="shared" ca="1" si="5"/>
        <v>11</v>
      </c>
      <c r="I32" s="109">
        <f t="shared" ca="1" si="4"/>
        <v>19</v>
      </c>
      <c r="J32" s="110"/>
    </row>
    <row r="33" spans="1:10" ht="17.399999999999999" x14ac:dyDescent="0.3">
      <c r="A33" s="103" t="s">
        <v>193</v>
      </c>
      <c r="B33" s="104">
        <v>10</v>
      </c>
      <c r="C33" s="105" t="s">
        <v>24</v>
      </c>
      <c r="D33" s="106" t="str">
        <f>IF(C33="Str",'Personal File'!$C$10,IF(C33="Dex",'Personal File'!$C$11,IF(C33="Con",'Personal File'!$C$12,IF(C33="Int",'Personal File'!$C$13,IF(C33="Wis",'Personal File'!$C$14,IF(C33="Cha",'Personal File'!$C$15))))))</f>
        <v>+5</v>
      </c>
      <c r="E33" s="107" t="str">
        <f t="shared" ref="E33" si="12">CONCATENATE(C33," (",D33,")")</f>
        <v>Cha (+5)</v>
      </c>
      <c r="F33" s="109" t="s">
        <v>56</v>
      </c>
      <c r="G33" s="109">
        <f t="shared" ref="G33" si="13">B33+D33+F33</f>
        <v>15</v>
      </c>
      <c r="H33" s="79">
        <f t="shared" ca="1" si="5"/>
        <v>15</v>
      </c>
      <c r="I33" s="109">
        <f t="shared" ref="I33" ca="1" si="14">SUM(G33:H33)</f>
        <v>30</v>
      </c>
      <c r="J33" s="110"/>
    </row>
    <row r="34" spans="1:10" ht="17.399999999999999" x14ac:dyDescent="0.3">
      <c r="A34" s="103" t="s">
        <v>194</v>
      </c>
      <c r="B34" s="104">
        <v>6</v>
      </c>
      <c r="C34" s="164" t="s">
        <v>27</v>
      </c>
      <c r="D34" s="165">
        <f>IF(C34="Str",'Personal File'!$C$10,IF(C34="Dex",'Personal File'!$C$11,IF(C34="Con",'Personal File'!$C$12,IF(C34="Int",'Personal File'!$C$13,IF(C34="Wis",'Personal File'!$C$14,IF(C34="Cha",'Personal File'!$C$15))))))</f>
        <v>-1</v>
      </c>
      <c r="E34" s="166" t="str">
        <f t="shared" ref="E34" si="15">CONCATENATE(C34," (",D34,")")</f>
        <v>Wis (-1)</v>
      </c>
      <c r="F34" s="109" t="s">
        <v>56</v>
      </c>
      <c r="G34" s="109">
        <f t="shared" si="1"/>
        <v>5</v>
      </c>
      <c r="H34" s="79">
        <f t="shared" ca="1" si="5"/>
        <v>5</v>
      </c>
      <c r="I34" s="109">
        <f t="shared" ref="I34" ca="1" si="16">SUM(G34:H34)</f>
        <v>10</v>
      </c>
      <c r="J34" s="110"/>
    </row>
    <row r="35" spans="1:10" ht="17.399999999999999" x14ac:dyDescent="0.3">
      <c r="A35" s="99" t="s">
        <v>12</v>
      </c>
      <c r="B35" s="75">
        <v>0</v>
      </c>
      <c r="C35" s="100" t="s">
        <v>28</v>
      </c>
      <c r="D35" s="101" t="str">
        <f>IF(C35="Str",'Personal File'!$C$10,IF(C35="Dex",'Personal File'!$C$11,IF(C35="Con",'Personal File'!$C$12,IF(C35="Int",'Personal File'!$C$13,IF(C35="Wis",'Personal File'!$C$14,IF(C35="Cha",'Personal File'!$C$15))))))</f>
        <v>+1</v>
      </c>
      <c r="E35" s="82" t="str">
        <f t="shared" si="3"/>
        <v>Dex (+1)</v>
      </c>
      <c r="F35" s="141" t="s">
        <v>56</v>
      </c>
      <c r="G35" s="96">
        <f t="shared" si="1"/>
        <v>1</v>
      </c>
      <c r="H35" s="79">
        <f t="shared" ca="1" si="5"/>
        <v>17</v>
      </c>
      <c r="I35" s="96">
        <f t="shared" ca="1" si="4"/>
        <v>18</v>
      </c>
      <c r="J35" s="97"/>
    </row>
    <row r="36" spans="1:10" ht="17.399999999999999" x14ac:dyDescent="0.3">
      <c r="A36" s="91" t="s">
        <v>13</v>
      </c>
      <c r="B36" s="75">
        <v>0</v>
      </c>
      <c r="C36" s="92" t="s">
        <v>26</v>
      </c>
      <c r="D36" s="93" t="str">
        <f>IF(C36="Str",'Personal File'!$C$10,IF(C36="Dex",'Personal File'!$C$11,IF(C36="Con",'Personal File'!$C$12,IF(C36="Int",'Personal File'!$C$13,IF(C36="Wis",'Personal File'!$C$14,IF(C36="Cha",'Personal File'!$C$15))))))</f>
        <v>+1</v>
      </c>
      <c r="E36" s="94" t="str">
        <f t="shared" si="3"/>
        <v>Int (+1)</v>
      </c>
      <c r="F36" s="96" t="s">
        <v>103</v>
      </c>
      <c r="G36" s="96">
        <f t="shared" si="1"/>
        <v>2</v>
      </c>
      <c r="H36" s="79">
        <f t="shared" ca="1" si="5"/>
        <v>10</v>
      </c>
      <c r="I36" s="96">
        <f t="shared" ca="1" si="4"/>
        <v>12</v>
      </c>
      <c r="J36" s="97"/>
    </row>
    <row r="37" spans="1:10" ht="17.399999999999999" x14ac:dyDescent="0.3">
      <c r="A37" s="103" t="s">
        <v>49</v>
      </c>
      <c r="B37" s="104">
        <v>3</v>
      </c>
      <c r="C37" s="164" t="s">
        <v>27</v>
      </c>
      <c r="D37" s="165">
        <f>IF(C37="Str",'Personal File'!$C$10,IF(C37="Dex",'Personal File'!$C$11,IF(C37="Con",'Personal File'!$C$12,IF(C37="Int",'Personal File'!$C$13,IF(C37="Wis",'Personal File'!$C$14,IF(C37="Cha",'Personal File'!$C$15))))))</f>
        <v>-1</v>
      </c>
      <c r="E37" s="166" t="str">
        <f t="shared" si="3"/>
        <v>Wis (-1)</v>
      </c>
      <c r="F37" s="108" t="s">
        <v>211</v>
      </c>
      <c r="G37" s="109">
        <f t="shared" si="1"/>
        <v>4</v>
      </c>
      <c r="H37" s="79">
        <f t="shared" ca="1" si="5"/>
        <v>8</v>
      </c>
      <c r="I37" s="109">
        <f t="shared" ca="1" si="4"/>
        <v>12</v>
      </c>
      <c r="J37" s="110"/>
    </row>
    <row r="38" spans="1:10" ht="17.399999999999999" x14ac:dyDescent="0.3">
      <c r="A38" s="171" t="s">
        <v>86</v>
      </c>
      <c r="B38" s="172">
        <v>0</v>
      </c>
      <c r="C38" s="173" t="s">
        <v>28</v>
      </c>
      <c r="D38" s="174" t="str">
        <f>IF(C38="Str",'Personal File'!$C$10,IF(C38="Dex",'Personal File'!$C$11,IF(C38="Con",'Personal File'!$C$12,IF(C38="Int",'Personal File'!$C$13,IF(C38="Wis",'Personal File'!$C$14,IF(C38="Cha",'Personal File'!$C$15))))))</f>
        <v>+1</v>
      </c>
      <c r="E38" s="175" t="str">
        <f t="shared" si="3"/>
        <v>Dex (+1)</v>
      </c>
      <c r="F38" s="176">
        <v>0</v>
      </c>
      <c r="G38" s="177">
        <f t="shared" si="1"/>
        <v>1</v>
      </c>
      <c r="H38" s="79">
        <f t="shared" ca="1" si="5"/>
        <v>11</v>
      </c>
      <c r="I38" s="177">
        <f t="shared" ref="I38:I39" ca="1" si="17">SUM(G38:H38)</f>
        <v>12</v>
      </c>
      <c r="J38" s="178"/>
    </row>
    <row r="39" spans="1:10" ht="17.399999999999999" x14ac:dyDescent="0.3">
      <c r="A39" s="179" t="s">
        <v>238</v>
      </c>
      <c r="B39" s="118">
        <v>1</v>
      </c>
      <c r="C39" s="180" t="s">
        <v>26</v>
      </c>
      <c r="D39" s="181" t="str">
        <f>IF(C39="Str",'Personal File'!$C$10,IF(C39="Dex",'Personal File'!$C$11,IF(C39="Con",'Personal File'!$C$12,IF(C39="Int",'Personal File'!$C$13,IF(C39="Wis",'Personal File'!$C$14,IF(C39="Cha",'Personal File'!$C$15))))))</f>
        <v>+1</v>
      </c>
      <c r="E39" s="182" t="str">
        <f t="shared" si="3"/>
        <v>Int (+1)</v>
      </c>
      <c r="F39" s="108" t="s">
        <v>56</v>
      </c>
      <c r="G39" s="108">
        <f t="shared" si="1"/>
        <v>2</v>
      </c>
      <c r="H39" s="79">
        <f t="shared" ca="1" si="5"/>
        <v>3</v>
      </c>
      <c r="I39" s="108">
        <f t="shared" ca="1" si="17"/>
        <v>5</v>
      </c>
      <c r="J39" s="183"/>
    </row>
    <row r="40" spans="1:10" ht="17.399999999999999" x14ac:dyDescent="0.3">
      <c r="A40" s="179" t="s">
        <v>238</v>
      </c>
      <c r="B40" s="118">
        <v>1</v>
      </c>
      <c r="C40" s="180" t="s">
        <v>26</v>
      </c>
      <c r="D40" s="181" t="str">
        <f>IF(C40="Str",'Personal File'!$C$10,IF(C40="Dex",'Personal File'!$C$11,IF(C40="Con",'Personal File'!$C$12,IF(C40="Int",'Personal File'!$C$13,IF(C40="Wis",'Personal File'!$C$14,IF(C40="Cha",'Personal File'!$C$15))))))</f>
        <v>+1</v>
      </c>
      <c r="E40" s="182" t="str">
        <f t="shared" ref="E40" si="18">CONCATENATE(C40," (",D40,")")</f>
        <v>Int (+1)</v>
      </c>
      <c r="F40" s="108" t="s">
        <v>56</v>
      </c>
      <c r="G40" s="108">
        <f t="shared" ref="G40" si="19">B40+D40+F40</f>
        <v>2</v>
      </c>
      <c r="H40" s="79">
        <f t="shared" ca="1" si="5"/>
        <v>9</v>
      </c>
      <c r="I40" s="108">
        <f t="shared" ref="I40" ca="1" si="20">SUM(G40:H40)</f>
        <v>11</v>
      </c>
      <c r="J40" s="183"/>
    </row>
    <row r="41" spans="1:10" ht="17.399999999999999" x14ac:dyDescent="0.3">
      <c r="A41" s="179" t="s">
        <v>50</v>
      </c>
      <c r="B41" s="118">
        <v>6</v>
      </c>
      <c r="C41" s="180" t="s">
        <v>26</v>
      </c>
      <c r="D41" s="181" t="str">
        <f>IF(C41="Str",'Personal File'!$C$10,IF(C41="Dex",'Personal File'!$C$11,IF(C41="Con",'Personal File'!$C$12,IF(C41="Int",'Personal File'!$C$13,IF(C41="Wis",'Personal File'!$C$14,IF(C41="Cha",'Personal File'!$C$15))))))</f>
        <v>+1</v>
      </c>
      <c r="E41" s="182" t="str">
        <f t="shared" si="3"/>
        <v>Int (+1)</v>
      </c>
      <c r="F41" s="124">
        <f>2+2</f>
        <v>4</v>
      </c>
      <c r="G41" s="108">
        <f t="shared" si="1"/>
        <v>11</v>
      </c>
      <c r="H41" s="79">
        <f t="shared" ca="1" si="5"/>
        <v>15</v>
      </c>
      <c r="I41" s="108">
        <f t="shared" ca="1" si="4"/>
        <v>26</v>
      </c>
      <c r="J41" s="183"/>
    </row>
    <row r="42" spans="1:10" ht="17.399999999999999" x14ac:dyDescent="0.3">
      <c r="A42" s="143" t="s">
        <v>51</v>
      </c>
      <c r="B42" s="75">
        <v>0</v>
      </c>
      <c r="C42" s="144" t="s">
        <v>27</v>
      </c>
      <c r="D42" s="145">
        <f>IF(C42="Str",'Personal File'!$C$10,IF(C42="Dex",'Personal File'!$C$11,IF(C42="Con",'Personal File'!$C$12,IF(C42="Int",'Personal File'!$C$13,IF(C42="Wis",'Personal File'!$C$14,IF(C42="Cha",'Personal File'!$C$15))))))</f>
        <v>-1</v>
      </c>
      <c r="E42" s="146" t="str">
        <f t="shared" si="3"/>
        <v>Wis (-1)</v>
      </c>
      <c r="F42" s="96" t="s">
        <v>103</v>
      </c>
      <c r="G42" s="96">
        <f t="shared" si="1"/>
        <v>0</v>
      </c>
      <c r="H42" s="79">
        <f t="shared" ca="1" si="5"/>
        <v>11</v>
      </c>
      <c r="I42" s="96">
        <f t="shared" ca="1" si="4"/>
        <v>11</v>
      </c>
      <c r="J42" s="97"/>
    </row>
    <row r="43" spans="1:10" ht="17.399999999999999" x14ac:dyDescent="0.3">
      <c r="A43" s="143" t="s">
        <v>87</v>
      </c>
      <c r="B43" s="75">
        <v>0</v>
      </c>
      <c r="C43" s="144" t="s">
        <v>27</v>
      </c>
      <c r="D43" s="145">
        <f>IF(C43="Str",'Personal File'!$C$10,IF(C43="Dex",'Personal File'!$C$11,IF(C43="Con",'Personal File'!$C$12,IF(C43="Int",'Personal File'!$C$13,IF(C43="Wis",'Personal File'!$C$14,IF(C43="Cha",'Personal File'!$C$15))))))</f>
        <v>-1</v>
      </c>
      <c r="E43" s="146" t="str">
        <f t="shared" si="3"/>
        <v>Wis (-1)</v>
      </c>
      <c r="F43" s="96" t="s">
        <v>56</v>
      </c>
      <c r="G43" s="96">
        <f t="shared" si="1"/>
        <v>-1</v>
      </c>
      <c r="H43" s="79">
        <f t="shared" ca="1" si="5"/>
        <v>9</v>
      </c>
      <c r="I43" s="96">
        <f t="shared" ca="1" si="4"/>
        <v>8</v>
      </c>
      <c r="J43" s="97"/>
    </row>
    <row r="44" spans="1:10" ht="17.399999999999999" x14ac:dyDescent="0.3">
      <c r="A44" s="112" t="s">
        <v>14</v>
      </c>
      <c r="B44" s="75">
        <v>0</v>
      </c>
      <c r="C44" s="113" t="s">
        <v>29</v>
      </c>
      <c r="D44" s="114">
        <f>IF(C44="Str",'Personal File'!$C$10,IF(C44="Dex",'Personal File'!$C$11,IF(C44="Con",'Personal File'!$C$12,IF(C44="Int",'Personal File'!$C$13,IF(C44="Wis",'Personal File'!$C$14,IF(C44="Cha",'Personal File'!$C$15))))))</f>
        <v>-1</v>
      </c>
      <c r="E44" s="115" t="str">
        <f t="shared" si="3"/>
        <v>Str (-1)</v>
      </c>
      <c r="F44" s="96" t="s">
        <v>56</v>
      </c>
      <c r="G44" s="96">
        <f t="shared" si="1"/>
        <v>-1</v>
      </c>
      <c r="H44" s="79">
        <f t="shared" ca="1" si="5"/>
        <v>3</v>
      </c>
      <c r="I44" s="96">
        <f t="shared" ca="1" si="4"/>
        <v>2</v>
      </c>
      <c r="J44" s="80"/>
    </row>
    <row r="45" spans="1:10" ht="17.399999999999999" x14ac:dyDescent="0.3">
      <c r="A45" s="184" t="s">
        <v>52</v>
      </c>
      <c r="B45" s="118">
        <v>1</v>
      </c>
      <c r="C45" s="185" t="s">
        <v>28</v>
      </c>
      <c r="D45" s="186" t="str">
        <f>IF(C45="Str",'Personal File'!$C$10,IF(C45="Dex",'Personal File'!$C$11,IF(C45="Con",'Personal File'!$C$12,IF(C45="Int",'Personal File'!$C$13,IF(C45="Wis",'Personal File'!$C$14,IF(C45="Cha",'Personal File'!$C$15))))))</f>
        <v>+1</v>
      </c>
      <c r="E45" s="187" t="str">
        <f t="shared" si="3"/>
        <v>Dex (+1)</v>
      </c>
      <c r="F45" s="109">
        <f>SUM(Martial!$D$13:$D$14)*-1</f>
        <v>0</v>
      </c>
      <c r="G45" s="109">
        <f t="shared" si="1"/>
        <v>2</v>
      </c>
      <c r="H45" s="79">
        <f t="shared" ca="1" si="5"/>
        <v>8</v>
      </c>
      <c r="I45" s="109">
        <f t="shared" ref="I45:I46" ca="1" si="21">SUM(G45:H45)</f>
        <v>10</v>
      </c>
      <c r="J45" s="122"/>
    </row>
    <row r="46" spans="1:10" ht="17.399999999999999" x14ac:dyDescent="0.3">
      <c r="A46" s="103" t="s">
        <v>53</v>
      </c>
      <c r="B46" s="104">
        <v>4</v>
      </c>
      <c r="C46" s="105" t="s">
        <v>24</v>
      </c>
      <c r="D46" s="106" t="str">
        <f>IF(C46="Str",'Personal File'!$C$10,IF(C46="Dex",'Personal File'!$C$11,IF(C46="Con",'Personal File'!$C$12,IF(C46="Int",'Personal File'!$C$13,IF(C46="Wis",'Personal File'!$C$14,IF(C46="Cha",'Personal File'!$C$15))))))</f>
        <v>+5</v>
      </c>
      <c r="E46" s="107" t="str">
        <f t="shared" si="3"/>
        <v>Cha (+5)</v>
      </c>
      <c r="F46" s="124">
        <f>2</f>
        <v>2</v>
      </c>
      <c r="G46" s="109">
        <f t="shared" si="1"/>
        <v>11</v>
      </c>
      <c r="H46" s="79">
        <f t="shared" ca="1" si="5"/>
        <v>12</v>
      </c>
      <c r="I46" s="109">
        <f t="shared" ca="1" si="21"/>
        <v>23</v>
      </c>
      <c r="J46" s="188"/>
    </row>
    <row r="47" spans="1:10" ht="18" thickBot="1" x14ac:dyDescent="0.35">
      <c r="A47" s="189" t="s">
        <v>54</v>
      </c>
      <c r="B47" s="190">
        <v>0</v>
      </c>
      <c r="C47" s="191" t="s">
        <v>28</v>
      </c>
      <c r="D47" s="192" t="str">
        <f>IF(C47="Str",'Personal File'!$C$10,IF(C47="Dex",'Personal File'!$C$11,IF(C47="Con",'Personal File'!$C$12,IF(C47="Int",'Personal File'!$C$13,IF(C47="Wis",'Personal File'!$C$14,IF(C47="Cha",'Personal File'!$C$15))))))</f>
        <v>+1</v>
      </c>
      <c r="E47" s="193" t="str">
        <f t="shared" si="3"/>
        <v>Dex (+1)</v>
      </c>
      <c r="F47" s="194" t="s">
        <v>56</v>
      </c>
      <c r="G47" s="194">
        <f t="shared" si="1"/>
        <v>1</v>
      </c>
      <c r="H47" s="195">
        <f t="shared" ref="H47" ca="1" si="22">RANDBETWEEN(1,20)</f>
        <v>6</v>
      </c>
      <c r="I47" s="194">
        <f t="shared" ca="1" si="4"/>
        <v>7</v>
      </c>
      <c r="J47" s="196"/>
    </row>
    <row r="48" spans="1:10" ht="16.2" thickTop="1" x14ac:dyDescent="0.3">
      <c r="B48" s="197">
        <f>SUM(B6:B47)-B25</f>
        <v>68</v>
      </c>
      <c r="E48" s="198">
        <f>SUM(E49:E55)</f>
        <v>68</v>
      </c>
      <c r="F48" s="199" t="s">
        <v>57</v>
      </c>
    </row>
    <row r="49" spans="2:6" x14ac:dyDescent="0.3">
      <c r="B49" s="197"/>
      <c r="E49" s="200">
        <f>4*(6+'Personal File'!$C$13)</f>
        <v>28</v>
      </c>
      <c r="F49" s="65" t="s">
        <v>124</v>
      </c>
    </row>
    <row r="50" spans="2:6" x14ac:dyDescent="0.3">
      <c r="E50" s="198">
        <f>6+'Personal File'!$C$13</f>
        <v>7</v>
      </c>
      <c r="F50" s="65" t="s">
        <v>125</v>
      </c>
    </row>
    <row r="51" spans="2:6" x14ac:dyDescent="0.3">
      <c r="E51" s="198">
        <f>6+'Personal File'!$C$13</f>
        <v>7</v>
      </c>
      <c r="F51" s="65" t="s">
        <v>126</v>
      </c>
    </row>
    <row r="52" spans="2:6" x14ac:dyDescent="0.3">
      <c r="E52" s="198">
        <f>6+'Personal File'!$C$13</f>
        <v>7</v>
      </c>
      <c r="F52" s="65" t="s">
        <v>127</v>
      </c>
    </row>
    <row r="53" spans="2:6" x14ac:dyDescent="0.3">
      <c r="E53" s="198">
        <f>6+'Personal File'!$C$13</f>
        <v>7</v>
      </c>
      <c r="F53" s="65" t="s">
        <v>149</v>
      </c>
    </row>
    <row r="54" spans="2:6" x14ac:dyDescent="0.3">
      <c r="E54" s="198">
        <f>6+'Personal File'!$C$13</f>
        <v>7</v>
      </c>
      <c r="F54" s="65" t="s">
        <v>150</v>
      </c>
    </row>
    <row r="55" spans="2:6" x14ac:dyDescent="0.3">
      <c r="E55" s="200">
        <f>4+'Personal File'!$C$13</f>
        <v>5</v>
      </c>
      <c r="F55" s="65" t="s">
        <v>259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
  <sheetViews>
    <sheetView showGridLines="0" workbookViewId="0">
      <pane ySplit="2" topLeftCell="A3" activePane="bottomLeft" state="frozen"/>
      <selection pane="bottomLeft" activeCell="A3" sqref="A3"/>
    </sheetView>
  </sheetViews>
  <sheetFormatPr defaultColWidth="13" defaultRowHeight="15.6" x14ac:dyDescent="0.3"/>
  <cols>
    <col min="1" max="1" width="19" style="64" bestFit="1" customWidth="1"/>
    <col min="2" max="2" width="6" style="64" bestFit="1" customWidth="1"/>
    <col min="3" max="3" width="13.796875" style="65" bestFit="1" customWidth="1"/>
    <col min="4" max="4" width="12.09765625" style="65" bestFit="1" customWidth="1"/>
    <col min="5" max="5" width="8.69921875" style="65" bestFit="1" customWidth="1"/>
    <col min="6" max="6" width="12.296875" style="65" bestFit="1" customWidth="1"/>
    <col min="7" max="7" width="14.796875" style="65" bestFit="1" customWidth="1"/>
    <col min="8" max="8" width="20.09765625" style="64" bestFit="1" customWidth="1"/>
    <col min="9" max="9" width="5.5" style="8" bestFit="1" customWidth="1"/>
    <col min="10" max="10" width="16.59765625" style="8" bestFit="1" customWidth="1"/>
    <col min="11" max="16384" width="13" style="8"/>
  </cols>
  <sheetData>
    <row r="1" spans="1:13" ht="24" thickBot="1" x14ac:dyDescent="0.35">
      <c r="A1" s="201" t="s">
        <v>155</v>
      </c>
      <c r="B1" s="67"/>
      <c r="C1" s="67"/>
      <c r="D1" s="67"/>
      <c r="E1" s="67"/>
      <c r="F1" s="67"/>
      <c r="G1" s="67"/>
      <c r="H1" s="67"/>
    </row>
    <row r="2" spans="1:13" s="57" customFormat="1" ht="17.399999999999999" x14ac:dyDescent="0.3">
      <c r="A2" s="202" t="s">
        <v>71</v>
      </c>
      <c r="B2" s="203" t="s">
        <v>0</v>
      </c>
      <c r="C2" s="203" t="s">
        <v>74</v>
      </c>
      <c r="D2" s="204" t="s">
        <v>95</v>
      </c>
      <c r="E2" s="203" t="s">
        <v>96</v>
      </c>
      <c r="F2" s="203" t="s">
        <v>59</v>
      </c>
      <c r="G2" s="203" t="s">
        <v>17</v>
      </c>
      <c r="H2" s="203" t="s">
        <v>138</v>
      </c>
      <c r="I2" s="205" t="s">
        <v>139</v>
      </c>
      <c r="J2" s="1" t="s">
        <v>156</v>
      </c>
      <c r="K2" s="8"/>
      <c r="L2" s="8"/>
      <c r="M2" s="8"/>
    </row>
    <row r="3" spans="1:13" s="57" customFormat="1" ht="17.399999999999999" x14ac:dyDescent="0.3">
      <c r="A3" s="206" t="s">
        <v>195</v>
      </c>
      <c r="B3" s="207">
        <v>0</v>
      </c>
      <c r="C3" s="208" t="s">
        <v>65</v>
      </c>
      <c r="D3" s="209" t="s">
        <v>97</v>
      </c>
      <c r="E3" s="210" t="s">
        <v>98</v>
      </c>
      <c r="F3" s="210" t="s">
        <v>201</v>
      </c>
      <c r="G3" s="210" t="s">
        <v>66</v>
      </c>
      <c r="H3" s="210" t="s">
        <v>137</v>
      </c>
      <c r="I3" s="211">
        <v>219</v>
      </c>
      <c r="J3" s="8"/>
      <c r="K3" s="8"/>
      <c r="L3" s="8"/>
      <c r="M3" s="8"/>
    </row>
    <row r="4" spans="1:13" ht="17.399999999999999" x14ac:dyDescent="0.3">
      <c r="A4" s="206" t="s">
        <v>281</v>
      </c>
      <c r="B4" s="207">
        <v>0</v>
      </c>
      <c r="C4" s="208" t="s">
        <v>283</v>
      </c>
      <c r="D4" s="209" t="s">
        <v>290</v>
      </c>
      <c r="E4" s="212" t="s">
        <v>98</v>
      </c>
      <c r="F4" s="210" t="s">
        <v>157</v>
      </c>
      <c r="G4" s="210" t="s">
        <v>287</v>
      </c>
      <c r="H4" s="210" t="s">
        <v>137</v>
      </c>
      <c r="I4" s="211">
        <v>272</v>
      </c>
    </row>
    <row r="5" spans="1:13" ht="17.399999999999999" x14ac:dyDescent="0.3">
      <c r="A5" s="206" t="s">
        <v>196</v>
      </c>
      <c r="B5" s="207">
        <v>0</v>
      </c>
      <c r="C5" s="213" t="s">
        <v>142</v>
      </c>
      <c r="D5" s="214" t="s">
        <v>100</v>
      </c>
      <c r="E5" s="215" t="s">
        <v>98</v>
      </c>
      <c r="F5" s="216" t="s">
        <v>99</v>
      </c>
      <c r="G5" s="216" t="s">
        <v>69</v>
      </c>
      <c r="H5" s="210" t="s">
        <v>137</v>
      </c>
      <c r="I5" s="211">
        <v>253</v>
      </c>
    </row>
    <row r="6" spans="1:13" ht="17.399999999999999" x14ac:dyDescent="0.3">
      <c r="A6" s="206" t="s">
        <v>136</v>
      </c>
      <c r="B6" s="207">
        <v>0</v>
      </c>
      <c r="C6" s="208" t="s">
        <v>65</v>
      </c>
      <c r="D6" s="209" t="s">
        <v>97</v>
      </c>
      <c r="E6" s="212" t="s">
        <v>98</v>
      </c>
      <c r="F6" s="210" t="s">
        <v>75</v>
      </c>
      <c r="G6" s="210" t="s">
        <v>101</v>
      </c>
      <c r="H6" s="210" t="s">
        <v>137</v>
      </c>
      <c r="I6" s="211">
        <v>264</v>
      </c>
    </row>
    <row r="7" spans="1:13" ht="17.399999999999999" x14ac:dyDescent="0.3">
      <c r="A7" s="217" t="s">
        <v>102</v>
      </c>
      <c r="B7" s="77">
        <v>0</v>
      </c>
      <c r="C7" s="218" t="s">
        <v>65</v>
      </c>
      <c r="D7" s="209" t="s">
        <v>100</v>
      </c>
      <c r="E7" s="212" t="s">
        <v>98</v>
      </c>
      <c r="F7" s="210" t="s">
        <v>68</v>
      </c>
      <c r="G7" s="210" t="s">
        <v>69</v>
      </c>
      <c r="H7" s="210" t="s">
        <v>137</v>
      </c>
      <c r="I7" s="211">
        <v>269</v>
      </c>
    </row>
    <row r="8" spans="1:13" ht="17.399999999999999" x14ac:dyDescent="0.3">
      <c r="A8" s="219" t="s">
        <v>204</v>
      </c>
      <c r="B8" s="220">
        <v>0</v>
      </c>
      <c r="C8" s="221" t="s">
        <v>146</v>
      </c>
      <c r="D8" s="222" t="s">
        <v>97</v>
      </c>
      <c r="E8" s="223" t="s">
        <v>98</v>
      </c>
      <c r="F8" s="224" t="s">
        <v>68</v>
      </c>
      <c r="G8" s="224" t="s">
        <v>205</v>
      </c>
      <c r="H8" s="224" t="s">
        <v>141</v>
      </c>
      <c r="I8" s="225">
        <v>95</v>
      </c>
    </row>
    <row r="9" spans="1:13" ht="17.399999999999999" x14ac:dyDescent="0.3">
      <c r="A9" s="206" t="s">
        <v>197</v>
      </c>
      <c r="B9" s="207">
        <v>1</v>
      </c>
      <c r="C9" s="218" t="s">
        <v>146</v>
      </c>
      <c r="D9" s="209" t="s">
        <v>97</v>
      </c>
      <c r="E9" s="212" t="s">
        <v>98</v>
      </c>
      <c r="F9" s="210" t="s">
        <v>157</v>
      </c>
      <c r="G9" s="210" t="s">
        <v>67</v>
      </c>
      <c r="H9" s="210" t="s">
        <v>137</v>
      </c>
      <c r="I9" s="211">
        <v>216</v>
      </c>
    </row>
    <row r="10" spans="1:13" ht="17.399999999999999" x14ac:dyDescent="0.3">
      <c r="A10" s="206" t="s">
        <v>145</v>
      </c>
      <c r="B10" s="207">
        <v>1</v>
      </c>
      <c r="C10" s="218" t="s">
        <v>146</v>
      </c>
      <c r="D10" s="209" t="s">
        <v>147</v>
      </c>
      <c r="E10" s="210" t="s">
        <v>98</v>
      </c>
      <c r="F10" s="210" t="s">
        <v>84</v>
      </c>
      <c r="G10" s="210" t="s">
        <v>70</v>
      </c>
      <c r="H10" s="210" t="s">
        <v>137</v>
      </c>
      <c r="I10" s="211">
        <v>237</v>
      </c>
    </row>
    <row r="11" spans="1:13" ht="17.399999999999999" x14ac:dyDescent="0.3">
      <c r="A11" s="226" t="s">
        <v>198</v>
      </c>
      <c r="B11" s="227">
        <v>1</v>
      </c>
      <c r="C11" s="228" t="s">
        <v>140</v>
      </c>
      <c r="D11" s="229" t="s">
        <v>97</v>
      </c>
      <c r="E11" s="230" t="s">
        <v>202</v>
      </c>
      <c r="F11" s="231" t="s">
        <v>68</v>
      </c>
      <c r="G11" s="232" t="s">
        <v>171</v>
      </c>
      <c r="H11" s="232" t="s">
        <v>203</v>
      </c>
      <c r="I11" s="162">
        <v>153</v>
      </c>
      <c r="J11" s="248" t="s">
        <v>265</v>
      </c>
    </row>
    <row r="12" spans="1:13" ht="17.399999999999999" x14ac:dyDescent="0.3">
      <c r="A12" s="206" t="s">
        <v>282</v>
      </c>
      <c r="B12" s="207">
        <v>1</v>
      </c>
      <c r="C12" s="218" t="s">
        <v>283</v>
      </c>
      <c r="D12" s="209" t="s">
        <v>97</v>
      </c>
      <c r="E12" s="212" t="s">
        <v>98</v>
      </c>
      <c r="F12" s="210" t="s">
        <v>84</v>
      </c>
      <c r="G12" s="210" t="s">
        <v>69</v>
      </c>
      <c r="H12" s="210" t="s">
        <v>137</v>
      </c>
      <c r="I12" s="211">
        <v>271</v>
      </c>
    </row>
    <row r="13" spans="1:13" ht="17.399999999999999" x14ac:dyDescent="0.3">
      <c r="A13" s="219" t="s">
        <v>199</v>
      </c>
      <c r="B13" s="220">
        <v>1</v>
      </c>
      <c r="C13" s="233" t="s">
        <v>140</v>
      </c>
      <c r="D13" s="234" t="s">
        <v>147</v>
      </c>
      <c r="E13" s="235" t="s">
        <v>98</v>
      </c>
      <c r="F13" s="236" t="s">
        <v>84</v>
      </c>
      <c r="G13" s="236" t="s">
        <v>70</v>
      </c>
      <c r="H13" s="224" t="s">
        <v>137</v>
      </c>
      <c r="I13" s="225">
        <v>292</v>
      </c>
    </row>
    <row r="14" spans="1:13" ht="17.399999999999999" x14ac:dyDescent="0.3">
      <c r="A14" s="217" t="s">
        <v>200</v>
      </c>
      <c r="B14" s="77">
        <v>2</v>
      </c>
      <c r="C14" s="218" t="s">
        <v>142</v>
      </c>
      <c r="D14" s="209" t="s">
        <v>97</v>
      </c>
      <c r="E14" s="212" t="s">
        <v>98</v>
      </c>
      <c r="F14" s="210" t="s">
        <v>68</v>
      </c>
      <c r="G14" s="210" t="s">
        <v>69</v>
      </c>
      <c r="H14" s="210" t="s">
        <v>137</v>
      </c>
      <c r="I14" s="237">
        <v>197</v>
      </c>
    </row>
    <row r="15" spans="1:13" ht="17.399999999999999" x14ac:dyDescent="0.3">
      <c r="A15" s="226" t="s">
        <v>261</v>
      </c>
      <c r="B15" s="227">
        <v>2</v>
      </c>
      <c r="C15" s="228" t="s">
        <v>146</v>
      </c>
      <c r="D15" s="238" t="s">
        <v>147</v>
      </c>
      <c r="E15" s="230" t="s">
        <v>98</v>
      </c>
      <c r="F15" s="232" t="s">
        <v>99</v>
      </c>
      <c r="G15" s="232" t="s">
        <v>70</v>
      </c>
      <c r="H15" s="232" t="s">
        <v>137</v>
      </c>
      <c r="I15" s="239">
        <v>236</v>
      </c>
      <c r="J15" s="248" t="s">
        <v>265</v>
      </c>
    </row>
    <row r="16" spans="1:13" ht="17.399999999999999" x14ac:dyDescent="0.3">
      <c r="A16" s="217" t="s">
        <v>289</v>
      </c>
      <c r="B16" s="75">
        <v>2</v>
      </c>
      <c r="C16" s="218" t="s">
        <v>140</v>
      </c>
      <c r="D16" s="209" t="s">
        <v>260</v>
      </c>
      <c r="E16" s="212" t="s">
        <v>98</v>
      </c>
      <c r="F16" s="210" t="s">
        <v>99</v>
      </c>
      <c r="G16" s="210" t="s">
        <v>70</v>
      </c>
      <c r="H16" s="210" t="s">
        <v>137</v>
      </c>
      <c r="I16" s="211">
        <v>241</v>
      </c>
    </row>
    <row r="17" spans="1:9" ht="17.399999999999999" x14ac:dyDescent="0.3">
      <c r="A17" s="217" t="s">
        <v>286</v>
      </c>
      <c r="B17" s="75">
        <v>2</v>
      </c>
      <c r="C17" s="479" t="s">
        <v>285</v>
      </c>
      <c r="D17" s="480" t="s">
        <v>97</v>
      </c>
      <c r="E17" s="481" t="s">
        <v>287</v>
      </c>
      <c r="F17" s="482" t="s">
        <v>68</v>
      </c>
      <c r="G17" s="482" t="s">
        <v>67</v>
      </c>
      <c r="H17" s="482" t="s">
        <v>288</v>
      </c>
      <c r="I17" s="483">
        <v>84</v>
      </c>
    </row>
    <row r="18" spans="1:9" ht="17.399999999999999" x14ac:dyDescent="0.3">
      <c r="A18" s="240" t="s">
        <v>207</v>
      </c>
      <c r="B18" s="87">
        <v>2</v>
      </c>
      <c r="C18" s="221" t="s">
        <v>142</v>
      </c>
      <c r="D18" s="222" t="s">
        <v>147</v>
      </c>
      <c r="E18" s="223" t="s">
        <v>98</v>
      </c>
      <c r="F18" s="224" t="s">
        <v>85</v>
      </c>
      <c r="G18" s="224" t="s">
        <v>208</v>
      </c>
      <c r="H18" s="224" t="s">
        <v>137</v>
      </c>
      <c r="I18" s="225">
        <v>267</v>
      </c>
    </row>
    <row r="19" spans="1:9" ht="17.399999999999999" x14ac:dyDescent="0.3">
      <c r="A19" s="217" t="s">
        <v>263</v>
      </c>
      <c r="B19" s="77">
        <v>3</v>
      </c>
      <c r="C19" s="218" t="s">
        <v>140</v>
      </c>
      <c r="D19" s="209" t="s">
        <v>147</v>
      </c>
      <c r="E19" s="212" t="s">
        <v>98</v>
      </c>
      <c r="F19" s="210" t="s">
        <v>116</v>
      </c>
      <c r="G19" s="210" t="s">
        <v>66</v>
      </c>
      <c r="H19" s="210" t="s">
        <v>137</v>
      </c>
      <c r="I19" s="211">
        <v>215</v>
      </c>
    </row>
    <row r="20" spans="1:9" ht="17.399999999999999" x14ac:dyDescent="0.3">
      <c r="A20" s="217" t="s">
        <v>284</v>
      </c>
      <c r="B20" s="77">
        <v>3</v>
      </c>
      <c r="C20" s="218" t="s">
        <v>285</v>
      </c>
      <c r="D20" s="209" t="s">
        <v>147</v>
      </c>
      <c r="E20" s="212" t="s">
        <v>98</v>
      </c>
      <c r="F20" s="210" t="s">
        <v>99</v>
      </c>
      <c r="G20" s="210" t="s">
        <v>69</v>
      </c>
      <c r="H20" s="210" t="s">
        <v>137</v>
      </c>
      <c r="I20" s="211">
        <v>275</v>
      </c>
    </row>
    <row r="21" spans="1:9" ht="18" thickBot="1" x14ac:dyDescent="0.35">
      <c r="A21" s="241" t="s">
        <v>262</v>
      </c>
      <c r="B21" s="242">
        <v>3</v>
      </c>
      <c r="C21" s="243" t="s">
        <v>142</v>
      </c>
      <c r="D21" s="244" t="s">
        <v>147</v>
      </c>
      <c r="E21" s="245" t="s">
        <v>98</v>
      </c>
      <c r="F21" s="246" t="s">
        <v>84</v>
      </c>
      <c r="G21" s="246" t="s">
        <v>70</v>
      </c>
      <c r="H21" s="246" t="s">
        <v>137</v>
      </c>
      <c r="I21" s="247">
        <v>239</v>
      </c>
    </row>
    <row r="22" spans="1:9" ht="16.2" thickTop="1" x14ac:dyDescent="0.3"/>
    <row r="23" spans="1:9" x14ac:dyDescent="0.3">
      <c r="A23" s="248" t="s">
        <v>265</v>
      </c>
    </row>
  </sheetData>
  <sortState xmlns:xlrd2="http://schemas.microsoft.com/office/spreadsheetml/2017/richdata2" ref="A3:I21">
    <sortCondition ref="B3:B21"/>
    <sortCondition ref="A3:A2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showGridLines="0" workbookViewId="0"/>
  </sheetViews>
  <sheetFormatPr defaultColWidth="11.3984375" defaultRowHeight="17.399999999999999" x14ac:dyDescent="0.3"/>
  <cols>
    <col min="1" max="1" width="27.8984375" style="271" bestFit="1" customWidth="1"/>
    <col min="2" max="2" width="2.19921875" style="271" customWidth="1"/>
    <col min="3" max="3" width="27.8984375" style="271" customWidth="1"/>
    <col min="4" max="4" width="2.19921875" style="294" customWidth="1"/>
    <col min="5" max="5" width="15.19921875" style="59" bestFit="1" customWidth="1"/>
    <col min="6" max="13" width="3.19921875" style="252" customWidth="1"/>
    <col min="14" max="16384" width="11.3984375" style="252"/>
  </cols>
  <sheetData>
    <row r="1" spans="1:13" ht="24.6" thickTop="1" thickBot="1" x14ac:dyDescent="0.35">
      <c r="A1" s="249" t="s">
        <v>107</v>
      </c>
      <c r="B1" s="250"/>
      <c r="C1" s="251" t="s">
        <v>90</v>
      </c>
      <c r="D1" s="252"/>
      <c r="E1" s="8"/>
      <c r="F1" s="253" t="s">
        <v>104</v>
      </c>
      <c r="G1" s="254"/>
      <c r="H1" s="254"/>
      <c r="I1" s="255"/>
      <c r="J1" s="254"/>
      <c r="K1" s="254"/>
      <c r="L1" s="254"/>
      <c r="M1" s="255"/>
    </row>
    <row r="2" spans="1:13" ht="18" thickTop="1" x14ac:dyDescent="0.3">
      <c r="A2" s="256" t="s">
        <v>191</v>
      </c>
      <c r="B2" s="250"/>
      <c r="C2" s="257" t="s">
        <v>247</v>
      </c>
      <c r="D2" s="252"/>
      <c r="E2" s="8"/>
      <c r="F2" s="258" t="s">
        <v>105</v>
      </c>
      <c r="G2" s="259"/>
      <c r="H2" s="259"/>
      <c r="I2" s="259"/>
      <c r="J2" s="259"/>
      <c r="K2" s="259"/>
      <c r="L2" s="259"/>
      <c r="M2" s="260"/>
    </row>
    <row r="3" spans="1:13" ht="18" thickBot="1" x14ac:dyDescent="0.35">
      <c r="A3" s="261" t="s">
        <v>192</v>
      </c>
      <c r="B3" s="250"/>
      <c r="C3" s="262" t="s">
        <v>248</v>
      </c>
      <c r="D3" s="252"/>
      <c r="E3" s="8"/>
      <c r="F3" s="263">
        <v>0</v>
      </c>
      <c r="G3" s="264">
        <v>1</v>
      </c>
      <c r="H3" s="264">
        <v>2</v>
      </c>
      <c r="I3" s="264">
        <v>3</v>
      </c>
      <c r="J3" s="264">
        <v>4</v>
      </c>
      <c r="K3" s="264">
        <v>5</v>
      </c>
      <c r="L3" s="264">
        <v>6</v>
      </c>
      <c r="M3" s="265">
        <v>7</v>
      </c>
    </row>
    <row r="4" spans="1:13" ht="18.600000000000001" thickTop="1" thickBot="1" x14ac:dyDescent="0.35">
      <c r="A4" s="266" t="s">
        <v>240</v>
      </c>
      <c r="B4" s="250"/>
      <c r="C4" s="262" t="s">
        <v>249</v>
      </c>
      <c r="D4" s="252"/>
      <c r="E4" s="474" t="s">
        <v>143</v>
      </c>
      <c r="F4" s="267">
        <v>3</v>
      </c>
      <c r="G4" s="268">
        <v>3</v>
      </c>
      <c r="H4" s="268">
        <v>2</v>
      </c>
      <c r="I4" s="268">
        <v>0</v>
      </c>
      <c r="J4" s="269">
        <v>0</v>
      </c>
      <c r="K4" s="269">
        <v>0</v>
      </c>
      <c r="L4" s="269">
        <v>0</v>
      </c>
      <c r="M4" s="270">
        <v>0</v>
      </c>
    </row>
    <row r="5" spans="1:13" ht="18.600000000000001" thickTop="1" thickBot="1" x14ac:dyDescent="0.35">
      <c r="B5" s="250"/>
      <c r="C5" s="272" t="s">
        <v>91</v>
      </c>
      <c r="D5" s="252"/>
      <c r="E5" s="475" t="s">
        <v>130</v>
      </c>
      <c r="F5" s="273">
        <v>0</v>
      </c>
      <c r="G5" s="274">
        <v>2</v>
      </c>
      <c r="H5" s="274">
        <v>1</v>
      </c>
      <c r="I5" s="274">
        <v>1</v>
      </c>
      <c r="J5" s="275">
        <v>1</v>
      </c>
      <c r="K5" s="276">
        <v>1</v>
      </c>
      <c r="L5" s="275">
        <v>0</v>
      </c>
      <c r="M5" s="277">
        <v>0</v>
      </c>
    </row>
    <row r="6" spans="1:13" ht="22.2" thickTop="1" thickBot="1" x14ac:dyDescent="0.35">
      <c r="A6" s="249" t="s">
        <v>272</v>
      </c>
      <c r="B6" s="250"/>
      <c r="C6" s="278" t="s">
        <v>117</v>
      </c>
      <c r="D6" s="252"/>
      <c r="E6" s="475" t="s">
        <v>266</v>
      </c>
      <c r="F6" s="273">
        <v>0</v>
      </c>
      <c r="G6" s="274">
        <v>1</v>
      </c>
      <c r="H6" s="274">
        <v>1</v>
      </c>
      <c r="I6" s="274">
        <v>0</v>
      </c>
      <c r="J6" s="275">
        <v>0</v>
      </c>
      <c r="K6" s="275">
        <v>0</v>
      </c>
      <c r="L6" s="275">
        <v>0</v>
      </c>
      <c r="M6" s="277">
        <v>0</v>
      </c>
    </row>
    <row r="7" spans="1:13" ht="18" thickBot="1" x14ac:dyDescent="0.35">
      <c r="A7" s="279" t="str">
        <f>CONCATENATE("Bardic Knowledge 1d20 +",'Personal File'!C13+'Personal File'!E3)</f>
        <v>Bardic Knowledge 1d20 +7</v>
      </c>
      <c r="B7" s="250"/>
      <c r="D7" s="252"/>
      <c r="E7" s="476" t="s">
        <v>106</v>
      </c>
      <c r="F7" s="280">
        <f t="shared" ref="F7:I7" si="0">SUM(F4:F6)</f>
        <v>3</v>
      </c>
      <c r="G7" s="281">
        <f t="shared" si="0"/>
        <v>6</v>
      </c>
      <c r="H7" s="281">
        <f t="shared" si="0"/>
        <v>4</v>
      </c>
      <c r="I7" s="281">
        <f t="shared" si="0"/>
        <v>1</v>
      </c>
      <c r="J7" s="282">
        <v>0</v>
      </c>
      <c r="K7" s="282">
        <v>0</v>
      </c>
      <c r="L7" s="282">
        <v>0</v>
      </c>
      <c r="M7" s="283">
        <v>0</v>
      </c>
    </row>
    <row r="8" spans="1:13" ht="22.2" thickTop="1" thickBot="1" x14ac:dyDescent="0.35">
      <c r="A8" s="279" t="str">
        <f>CONCATENATE("Bardic Music ",('Personal File'!$E$3+'Personal File'!$E$4),"x/day")</f>
        <v>Bardic Music 7x/day</v>
      </c>
      <c r="B8" s="250"/>
      <c r="C8" s="284" t="s">
        <v>73</v>
      </c>
      <c r="D8" s="252"/>
      <c r="E8" s="477" t="s">
        <v>89</v>
      </c>
      <c r="F8" s="285">
        <f>10+F3+'Personal File'!$C$15</f>
        <v>15</v>
      </c>
      <c r="G8" s="286">
        <f>10+G3+'Personal File'!$C$15</f>
        <v>16</v>
      </c>
      <c r="H8" s="286">
        <f>10+H3+'Personal File'!$C$15</f>
        <v>17</v>
      </c>
      <c r="I8" s="286">
        <f>10+I3+'Personal File'!$C$15</f>
        <v>18</v>
      </c>
      <c r="J8" s="287" t="s">
        <v>110</v>
      </c>
      <c r="K8" s="287" t="s">
        <v>110</v>
      </c>
      <c r="L8" s="287" t="s">
        <v>110</v>
      </c>
      <c r="M8" s="288" t="s">
        <v>110</v>
      </c>
    </row>
    <row r="9" spans="1:13" ht="18" thickBot="1" x14ac:dyDescent="0.35">
      <c r="A9" s="279" t="s">
        <v>133</v>
      </c>
      <c r="B9" s="250"/>
      <c r="C9" s="257" t="s">
        <v>190</v>
      </c>
      <c r="D9" s="252"/>
      <c r="E9" s="478" t="s">
        <v>72</v>
      </c>
      <c r="F9" s="289">
        <v>1</v>
      </c>
      <c r="G9" s="290">
        <v>0</v>
      </c>
      <c r="H9" s="290">
        <v>0</v>
      </c>
      <c r="I9" s="290">
        <v>0</v>
      </c>
      <c r="J9" s="291" t="s">
        <v>110</v>
      </c>
      <c r="K9" s="291" t="s">
        <v>110</v>
      </c>
      <c r="L9" s="291" t="s">
        <v>110</v>
      </c>
      <c r="M9" s="292" t="s">
        <v>110</v>
      </c>
    </row>
    <row r="10" spans="1:13" ht="18.600000000000001" thickTop="1" thickBot="1" x14ac:dyDescent="0.35">
      <c r="A10" s="279" t="s">
        <v>134</v>
      </c>
      <c r="B10" s="250"/>
      <c r="C10" s="293" t="s">
        <v>189</v>
      </c>
      <c r="D10" s="252"/>
    </row>
    <row r="11" spans="1:13" ht="18" thickTop="1" x14ac:dyDescent="0.3">
      <c r="A11" s="279" t="s">
        <v>206</v>
      </c>
      <c r="B11" s="250"/>
      <c r="C11" s="250"/>
      <c r="D11" s="252"/>
      <c r="E11" s="11" t="s">
        <v>264</v>
      </c>
      <c r="F11" s="295">
        <f>SUM('Personal File'!E3:E4)</f>
        <v>7</v>
      </c>
    </row>
    <row r="12" spans="1:13" x14ac:dyDescent="0.3">
      <c r="A12" s="279" t="s">
        <v>135</v>
      </c>
      <c r="B12" s="250"/>
      <c r="C12" s="250"/>
    </row>
    <row r="13" spans="1:13" ht="18" thickBot="1" x14ac:dyDescent="0.35">
      <c r="A13" s="296" t="s">
        <v>241</v>
      </c>
      <c r="B13" s="250"/>
      <c r="C13" s="250"/>
    </row>
    <row r="14" spans="1:13" ht="18.600000000000001" thickTop="1" thickBot="1" x14ac:dyDescent="0.35">
      <c r="B14" s="250"/>
      <c r="C14" s="250"/>
    </row>
    <row r="15" spans="1:13" ht="22.2" thickTop="1" thickBot="1" x14ac:dyDescent="0.35">
      <c r="A15" s="284" t="s">
        <v>273</v>
      </c>
      <c r="B15" s="250"/>
      <c r="C15" s="250"/>
    </row>
    <row r="16" spans="1:13" x14ac:dyDescent="0.3">
      <c r="A16" s="257"/>
      <c r="B16" s="250"/>
      <c r="C16" s="250"/>
    </row>
    <row r="17" spans="1:3" ht="18" thickBot="1" x14ac:dyDescent="0.35">
      <c r="A17" s="293"/>
      <c r="B17" s="250"/>
      <c r="C17" s="250"/>
    </row>
    <row r="18" spans="1:3" ht="18" thickTop="1" x14ac:dyDescent="0.3">
      <c r="B18" s="250"/>
      <c r="C18" s="250"/>
    </row>
    <row r="19" spans="1:3" x14ac:dyDescent="0.3">
      <c r="B19" s="250"/>
      <c r="C19" s="250"/>
    </row>
    <row r="20" spans="1:3" x14ac:dyDescent="0.3">
      <c r="B20" s="250"/>
      <c r="C20" s="250"/>
    </row>
    <row r="21" spans="1:3" x14ac:dyDescent="0.3">
      <c r="B21" s="250"/>
      <c r="C21" s="250"/>
    </row>
    <row r="22" spans="1:3" x14ac:dyDescent="0.3">
      <c r="B22" s="250"/>
      <c r="C22" s="250"/>
    </row>
    <row r="23" spans="1:3" x14ac:dyDescent="0.3">
      <c r="B23" s="250"/>
      <c r="C23" s="250"/>
    </row>
    <row r="24" spans="1:3" x14ac:dyDescent="0.3">
      <c r="B24" s="250"/>
      <c r="C24" s="250"/>
    </row>
  </sheetData>
  <sortState xmlns:xlrd2="http://schemas.microsoft.com/office/spreadsheetml/2017/richdata2" ref="A14:A16">
    <sortCondition ref="A10:A1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3"/>
  <sheetViews>
    <sheetView showGridLines="0" zoomScaleNormal="100" workbookViewId="0"/>
  </sheetViews>
  <sheetFormatPr defaultColWidth="13" defaultRowHeight="15.6" x14ac:dyDescent="0.3"/>
  <cols>
    <col min="1" max="1" width="18" style="341" bestFit="1" customWidth="1"/>
    <col min="2" max="2" width="8.5" style="341" bestFit="1" customWidth="1"/>
    <col min="3" max="3" width="4.296875" style="341" bestFit="1" customWidth="1"/>
    <col min="4" max="4" width="6.296875" style="341" bestFit="1" customWidth="1"/>
    <col min="5" max="6" width="8.5" style="341" bestFit="1" customWidth="1"/>
    <col min="7" max="7" width="4.3984375" style="341" bestFit="1" customWidth="1"/>
    <col min="8" max="8" width="4.69921875" style="341" bestFit="1" customWidth="1"/>
    <col min="9" max="9" width="5.69921875" style="341" bestFit="1" customWidth="1"/>
    <col min="10" max="10" width="6.296875" style="341" bestFit="1" customWidth="1"/>
    <col min="11" max="11" width="14.5" style="341" bestFit="1" customWidth="1"/>
    <col min="12" max="12" width="2.69921875" style="8" customWidth="1"/>
    <col min="13" max="13" width="5.796875" style="8" bestFit="1" customWidth="1"/>
    <col min="14" max="14" width="5.296875" style="8" customWidth="1"/>
    <col min="15" max="16384" width="13" style="8"/>
  </cols>
  <sheetData>
    <row r="1" spans="1:13" ht="24" thickBot="1" x14ac:dyDescent="0.35">
      <c r="A1" s="297" t="s">
        <v>15</v>
      </c>
      <c r="B1" s="297"/>
      <c r="C1" s="297"/>
      <c r="D1" s="297"/>
      <c r="E1" s="297"/>
      <c r="F1" s="297"/>
      <c r="G1" s="297"/>
      <c r="H1" s="297"/>
      <c r="I1" s="297"/>
      <c r="J1" s="297"/>
      <c r="K1" s="297"/>
      <c r="M1" s="297"/>
    </row>
    <row r="2" spans="1:13" ht="16.8" thickTop="1" thickBot="1" x14ac:dyDescent="0.35">
      <c r="A2" s="298" t="s">
        <v>1</v>
      </c>
      <c r="B2" s="299" t="s">
        <v>2</v>
      </c>
      <c r="C2" s="299" t="s">
        <v>19</v>
      </c>
      <c r="D2" s="299" t="s">
        <v>20</v>
      </c>
      <c r="E2" s="300" t="s">
        <v>58</v>
      </c>
      <c r="F2" s="299" t="s">
        <v>16</v>
      </c>
      <c r="G2" s="299" t="s">
        <v>21</v>
      </c>
      <c r="H2" s="301" t="s">
        <v>92</v>
      </c>
      <c r="I2" s="302" t="s">
        <v>113</v>
      </c>
      <c r="J2" s="301" t="s">
        <v>81</v>
      </c>
      <c r="K2" s="303" t="s">
        <v>79</v>
      </c>
      <c r="M2" s="304" t="s">
        <v>119</v>
      </c>
    </row>
    <row r="3" spans="1:13" x14ac:dyDescent="0.3">
      <c r="A3" s="305" t="s">
        <v>274</v>
      </c>
      <c r="B3" s="306" t="s">
        <v>132</v>
      </c>
      <c r="C3" s="307">
        <f>'Personal File'!$C$10</f>
        <v>-1</v>
      </c>
      <c r="D3" s="308">
        <v>2</v>
      </c>
      <c r="E3" s="309" t="s">
        <v>151</v>
      </c>
      <c r="F3" s="310" t="s">
        <v>152</v>
      </c>
      <c r="G3" s="311">
        <v>4</v>
      </c>
      <c r="H3" s="312" t="str">
        <f>CONCATENATE("+",'Personal File'!$B$8+'Personal File'!$C$10+D3)</f>
        <v>+7</v>
      </c>
      <c r="I3" s="313">
        <f t="shared" ref="I3:I4" ca="1" si="0">RANDBETWEEN(1,20)</f>
        <v>4</v>
      </c>
      <c r="J3" s="314">
        <f t="shared" ref="J3" ca="1" si="1">I3+H3</f>
        <v>11</v>
      </c>
      <c r="K3" s="315"/>
      <c r="M3" s="316">
        <v>315</v>
      </c>
    </row>
    <row r="4" spans="1:13" x14ac:dyDescent="0.3">
      <c r="A4" s="317" t="s">
        <v>235</v>
      </c>
      <c r="B4" s="318" t="s">
        <v>236</v>
      </c>
      <c r="C4" s="319">
        <f>'Personal File'!$C$10</f>
        <v>-1</v>
      </c>
      <c r="D4" s="320">
        <v>2</v>
      </c>
      <c r="E4" s="321" t="s">
        <v>110</v>
      </c>
      <c r="F4" s="322" t="s">
        <v>237</v>
      </c>
      <c r="G4" s="323">
        <v>1</v>
      </c>
      <c r="H4" s="324" t="str">
        <f>CONCATENATE("+",'Personal File'!$B$8+'Personal File'!$C$10+D4)</f>
        <v>+7</v>
      </c>
      <c r="I4" s="325">
        <f t="shared" ca="1" si="0"/>
        <v>10</v>
      </c>
      <c r="J4" s="326">
        <f t="shared" ref="J4" ca="1" si="2">I4+H4</f>
        <v>17</v>
      </c>
      <c r="K4" s="327"/>
      <c r="M4" s="328">
        <v>15</v>
      </c>
    </row>
    <row r="5" spans="1:13" ht="16.2" thickBot="1" x14ac:dyDescent="0.35">
      <c r="A5" s="329" t="s">
        <v>255</v>
      </c>
      <c r="B5" s="330" t="s">
        <v>144</v>
      </c>
      <c r="C5" s="331">
        <f>'Personal File'!$C$10</f>
        <v>-1</v>
      </c>
      <c r="D5" s="332">
        <f>1+2</f>
        <v>3</v>
      </c>
      <c r="E5" s="333" t="s">
        <v>108</v>
      </c>
      <c r="F5" s="334" t="s">
        <v>109</v>
      </c>
      <c r="G5" s="335">
        <v>1</v>
      </c>
      <c r="H5" s="336" t="str">
        <f>CONCATENATE("+",'Personal File'!$B$8+'Personal File'!$C$10+D5)</f>
        <v>+8</v>
      </c>
      <c r="I5" s="337">
        <v>19</v>
      </c>
      <c r="J5" s="338">
        <v>19</v>
      </c>
      <c r="K5" s="339"/>
      <c r="M5" s="340">
        <v>302</v>
      </c>
    </row>
    <row r="6" spans="1:13" ht="16.8" thickTop="1" thickBot="1" x14ac:dyDescent="0.35">
      <c r="M6" s="342"/>
    </row>
    <row r="7" spans="1:13" ht="16.8" thickTop="1" thickBot="1" x14ac:dyDescent="0.35">
      <c r="A7" s="298" t="s">
        <v>4</v>
      </c>
      <c r="B7" s="299" t="s">
        <v>5</v>
      </c>
      <c r="C7" s="299" t="s">
        <v>19</v>
      </c>
      <c r="D7" s="299" t="s">
        <v>20</v>
      </c>
      <c r="E7" s="300" t="s">
        <v>58</v>
      </c>
      <c r="F7" s="299" t="s">
        <v>6</v>
      </c>
      <c r="G7" s="299" t="s">
        <v>21</v>
      </c>
      <c r="H7" s="301" t="s">
        <v>92</v>
      </c>
      <c r="I7" s="302" t="s">
        <v>113</v>
      </c>
      <c r="J7" s="301" t="s">
        <v>81</v>
      </c>
      <c r="K7" s="303" t="s">
        <v>79</v>
      </c>
      <c r="M7" s="343" t="s">
        <v>119</v>
      </c>
    </row>
    <row r="8" spans="1:13" x14ac:dyDescent="0.3">
      <c r="A8" s="344" t="s">
        <v>250</v>
      </c>
      <c r="B8" s="345" t="s">
        <v>132</v>
      </c>
      <c r="C8" s="345" t="s">
        <v>56</v>
      </c>
      <c r="D8" s="346" t="s">
        <v>56</v>
      </c>
      <c r="E8" s="345" t="s">
        <v>108</v>
      </c>
      <c r="F8" s="346" t="s">
        <v>251</v>
      </c>
      <c r="G8" s="347" t="s">
        <v>254</v>
      </c>
      <c r="H8" s="347" t="str">
        <f>CONCATENATE("+",'Personal File'!$B$8+'Personal File'!$C$11+D8)</f>
        <v>+7</v>
      </c>
      <c r="I8" s="348">
        <f t="shared" ref="I8:I10" ca="1" si="3">RANDBETWEEN(1,20)</f>
        <v>16</v>
      </c>
      <c r="J8" s="349">
        <f t="shared" ref="J8" ca="1" si="4">I8+H8</f>
        <v>23</v>
      </c>
      <c r="K8" s="350"/>
      <c r="M8" s="351">
        <v>35</v>
      </c>
    </row>
    <row r="9" spans="1:13" x14ac:dyDescent="0.3">
      <c r="A9" s="317" t="s">
        <v>243</v>
      </c>
      <c r="B9" s="352" t="s">
        <v>153</v>
      </c>
      <c r="C9" s="353" t="s">
        <v>56</v>
      </c>
      <c r="D9" s="353" t="s">
        <v>56</v>
      </c>
      <c r="E9" s="318">
        <v>20</v>
      </c>
      <c r="F9" s="353" t="s">
        <v>75</v>
      </c>
      <c r="G9" s="323">
        <f>K9</f>
        <v>4</v>
      </c>
      <c r="H9" s="323" t="str">
        <f>CONCATENATE("+",'Personal File'!$B$8+'Personal File'!$C$11+D9)</f>
        <v>+7</v>
      </c>
      <c r="I9" s="354">
        <f t="shared" ca="1" si="3"/>
        <v>7</v>
      </c>
      <c r="J9" s="355">
        <f ca="1">I9+H9</f>
        <v>14</v>
      </c>
      <c r="K9" s="356">
        <v>4</v>
      </c>
      <c r="M9" s="328">
        <f>10*K9</f>
        <v>40</v>
      </c>
    </row>
    <row r="10" spans="1:13" ht="16.2" thickBot="1" x14ac:dyDescent="0.35">
      <c r="A10" s="357" t="s">
        <v>122</v>
      </c>
      <c r="B10" s="358" t="s">
        <v>110</v>
      </c>
      <c r="C10" s="359" t="s">
        <v>110</v>
      </c>
      <c r="D10" s="359" t="s">
        <v>56</v>
      </c>
      <c r="E10" s="358" t="s">
        <v>110</v>
      </c>
      <c r="F10" s="359" t="s">
        <v>110</v>
      </c>
      <c r="G10" s="360" t="s">
        <v>110</v>
      </c>
      <c r="H10" s="361" t="str">
        <f>CONCATENATE("+",'Personal File'!$B$8+'Personal File'!$C$11+D10)</f>
        <v>+7</v>
      </c>
      <c r="I10" s="362">
        <f t="shared" ca="1" si="3"/>
        <v>4</v>
      </c>
      <c r="J10" s="361">
        <f t="shared" ref="J10" ca="1" si="5">I10+H10</f>
        <v>11</v>
      </c>
      <c r="K10" s="363"/>
      <c r="M10" s="364" t="s">
        <v>110</v>
      </c>
    </row>
    <row r="11" spans="1:13" ht="16.8" thickTop="1" thickBot="1" x14ac:dyDescent="0.35">
      <c r="D11" s="14"/>
      <c r="E11" s="14"/>
      <c r="G11" s="365"/>
      <c r="H11" s="365"/>
      <c r="I11" s="365"/>
      <c r="J11" s="365"/>
      <c r="M11" s="342"/>
    </row>
    <row r="12" spans="1:13" ht="16.8" thickTop="1" thickBot="1" x14ac:dyDescent="0.35">
      <c r="A12" s="298" t="s">
        <v>63</v>
      </c>
      <c r="B12" s="299" t="s">
        <v>9</v>
      </c>
      <c r="C12" s="299" t="s">
        <v>28</v>
      </c>
      <c r="D12" s="299" t="s">
        <v>81</v>
      </c>
      <c r="E12" s="299" t="s">
        <v>82</v>
      </c>
      <c r="F12" s="299" t="s">
        <v>83</v>
      </c>
      <c r="G12" s="299" t="s">
        <v>21</v>
      </c>
      <c r="H12" s="366" t="s">
        <v>79</v>
      </c>
      <c r="I12" s="367"/>
      <c r="J12" s="367"/>
      <c r="K12" s="368"/>
      <c r="M12" s="343" t="s">
        <v>119</v>
      </c>
    </row>
    <row r="13" spans="1:13" x14ac:dyDescent="0.3">
      <c r="A13" s="369" t="s">
        <v>212</v>
      </c>
      <c r="B13" s="306">
        <v>6</v>
      </c>
      <c r="C13" s="370">
        <v>6</v>
      </c>
      <c r="D13" s="306">
        <v>0</v>
      </c>
      <c r="E13" s="371">
        <v>0.1</v>
      </c>
      <c r="F13" s="372" t="str">
        <f>'Personal File'!E8</f>
        <v>30’</v>
      </c>
      <c r="G13" s="311">
        <v>12.5</v>
      </c>
      <c r="H13" s="373" t="s">
        <v>154</v>
      </c>
      <c r="I13" s="374"/>
      <c r="J13" s="374"/>
      <c r="K13" s="375"/>
      <c r="M13" s="316">
        <v>2100</v>
      </c>
    </row>
    <row r="14" spans="1:13" ht="16.2" thickBot="1" x14ac:dyDescent="0.35">
      <c r="A14" s="329"/>
      <c r="B14" s="330"/>
      <c r="C14" s="376"/>
      <c r="D14" s="330"/>
      <c r="E14" s="377"/>
      <c r="F14" s="330"/>
      <c r="G14" s="335"/>
      <c r="H14" s="378"/>
      <c r="I14" s="379"/>
      <c r="J14" s="379"/>
      <c r="K14" s="380"/>
      <c r="M14" s="340"/>
    </row>
    <row r="15" spans="1:13" ht="16.8" thickTop="1" thickBot="1" x14ac:dyDescent="0.35">
      <c r="M15" s="342"/>
    </row>
    <row r="16" spans="1:13" ht="16.8" thickTop="1" thickBot="1" x14ac:dyDescent="0.35">
      <c r="D16" s="381" t="s">
        <v>64</v>
      </c>
      <c r="E16" s="382"/>
      <c r="F16" s="366" t="s">
        <v>3</v>
      </c>
      <c r="G16" s="299" t="s">
        <v>21</v>
      </c>
      <c r="H16" s="301" t="s">
        <v>92</v>
      </c>
      <c r="I16" s="366" t="s">
        <v>79</v>
      </c>
      <c r="J16" s="367"/>
      <c r="K16" s="368"/>
      <c r="M16" s="343" t="s">
        <v>119</v>
      </c>
    </row>
    <row r="17" spans="1:13" x14ac:dyDescent="0.3">
      <c r="D17" s="383" t="s">
        <v>252</v>
      </c>
      <c r="E17" s="384"/>
      <c r="F17" s="385">
        <v>20</v>
      </c>
      <c r="G17" s="311">
        <f t="shared" ref="G17:G18" si="6">F17*3/20</f>
        <v>3</v>
      </c>
      <c r="H17" s="386" t="s">
        <v>56</v>
      </c>
      <c r="I17" s="387"/>
      <c r="J17" s="388"/>
      <c r="K17" s="389"/>
      <c r="M17" s="316">
        <f t="shared" ref="M17" si="7">F17/10</f>
        <v>2</v>
      </c>
    </row>
    <row r="18" spans="1:13" x14ac:dyDescent="0.3">
      <c r="D18" s="390" t="s">
        <v>256</v>
      </c>
      <c r="E18" s="391"/>
      <c r="F18" s="392">
        <v>20</v>
      </c>
      <c r="G18" s="393">
        <f t="shared" si="6"/>
        <v>3</v>
      </c>
      <c r="H18" s="394" t="s">
        <v>56</v>
      </c>
      <c r="I18" s="395"/>
      <c r="J18" s="396"/>
      <c r="K18" s="397"/>
      <c r="M18" s="398">
        <f>F18/10+(2*F18)</f>
        <v>42</v>
      </c>
    </row>
    <row r="19" spans="1:13" ht="16.2" thickBot="1" x14ac:dyDescent="0.35">
      <c r="D19" s="399" t="s">
        <v>253</v>
      </c>
      <c r="E19" s="400"/>
      <c r="F19" s="401">
        <v>10</v>
      </c>
      <c r="G19" s="335">
        <f t="shared" ref="G19" si="8">F19*3/20</f>
        <v>1.5</v>
      </c>
      <c r="H19" s="402" t="s">
        <v>56</v>
      </c>
      <c r="I19" s="403"/>
      <c r="J19" s="404"/>
      <c r="K19" s="405"/>
      <c r="M19" s="340">
        <f>F19/5</f>
        <v>2</v>
      </c>
    </row>
    <row r="20" spans="1:13" ht="16.8" thickTop="1" thickBot="1" x14ac:dyDescent="0.35">
      <c r="M20" s="342"/>
    </row>
    <row r="21" spans="1:13" ht="16.8" thickTop="1" thickBot="1" x14ac:dyDescent="0.35">
      <c r="D21" s="381" t="s">
        <v>120</v>
      </c>
      <c r="E21" s="367"/>
      <c r="F21" s="367"/>
      <c r="G21" s="367"/>
      <c r="H21" s="406" t="s">
        <v>3</v>
      </c>
      <c r="I21" s="406" t="s">
        <v>0</v>
      </c>
      <c r="J21" s="406" t="s">
        <v>121</v>
      </c>
      <c r="K21" s="368" t="s">
        <v>79</v>
      </c>
      <c r="M21" s="343" t="s">
        <v>119</v>
      </c>
    </row>
    <row r="22" spans="1:13" x14ac:dyDescent="0.3">
      <c r="D22" s="407" t="s">
        <v>276</v>
      </c>
      <c r="E22" s="408"/>
      <c r="F22" s="408"/>
      <c r="G22" s="409"/>
      <c r="H22" s="410">
        <v>8</v>
      </c>
      <c r="I22" s="410">
        <v>1</v>
      </c>
      <c r="J22" s="410">
        <v>1</v>
      </c>
      <c r="K22" s="411"/>
      <c r="M22" s="412">
        <f>25*H22*I22*J22</f>
        <v>200</v>
      </c>
    </row>
    <row r="23" spans="1:13" x14ac:dyDescent="0.3">
      <c r="D23" s="407" t="s">
        <v>277</v>
      </c>
      <c r="E23" s="408"/>
      <c r="F23" s="408"/>
      <c r="G23" s="409"/>
      <c r="H23" s="410">
        <v>1</v>
      </c>
      <c r="I23" s="410">
        <v>3</v>
      </c>
      <c r="J23" s="410">
        <v>6</v>
      </c>
      <c r="K23" s="411"/>
      <c r="M23" s="412">
        <f t="shared" ref="M23:M24" si="9">25*H23*I23*J23</f>
        <v>450</v>
      </c>
    </row>
    <row r="24" spans="1:13" x14ac:dyDescent="0.3">
      <c r="D24" s="407" t="s">
        <v>278</v>
      </c>
      <c r="E24" s="408"/>
      <c r="F24" s="408"/>
      <c r="G24" s="409"/>
      <c r="H24" s="410">
        <v>0</v>
      </c>
      <c r="I24" s="410">
        <v>3</v>
      </c>
      <c r="J24" s="410">
        <v>6</v>
      </c>
      <c r="K24" s="411"/>
      <c r="M24" s="412">
        <f t="shared" si="9"/>
        <v>0</v>
      </c>
    </row>
    <row r="25" spans="1:13" x14ac:dyDescent="0.3">
      <c r="D25" s="407" t="s">
        <v>279</v>
      </c>
      <c r="E25" s="408"/>
      <c r="F25" s="408"/>
      <c r="G25" s="409"/>
      <c r="H25" s="410">
        <v>2</v>
      </c>
      <c r="I25" s="410">
        <v>1</v>
      </c>
      <c r="J25" s="410">
        <v>1</v>
      </c>
      <c r="K25" s="411"/>
      <c r="M25" s="412">
        <f>25*H25*I25*J25</f>
        <v>50</v>
      </c>
    </row>
    <row r="26" spans="1:13" ht="16.2" thickBot="1" x14ac:dyDescent="0.35">
      <c r="D26" s="413" t="s">
        <v>280</v>
      </c>
      <c r="E26" s="414"/>
      <c r="F26" s="414"/>
      <c r="G26" s="415"/>
      <c r="H26" s="416">
        <v>1</v>
      </c>
      <c r="I26" s="416">
        <v>1</v>
      </c>
      <c r="J26" s="416">
        <v>1</v>
      </c>
      <c r="K26" s="417" t="s">
        <v>269</v>
      </c>
      <c r="M26" s="340">
        <f>25*H26*I26*J26*LEFT(K26,2)</f>
        <v>1175</v>
      </c>
    </row>
    <row r="27" spans="1:13" ht="18.600000000000001" thickTop="1" x14ac:dyDescent="0.3">
      <c r="A27" s="418"/>
      <c r="B27" s="419"/>
    </row>
    <row r="28" spans="1:13" ht="18" x14ac:dyDescent="0.3">
      <c r="A28" s="418"/>
      <c r="B28" s="419"/>
    </row>
    <row r="29" spans="1:13" ht="18" x14ac:dyDescent="0.3">
      <c r="A29" s="418"/>
      <c r="B29" s="419"/>
    </row>
    <row r="30" spans="1:13" ht="18" x14ac:dyDescent="0.3">
      <c r="A30" s="418"/>
      <c r="B30" s="419"/>
    </row>
    <row r="31" spans="1:13" ht="18" x14ac:dyDescent="0.3">
      <c r="A31" s="418"/>
      <c r="B31" s="419"/>
    </row>
    <row r="32" spans="1:13" ht="18" x14ac:dyDescent="0.3">
      <c r="A32" s="418"/>
      <c r="B32" s="419"/>
    </row>
    <row r="33" spans="1:2" ht="18" x14ac:dyDescent="0.3">
      <c r="A33" s="418"/>
      <c r="B33" s="419"/>
    </row>
  </sheetData>
  <sortState xmlns:xlrd2="http://schemas.microsoft.com/office/spreadsheetml/2017/richdata2" ref="D21:M25">
    <sortCondition ref="D21:D25"/>
  </sortState>
  <phoneticPr fontId="0" type="noConversion"/>
  <conditionalFormatting sqref="B14">
    <cfRule type="cellIs" dxfId="12" priority="26" operator="equal">
      <formula>2</formula>
    </cfRule>
  </conditionalFormatting>
  <conditionalFormatting sqref="I3">
    <cfRule type="cellIs" dxfId="11" priority="22" operator="greaterThan">
      <formula>18</formula>
    </cfRule>
  </conditionalFormatting>
  <conditionalFormatting sqref="I3:I5">
    <cfRule type="cellIs" dxfId="10" priority="6" operator="equal">
      <formula>1</formula>
    </cfRule>
  </conditionalFormatting>
  <conditionalFormatting sqref="I4">
    <cfRule type="cellIs" dxfId="9" priority="5" operator="greaterThan">
      <formula>19</formula>
    </cfRule>
  </conditionalFormatting>
  <conditionalFormatting sqref="I5">
    <cfRule type="cellIs" dxfId="8" priority="13" operator="greaterThan">
      <formula>18</formula>
    </cfRule>
  </conditionalFormatting>
  <conditionalFormatting sqref="I8">
    <cfRule type="cellIs" dxfId="7" priority="18" operator="greaterThan">
      <formula>19</formula>
    </cfRule>
    <cfRule type="cellIs" dxfId="6" priority="19" operator="equal">
      <formula>1</formula>
    </cfRule>
  </conditionalFormatting>
  <conditionalFormatting sqref="I9">
    <cfRule type="cellIs" dxfId="5" priority="3" operator="equal">
      <formula>19</formula>
    </cfRule>
    <cfRule type="cellIs" dxfId="4" priority="4" operator="equal">
      <formula>20</formula>
    </cfRule>
  </conditionalFormatting>
  <conditionalFormatting sqref="I10">
    <cfRule type="cellIs" dxfId="3" priority="9" operator="greaterThan">
      <formula>19</formula>
    </cfRule>
    <cfRule type="cellIs" dxfId="2"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6"/>
  <sheetViews>
    <sheetView showGridLines="0" workbookViewId="0"/>
  </sheetViews>
  <sheetFormatPr defaultColWidth="13" defaultRowHeight="15.6" x14ac:dyDescent="0.3"/>
  <cols>
    <col min="1" max="1" width="27.3984375" style="341" bestFit="1" customWidth="1"/>
    <col min="2" max="2" width="4.69921875" style="341" bestFit="1" customWidth="1"/>
    <col min="3" max="3" width="4.3984375" style="365" bestFit="1" customWidth="1"/>
    <col min="4" max="5" width="21.69921875" style="8" customWidth="1"/>
    <col min="6" max="6" width="2.8984375" style="341" customWidth="1"/>
    <col min="7" max="7" width="8.296875" style="342" bestFit="1" customWidth="1"/>
    <col min="8" max="16384" width="13" style="8"/>
  </cols>
  <sheetData>
    <row r="1" spans="1:7" ht="24" thickBot="1" x14ac:dyDescent="0.35">
      <c r="A1" s="297" t="s">
        <v>76</v>
      </c>
      <c r="B1" s="297"/>
      <c r="C1" s="420"/>
      <c r="D1" s="297"/>
      <c r="E1" s="297"/>
    </row>
    <row r="2" spans="1:7" s="341" customFormat="1" ht="16.8" thickTop="1" thickBot="1" x14ac:dyDescent="0.35">
      <c r="A2" s="421" t="s">
        <v>77</v>
      </c>
      <c r="B2" s="421" t="s">
        <v>3</v>
      </c>
      <c r="C2" s="422" t="s">
        <v>21</v>
      </c>
      <c r="D2" s="423" t="s">
        <v>78</v>
      </c>
      <c r="E2" s="424" t="s">
        <v>79</v>
      </c>
      <c r="G2" s="425" t="s">
        <v>119</v>
      </c>
    </row>
    <row r="3" spans="1:7" x14ac:dyDescent="0.3">
      <c r="A3" s="426" t="s">
        <v>128</v>
      </c>
      <c r="B3" s="427">
        <v>1</v>
      </c>
      <c r="C3" s="428">
        <v>0.5</v>
      </c>
      <c r="D3" s="429"/>
      <c r="E3" s="430"/>
      <c r="G3" s="431">
        <v>1</v>
      </c>
    </row>
    <row r="4" spans="1:7" x14ac:dyDescent="0.3">
      <c r="A4" s="426" t="s">
        <v>112</v>
      </c>
      <c r="B4" s="427">
        <v>1</v>
      </c>
      <c r="C4" s="428">
        <v>1</v>
      </c>
      <c r="D4" s="429"/>
      <c r="E4" s="430"/>
      <c r="G4" s="432">
        <v>2</v>
      </c>
    </row>
    <row r="5" spans="1:7" x14ac:dyDescent="0.3">
      <c r="A5" s="433" t="s">
        <v>234</v>
      </c>
      <c r="B5" s="434">
        <v>1</v>
      </c>
      <c r="C5" s="435">
        <v>1</v>
      </c>
      <c r="D5" s="436"/>
      <c r="E5" s="437"/>
      <c r="G5" s="432">
        <v>4000</v>
      </c>
    </row>
    <row r="6" spans="1:7" x14ac:dyDescent="0.3">
      <c r="A6" s="438" t="s">
        <v>128</v>
      </c>
      <c r="B6" s="427">
        <v>1</v>
      </c>
      <c r="C6" s="435">
        <v>0</v>
      </c>
      <c r="D6" s="436"/>
      <c r="E6" s="437"/>
      <c r="G6" s="432">
        <v>1</v>
      </c>
    </row>
    <row r="7" spans="1:7" ht="16.2" thickBot="1" x14ac:dyDescent="0.35">
      <c r="A7" s="439" t="s">
        <v>118</v>
      </c>
      <c r="B7" s="440">
        <v>1</v>
      </c>
      <c r="C7" s="441" t="s">
        <v>115</v>
      </c>
      <c r="D7" s="442"/>
      <c r="E7" s="443"/>
      <c r="G7" s="444" t="s">
        <v>230</v>
      </c>
    </row>
    <row r="8" spans="1:7" ht="24.6" thickTop="1" thickBot="1" x14ac:dyDescent="0.35">
      <c r="A8" s="297" t="s">
        <v>80</v>
      </c>
      <c r="B8" s="297"/>
      <c r="C8" s="445"/>
      <c r="D8" s="297"/>
      <c r="E8" s="446"/>
      <c r="G8" s="447"/>
    </row>
    <row r="9" spans="1:7" ht="16.8" thickTop="1" thickBot="1" x14ac:dyDescent="0.35">
      <c r="A9" s="421" t="s">
        <v>77</v>
      </c>
      <c r="B9" s="421" t="s">
        <v>3</v>
      </c>
      <c r="C9" s="422" t="s">
        <v>21</v>
      </c>
      <c r="D9" s="423" t="s">
        <v>78</v>
      </c>
      <c r="E9" s="424" t="s">
        <v>79</v>
      </c>
      <c r="G9" s="425" t="s">
        <v>119</v>
      </c>
    </row>
    <row r="10" spans="1:7" x14ac:dyDescent="0.3">
      <c r="A10" s="426" t="s">
        <v>229</v>
      </c>
      <c r="B10" s="427">
        <v>1</v>
      </c>
      <c r="C10" s="435">
        <v>0.5</v>
      </c>
      <c r="D10" s="436"/>
      <c r="E10" s="437"/>
      <c r="G10" s="448">
        <v>1</v>
      </c>
    </row>
    <row r="11" spans="1:7" x14ac:dyDescent="0.3">
      <c r="A11" s="438" t="s">
        <v>228</v>
      </c>
      <c r="B11" s="427">
        <v>1</v>
      </c>
      <c r="C11" s="428">
        <v>0</v>
      </c>
      <c r="D11" s="429"/>
      <c r="E11" s="430"/>
      <c r="G11" s="449">
        <v>0.4</v>
      </c>
    </row>
    <row r="12" spans="1:7" ht="16.2" thickBot="1" x14ac:dyDescent="0.35">
      <c r="A12" s="439" t="s">
        <v>93</v>
      </c>
      <c r="B12" s="440">
        <v>1</v>
      </c>
      <c r="C12" s="441">
        <v>0</v>
      </c>
      <c r="D12" s="442"/>
      <c r="E12" s="443"/>
      <c r="G12" s="450">
        <v>1</v>
      </c>
    </row>
    <row r="13" spans="1:7" ht="23.4" thickTop="1" thickBot="1" x14ac:dyDescent="0.35">
      <c r="A13" s="451"/>
      <c r="B13" s="451"/>
      <c r="C13" s="451"/>
      <c r="D13" s="452" t="s">
        <v>215</v>
      </c>
      <c r="E13" s="453"/>
      <c r="G13" s="341">
        <v>2000</v>
      </c>
    </row>
    <row r="14" spans="1:7" ht="16.8" thickTop="1" thickBot="1" x14ac:dyDescent="0.35">
      <c r="A14" s="421" t="s">
        <v>77</v>
      </c>
      <c r="B14" s="421" t="s">
        <v>3</v>
      </c>
      <c r="C14" s="422" t="s">
        <v>21</v>
      </c>
      <c r="D14" s="423" t="s">
        <v>78</v>
      </c>
      <c r="E14" s="424" t="s">
        <v>79</v>
      </c>
      <c r="G14" s="454" t="s">
        <v>119</v>
      </c>
    </row>
    <row r="15" spans="1:7" x14ac:dyDescent="0.3">
      <c r="A15" s="438" t="s">
        <v>111</v>
      </c>
      <c r="B15" s="455">
        <v>1</v>
      </c>
      <c r="C15" s="428">
        <v>5</v>
      </c>
      <c r="D15" s="456"/>
      <c r="E15" s="430"/>
      <c r="F15" s="457"/>
      <c r="G15" s="458">
        <v>0.05</v>
      </c>
    </row>
    <row r="16" spans="1:7" x14ac:dyDescent="0.3">
      <c r="A16" s="438" t="s">
        <v>131</v>
      </c>
      <c r="B16" s="455">
        <v>1</v>
      </c>
      <c r="C16" s="428">
        <v>0</v>
      </c>
      <c r="D16" s="456" t="s">
        <v>268</v>
      </c>
      <c r="E16" s="430"/>
      <c r="F16" s="457"/>
      <c r="G16" s="458">
        <v>0</v>
      </c>
    </row>
    <row r="17" spans="1:7" x14ac:dyDescent="0.3">
      <c r="A17" s="438" t="s">
        <v>245</v>
      </c>
      <c r="B17" s="455">
        <v>440</v>
      </c>
      <c r="C17" s="428">
        <f>B17/100</f>
        <v>4.4000000000000004</v>
      </c>
      <c r="D17" s="456"/>
      <c r="E17" s="430"/>
      <c r="F17" s="457"/>
      <c r="G17" s="432">
        <f>B17</f>
        <v>440</v>
      </c>
    </row>
    <row r="18" spans="1:7" x14ac:dyDescent="0.3">
      <c r="A18" s="438" t="s">
        <v>218</v>
      </c>
      <c r="B18" s="455">
        <v>1</v>
      </c>
      <c r="C18" s="428">
        <v>0</v>
      </c>
      <c r="D18" s="456"/>
      <c r="E18" s="430"/>
      <c r="F18" s="457"/>
      <c r="G18" s="432">
        <v>1</v>
      </c>
    </row>
    <row r="19" spans="1:7" x14ac:dyDescent="0.3">
      <c r="A19" s="438" t="s">
        <v>244</v>
      </c>
      <c r="B19" s="455">
        <v>17</v>
      </c>
      <c r="C19" s="428">
        <f>B19*3/20</f>
        <v>2.5499999999999998</v>
      </c>
      <c r="D19" s="456"/>
      <c r="E19" s="430"/>
      <c r="F19" s="457"/>
      <c r="G19" s="432">
        <v>41</v>
      </c>
    </row>
    <row r="20" spans="1:7" x14ac:dyDescent="0.3">
      <c r="A20" s="438" t="s">
        <v>246</v>
      </c>
      <c r="B20" s="455">
        <v>3</v>
      </c>
      <c r="C20" s="428">
        <f>B20</f>
        <v>3</v>
      </c>
      <c r="D20" s="456"/>
      <c r="E20" s="430"/>
      <c r="F20" s="457"/>
      <c r="G20" s="458">
        <f>B20/100</f>
        <v>0.03</v>
      </c>
    </row>
    <row r="21" spans="1:7" x14ac:dyDescent="0.3">
      <c r="A21" s="438" t="s">
        <v>219</v>
      </c>
      <c r="B21" s="455">
        <v>1</v>
      </c>
      <c r="C21" s="428">
        <v>0</v>
      </c>
      <c r="D21" s="456"/>
      <c r="E21" s="430"/>
      <c r="F21" s="457"/>
      <c r="G21" s="458">
        <v>0.01</v>
      </c>
    </row>
    <row r="22" spans="1:7" x14ac:dyDescent="0.3">
      <c r="A22" s="459" t="s">
        <v>220</v>
      </c>
      <c r="B22" s="460">
        <v>1</v>
      </c>
      <c r="C22" s="435">
        <v>0.5</v>
      </c>
      <c r="D22" s="461"/>
      <c r="E22" s="437"/>
      <c r="F22" s="457"/>
      <c r="G22" s="462">
        <v>10</v>
      </c>
    </row>
    <row r="23" spans="1:7" x14ac:dyDescent="0.3">
      <c r="A23" s="459" t="s">
        <v>231</v>
      </c>
      <c r="B23" s="460">
        <v>2</v>
      </c>
      <c r="C23" s="435">
        <v>0</v>
      </c>
      <c r="D23" s="461"/>
      <c r="E23" s="437"/>
      <c r="F23" s="457"/>
      <c r="G23" s="458">
        <v>0.01</v>
      </c>
    </row>
    <row r="24" spans="1:7" x14ac:dyDescent="0.3">
      <c r="A24" s="459" t="s">
        <v>216</v>
      </c>
      <c r="B24" s="460">
        <v>1</v>
      </c>
      <c r="C24" s="435">
        <v>6</v>
      </c>
      <c r="D24" s="461" t="s">
        <v>217</v>
      </c>
      <c r="E24" s="437"/>
      <c r="F24" s="457"/>
      <c r="G24" s="462">
        <v>100</v>
      </c>
    </row>
    <row r="25" spans="1:7" x14ac:dyDescent="0.3">
      <c r="A25" s="459" t="s">
        <v>222</v>
      </c>
      <c r="B25" s="460">
        <v>1</v>
      </c>
      <c r="C25" s="435">
        <v>5</v>
      </c>
      <c r="D25" s="461" t="s">
        <v>223</v>
      </c>
      <c r="E25" s="437"/>
      <c r="F25" s="457"/>
      <c r="G25" s="462">
        <v>10</v>
      </c>
    </row>
    <row r="26" spans="1:7" x14ac:dyDescent="0.3">
      <c r="A26" s="459" t="s">
        <v>129</v>
      </c>
      <c r="B26" s="460">
        <v>1</v>
      </c>
      <c r="C26" s="435">
        <v>0</v>
      </c>
      <c r="D26" s="461"/>
      <c r="E26" s="437"/>
      <c r="F26" s="457"/>
      <c r="G26" s="462">
        <v>8</v>
      </c>
    </row>
    <row r="27" spans="1:7" x14ac:dyDescent="0.3">
      <c r="A27" s="459" t="s">
        <v>131</v>
      </c>
      <c r="B27" s="460">
        <v>15</v>
      </c>
      <c r="C27" s="435">
        <v>0</v>
      </c>
      <c r="D27" s="461"/>
      <c r="E27" s="437"/>
      <c r="F27" s="457"/>
      <c r="G27" s="458">
        <v>0.02</v>
      </c>
    </row>
    <row r="28" spans="1:7" x14ac:dyDescent="0.3">
      <c r="A28" s="459" t="s">
        <v>225</v>
      </c>
      <c r="B28" s="460">
        <v>1</v>
      </c>
      <c r="C28" s="435">
        <v>8</v>
      </c>
      <c r="D28" s="461"/>
      <c r="E28" s="437"/>
      <c r="F28" s="457"/>
      <c r="G28" s="462">
        <v>2</v>
      </c>
    </row>
    <row r="29" spans="1:7" x14ac:dyDescent="0.3">
      <c r="A29" s="459" t="s">
        <v>226</v>
      </c>
      <c r="B29" s="460">
        <v>1</v>
      </c>
      <c r="C29" s="435">
        <v>2</v>
      </c>
      <c r="D29" s="461"/>
      <c r="E29" s="437"/>
      <c r="F29" s="457"/>
      <c r="G29" s="458">
        <v>0.25</v>
      </c>
    </row>
    <row r="30" spans="1:7" x14ac:dyDescent="0.3">
      <c r="A30" s="459" t="s">
        <v>227</v>
      </c>
      <c r="B30" s="460">
        <v>1</v>
      </c>
      <c r="C30" s="435">
        <v>5</v>
      </c>
      <c r="D30" s="461"/>
      <c r="E30" s="437"/>
      <c r="F30" s="457"/>
      <c r="G30" s="462">
        <v>2</v>
      </c>
    </row>
    <row r="31" spans="1:7" x14ac:dyDescent="0.3">
      <c r="A31" s="459" t="s">
        <v>224</v>
      </c>
      <c r="B31" s="460">
        <v>1</v>
      </c>
      <c r="C31" s="435">
        <v>20</v>
      </c>
      <c r="D31" s="461"/>
      <c r="E31" s="437"/>
      <c r="F31" s="457"/>
      <c r="G31" s="462">
        <v>10</v>
      </c>
    </row>
    <row r="32" spans="1:7" x14ac:dyDescent="0.3">
      <c r="A32" s="459" t="s">
        <v>232</v>
      </c>
      <c r="B32" s="460">
        <v>1</v>
      </c>
      <c r="C32" s="435">
        <v>1</v>
      </c>
      <c r="D32" s="461"/>
      <c r="E32" s="437"/>
      <c r="F32" s="457"/>
      <c r="G32" s="462">
        <v>1</v>
      </c>
    </row>
    <row r="33" spans="1:7" x14ac:dyDescent="0.3">
      <c r="A33" s="459" t="s">
        <v>233</v>
      </c>
      <c r="B33" s="460">
        <v>1</v>
      </c>
      <c r="C33" s="435">
        <v>0</v>
      </c>
      <c r="D33" s="461"/>
      <c r="E33" s="437"/>
      <c r="F33" s="457"/>
      <c r="G33" s="462">
        <v>5</v>
      </c>
    </row>
    <row r="34" spans="1:7" x14ac:dyDescent="0.3">
      <c r="A34" s="459" t="s">
        <v>94</v>
      </c>
      <c r="B34" s="460">
        <v>1</v>
      </c>
      <c r="C34" s="435">
        <v>4</v>
      </c>
      <c r="D34" s="461"/>
      <c r="E34" s="437"/>
      <c r="F34" s="457"/>
      <c r="G34" s="462">
        <v>1</v>
      </c>
    </row>
    <row r="35" spans="1:7" ht="16.2" thickBot="1" x14ac:dyDescent="0.35">
      <c r="A35" s="463" t="s">
        <v>221</v>
      </c>
      <c r="B35" s="464">
        <v>1</v>
      </c>
      <c r="C35" s="441">
        <v>3</v>
      </c>
      <c r="D35" s="465"/>
      <c r="E35" s="443"/>
      <c r="G35" s="450">
        <v>12</v>
      </c>
    </row>
    <row r="36" spans="1:7" ht="24.6" thickTop="1" thickBot="1" x14ac:dyDescent="0.5">
      <c r="A36" s="64" t="s">
        <v>214</v>
      </c>
      <c r="B36" s="466">
        <f>C36/500</f>
        <v>0.1389</v>
      </c>
      <c r="C36" s="365">
        <f>SUM(C15:C35)</f>
        <v>69.45</v>
      </c>
      <c r="D36" s="467" t="s">
        <v>213</v>
      </c>
      <c r="E36" s="297"/>
      <c r="G36" s="468"/>
    </row>
    <row r="37" spans="1:7" s="341" customFormat="1" ht="16.8" thickTop="1" thickBot="1" x14ac:dyDescent="0.35">
      <c r="A37" s="421" t="s">
        <v>77</v>
      </c>
      <c r="B37" s="421" t="s">
        <v>3</v>
      </c>
      <c r="C37" s="422" t="s">
        <v>21</v>
      </c>
      <c r="D37" s="421" t="s">
        <v>158</v>
      </c>
      <c r="E37" s="424" t="s">
        <v>79</v>
      </c>
      <c r="G37" s="425" t="s">
        <v>119</v>
      </c>
    </row>
    <row r="38" spans="1:7" x14ac:dyDescent="0.3">
      <c r="A38" s="469"/>
      <c r="B38" s="470"/>
      <c r="C38" s="471"/>
      <c r="D38" s="472"/>
      <c r="E38" s="430"/>
      <c r="G38" s="431">
        <f>B38</f>
        <v>0</v>
      </c>
    </row>
    <row r="39" spans="1:7" x14ac:dyDescent="0.3">
      <c r="A39" s="426"/>
      <c r="B39" s="427"/>
      <c r="C39" s="428"/>
      <c r="D39" s="472"/>
      <c r="E39" s="430"/>
      <c r="G39" s="448"/>
    </row>
    <row r="40" spans="1:7" x14ac:dyDescent="0.3">
      <c r="A40" s="426"/>
      <c r="B40" s="427"/>
      <c r="C40" s="428"/>
      <c r="D40" s="472"/>
      <c r="E40" s="430"/>
      <c r="G40" s="448"/>
    </row>
    <row r="41" spans="1:7" x14ac:dyDescent="0.3">
      <c r="A41" s="426"/>
      <c r="B41" s="427"/>
      <c r="C41" s="428"/>
      <c r="D41" s="429"/>
      <c r="E41" s="430"/>
      <c r="G41" s="448"/>
    </row>
    <row r="42" spans="1:7" x14ac:dyDescent="0.3">
      <c r="A42" s="426"/>
      <c r="B42" s="427"/>
      <c r="C42" s="428"/>
      <c r="D42" s="429"/>
      <c r="E42" s="430"/>
      <c r="G42" s="448"/>
    </row>
    <row r="43" spans="1:7" ht="16.2" thickBot="1" x14ac:dyDescent="0.35">
      <c r="A43" s="439"/>
      <c r="B43" s="440"/>
      <c r="C43" s="441"/>
      <c r="D43" s="442"/>
      <c r="E43" s="443"/>
      <c r="G43" s="450"/>
    </row>
    <row r="44" spans="1:7" ht="16.2" thickTop="1" x14ac:dyDescent="0.3"/>
    <row r="45" spans="1:7" x14ac:dyDescent="0.3">
      <c r="E45" s="64" t="s">
        <v>148</v>
      </c>
      <c r="F45" s="8"/>
      <c r="G45" s="473">
        <f>SUM(Martial!M3:M26,Equipment!G3:G43)</f>
        <v>11377.77</v>
      </c>
    </row>
    <row r="46" spans="1:7" x14ac:dyDescent="0.3">
      <c r="E46" s="64" t="s">
        <v>267</v>
      </c>
      <c r="G46" s="473">
        <v>19000</v>
      </c>
    </row>
  </sheetData>
  <sortState xmlns:xlrd2="http://schemas.microsoft.com/office/spreadsheetml/2017/richdata2" ref="A6:G11">
    <sortCondition ref="A6:A11"/>
  </sortState>
  <phoneticPr fontId="0" type="noConversion"/>
  <conditionalFormatting sqref="B36">
    <cfRule type="cellIs" dxfId="1" priority="1" operator="greaterThan">
      <formula>0.99</formula>
    </cfRule>
  </conditionalFormatting>
  <conditionalFormatting sqref="G45">
    <cfRule type="cellIs" dxfId="0" priority="2"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2020-07-26T21:33:55Z</cp:lastPrinted>
  <dcterms:created xsi:type="dcterms:W3CDTF">2000-10-24T15:39:59Z</dcterms:created>
  <dcterms:modified xsi:type="dcterms:W3CDTF">2025-03-10T11:39:32Z</dcterms:modified>
</cp:coreProperties>
</file>