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Oghma\Characters\"/>
    </mc:Choice>
  </mc:AlternateContent>
  <xr:revisionPtr revIDLastSave="0" documentId="13_ncr:1_{76D24FC4-7E16-4736-8B3F-45193F0C7C8B}"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2">Oghma!$A$1:$H$9</definedName>
    <definedName name="_xlnm.Print_Area" localSheetId="0">'Personal File'!$A$1:$H$24</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5" l="1"/>
  <c r="F6" i="20"/>
  <c r="G6" i="20"/>
  <c r="H6" i="20"/>
  <c r="H10" i="6" l="1"/>
  <c r="H9" i="6"/>
  <c r="H28" i="15" l="1"/>
  <c r="B7" i="4" l="1"/>
  <c r="B3" i="15"/>
  <c r="B4" i="15"/>
  <c r="B5" i="15"/>
  <c r="I12" i="6"/>
  <c r="M17" i="6"/>
  <c r="G22" i="6"/>
  <c r="M22" i="6"/>
  <c r="H9" i="15" l="1"/>
  <c r="H38" i="15" l="1"/>
  <c r="H30" i="15"/>
  <c r="H23" i="15"/>
  <c r="H22" i="15"/>
  <c r="H19" i="15"/>
  <c r="M27" i="6" l="1"/>
  <c r="M28" i="6" l="1"/>
  <c r="I3" i="6" l="1"/>
  <c r="H13" i="15" l="1"/>
  <c r="G13" i="6" l="1"/>
  <c r="E10" i="4" s="1"/>
  <c r="I13" i="6"/>
  <c r="I14" i="6"/>
  <c r="G24" i="19" l="1"/>
  <c r="C24" i="19"/>
  <c r="G19" i="19"/>
  <c r="B42" i="15"/>
  <c r="F39" i="15" l="1"/>
  <c r="F33" i="15"/>
  <c r="F26" i="15"/>
  <c r="F23" i="15"/>
  <c r="F21" i="15"/>
  <c r="F16" i="15"/>
  <c r="F9" i="15"/>
  <c r="F7" i="15"/>
  <c r="H39" i="15" l="1"/>
  <c r="H37" i="15"/>
  <c r="H36" i="15"/>
  <c r="H35" i="15"/>
  <c r="H34" i="15"/>
  <c r="H33" i="15"/>
  <c r="H32" i="15"/>
  <c r="H31" i="15"/>
  <c r="H29" i="15"/>
  <c r="H27" i="15"/>
  <c r="H26" i="15"/>
  <c r="H25" i="15"/>
  <c r="H24" i="15"/>
  <c r="H21" i="15"/>
  <c r="H20" i="15"/>
  <c r="H18" i="15"/>
  <c r="H17" i="15"/>
  <c r="H16" i="15"/>
  <c r="H15" i="15"/>
  <c r="H14" i="15"/>
  <c r="H12" i="15"/>
  <c r="H11" i="15"/>
  <c r="H10" i="15"/>
  <c r="H8" i="15"/>
  <c r="H7" i="15"/>
  <c r="E48" i="15" l="1"/>
  <c r="H3" i="15" l="1"/>
  <c r="H4" i="15"/>
  <c r="H5" i="15"/>
  <c r="I5" i="6" l="1"/>
  <c r="G29" i="19" l="1"/>
  <c r="I11" i="6" l="1"/>
  <c r="I10" i="6" l="1"/>
  <c r="I9" i="6"/>
  <c r="I6" i="6"/>
  <c r="J10" i="6" l="1"/>
  <c r="J9" i="6"/>
  <c r="C6" i="6" l="1"/>
  <c r="I4" i="6" l="1"/>
  <c r="H40" i="15" l="1"/>
  <c r="C14" i="4" l="1"/>
  <c r="C13" i="4"/>
  <c r="H6" i="6" s="1"/>
  <c r="C12" i="4"/>
  <c r="C11" i="4"/>
  <c r="E11" i="4" s="1"/>
  <c r="C10" i="4"/>
  <c r="E12" i="4" s="1"/>
  <c r="E14" i="4" s="1"/>
  <c r="C9" i="4"/>
  <c r="H3" i="6" s="1"/>
  <c r="C3" i="6" l="1"/>
  <c r="C4" i="6"/>
  <c r="J3" i="6"/>
  <c r="E47" i="15"/>
  <c r="H14" i="6"/>
  <c r="J14" i="6" s="1"/>
  <c r="H13" i="6"/>
  <c r="J13" i="6" s="1"/>
  <c r="H12" i="6"/>
  <c r="J12" i="6" s="1"/>
  <c r="E45" i="15"/>
  <c r="E46" i="15"/>
  <c r="D10" i="15"/>
  <c r="E10" i="15" s="1"/>
  <c r="D3" i="15"/>
  <c r="D4" i="15"/>
  <c r="D21" i="15"/>
  <c r="E21" i="15" s="1"/>
  <c r="D33" i="15"/>
  <c r="E33" i="15" s="1"/>
  <c r="D7" i="15"/>
  <c r="E7" i="15" s="1"/>
  <c r="D26" i="15"/>
  <c r="E26" i="15" s="1"/>
  <c r="D39" i="15"/>
  <c r="E39" i="15" s="1"/>
  <c r="D27" i="15"/>
  <c r="E27" i="15" s="1"/>
  <c r="D41" i="15"/>
  <c r="E41" i="15" s="1"/>
  <c r="D16" i="15"/>
  <c r="E16" i="15" s="1"/>
  <c r="D30" i="15"/>
  <c r="E30" i="15" s="1"/>
  <c r="E13" i="4"/>
  <c r="D8" i="15"/>
  <c r="E8" i="15" s="1"/>
  <c r="D22" i="15"/>
  <c r="E22" i="15" s="1"/>
  <c r="D18" i="15"/>
  <c r="E18" i="15" s="1"/>
  <c r="D15" i="15"/>
  <c r="E15" i="15" s="1"/>
  <c r="D13" i="15"/>
  <c r="E13" i="15" s="1"/>
  <c r="D19" i="15"/>
  <c r="E19" i="15" s="1"/>
  <c r="D28" i="15"/>
  <c r="E28" i="15" s="1"/>
  <c r="D40" i="15"/>
  <c r="E40" i="15" s="1"/>
  <c r="J6" i="6"/>
  <c r="D32" i="15"/>
  <c r="E32" i="15" s="1"/>
  <c r="D5" i="15"/>
  <c r="D29" i="15"/>
  <c r="E29" i="15" s="1"/>
  <c r="D20" i="15"/>
  <c r="E20" i="15" s="1"/>
  <c r="D37" i="15"/>
  <c r="E37" i="15" s="1"/>
  <c r="D25" i="15"/>
  <c r="E25" i="15" s="1"/>
  <c r="D36" i="15"/>
  <c r="E36" i="15" s="1"/>
  <c r="D23" i="15"/>
  <c r="E23" i="15" s="1"/>
  <c r="D38" i="15"/>
  <c r="E38" i="15" s="1"/>
  <c r="D9" i="15"/>
  <c r="E9" i="15" s="1"/>
  <c r="E44" i="15"/>
  <c r="E43" i="15"/>
  <c r="D6" i="15"/>
  <c r="E6" i="15" s="1"/>
  <c r="D14" i="15"/>
  <c r="E14" i="15" s="1"/>
  <c r="D11" i="15"/>
  <c r="E11" i="15" s="1"/>
  <c r="D24" i="15"/>
  <c r="E24" i="15" s="1"/>
  <c r="D17" i="15"/>
  <c r="E17" i="15" s="1"/>
  <c r="D35" i="15"/>
  <c r="E35" i="15" s="1"/>
  <c r="D12" i="15"/>
  <c r="E12" i="15" s="1"/>
  <c r="D34" i="15"/>
  <c r="E34" i="15" s="1"/>
  <c r="D31" i="15"/>
  <c r="E31" i="15" s="1"/>
  <c r="H5" i="6"/>
  <c r="C5" i="6"/>
  <c r="H11" i="6"/>
  <c r="J11" i="6" s="1"/>
  <c r="H4" i="6"/>
  <c r="J4" i="6" s="1"/>
  <c r="B8" i="4"/>
  <c r="H41" i="15"/>
  <c r="H6" i="15"/>
  <c r="E3" i="15" l="1"/>
  <c r="G3" i="15"/>
  <c r="I3" i="15" s="1"/>
  <c r="E4" i="15"/>
  <c r="G4" i="15"/>
  <c r="I4" i="15" s="1"/>
  <c r="E42" i="15"/>
  <c r="E5" i="15"/>
  <c r="G5" i="15"/>
  <c r="I5" i="15" s="1"/>
  <c r="G24" i="15" l="1"/>
  <c r="I24" i="15" l="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4994C839-3E38-409D-B1A5-66C1CC5ABD20}">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bless +1
aid +1   haste +1
inspire courage +2
divine favor +1
divine power +?</t>
        </r>
      </text>
    </comment>
    <comment ref="E8" authorId="0" shapeId="0" xr:uid="{B4BC6F86-59D4-4E19-8AAB-A16373A7F590}">
      <text>
        <r>
          <rPr>
            <sz val="12"/>
            <color indexed="81"/>
            <rFont val="Times New Roman"/>
            <family val="1"/>
          </rPr>
          <t>Next level at 15,000 XPs</t>
        </r>
      </text>
    </comment>
    <comment ref="E9" authorId="0" shapeId="0" xr:uid="{384BB714-92A9-426E-9394-96181F45E499}">
      <text>
        <r>
          <rPr>
            <sz val="12"/>
            <color indexed="81"/>
            <rFont val="Times New Roman"/>
            <family val="1"/>
          </rPr>
          <t>See PHB 162</t>
        </r>
      </text>
    </comment>
    <comment ref="E11" authorId="0" shapeId="0" xr:uid="{00000000-0006-0000-0000-000004000000}">
      <text>
        <r>
          <rPr>
            <sz val="12"/>
            <color indexed="81"/>
            <rFont val="Times New Roman"/>
            <family val="1"/>
          </rPr>
          <t>[(5 * 6 Favored Soul) * 75%]
+ (5 * -2 Con)</t>
        </r>
      </text>
    </comment>
    <comment ref="E12" authorId="0" shapeId="0" xr:uid="{00000000-0006-0000-0000-000005000000}">
      <text>
        <r>
          <rPr>
            <i/>
            <sz val="12"/>
            <color indexed="81"/>
            <rFont val="Times New Roman"/>
            <family val="1"/>
          </rPr>
          <t>Shield of Faith +3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B101E051-621E-4F23-A15D-E7B24684E984}">
      <text>
        <r>
          <rPr>
            <sz val="12"/>
            <color indexed="81"/>
            <rFont val="Times New Roman"/>
            <family val="1"/>
          </rPr>
          <t>Discipline +1</t>
        </r>
      </text>
    </comment>
    <comment ref="F4" authorId="0" shapeId="0" xr:uid="{226C5944-8F29-4A49-85AB-42C0E7CF020F}">
      <text>
        <r>
          <rPr>
            <sz val="12"/>
            <color indexed="81"/>
            <rFont val="Times New Roman"/>
            <family val="1"/>
          </rPr>
          <t>Discipline +1</t>
        </r>
      </text>
    </comment>
    <comment ref="F5" authorId="0" shapeId="0" xr:uid="{270D3499-BE35-443C-BF15-6A1E766F188E}">
      <text>
        <r>
          <rPr>
            <sz val="12"/>
            <color indexed="81"/>
            <rFont val="Times New Roman"/>
            <family val="1"/>
          </rPr>
          <t>Discipline +1</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0" authorId="0" shapeId="0" xr:uid="{579409C2-E09A-4134-8496-AADDD9609F39}">
      <text>
        <r>
          <rPr>
            <sz val="12"/>
            <color indexed="81"/>
            <rFont val="Times New Roman"/>
            <family val="1"/>
          </rPr>
          <t>Skill Focus +3
Discipline +2</t>
        </r>
      </text>
    </comment>
    <comment ref="F16" authorId="0" shapeId="0" xr:uid="{903A7634-3C71-4764-AEBA-5A289E670199}">
      <text>
        <r>
          <rPr>
            <sz val="12"/>
            <color indexed="81"/>
            <rFont val="Times New Roman"/>
            <family val="1"/>
          </rPr>
          <t>Armor penalty</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26" authorId="0" shapeId="0" xr:uid="{5F3F2C36-6B0C-4955-A254-25D87C8786C1}">
      <text>
        <r>
          <rPr>
            <sz val="12"/>
            <color indexed="81"/>
            <rFont val="Times New Roman"/>
            <family val="1"/>
          </rPr>
          <t>Armor penalty</t>
        </r>
      </text>
    </comment>
    <comment ref="F33" authorId="0" shapeId="0" xr:uid="{1DEFA309-D0BC-4365-8753-1B74C4E4E9CC}">
      <text>
        <r>
          <rPr>
            <sz val="12"/>
            <color indexed="81"/>
            <rFont val="Times New Roman"/>
            <family val="1"/>
          </rPr>
          <t>Armor penalty</t>
        </r>
      </text>
    </comment>
    <comment ref="F35" authorId="0" shapeId="0" xr:uid="{00000000-0006-0000-0100-000007000000}">
      <text>
        <r>
          <rPr>
            <sz val="12"/>
            <color indexed="81"/>
            <rFont val="Times New Roman"/>
            <family val="1"/>
          </rPr>
          <t>Synergy bonuses
+2 Know (Arcana)</t>
        </r>
      </text>
    </comment>
    <comment ref="F39"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3000000}">
      <text>
        <r>
          <rPr>
            <sz val="12"/>
            <color indexed="81"/>
            <rFont val="Times New Roman"/>
            <family val="1"/>
          </rPr>
          <t>Prism, lens, or monocle</t>
        </r>
      </text>
    </comment>
    <comment ref="D9" authorId="0" shapeId="0" xr:uid="{00000000-0006-0000-0200-000007000000}">
      <text>
        <r>
          <rPr>
            <sz val="12"/>
            <color indexed="81"/>
            <rFont val="Times New Roman"/>
            <family val="1"/>
          </rPr>
          <t>Soot &amp; Salt</t>
        </r>
      </text>
    </comment>
    <comment ref="D10" authorId="0" shapeId="0" xr:uid="{0DB7DC45-7256-4F03-B003-BB4883A4A3AD}">
      <text>
        <r>
          <rPr>
            <sz val="12"/>
            <color indexed="81"/>
            <rFont val="Times New Roman"/>
            <family val="1"/>
          </rPr>
          <t>parchment with holy text</t>
        </r>
      </text>
    </comment>
    <comment ref="D11" authorId="0" shapeId="0" xr:uid="{00000000-0006-0000-0200-000009000000}">
      <text>
        <r>
          <rPr>
            <sz val="12"/>
            <color indexed="81"/>
            <rFont val="Times New Roman"/>
            <family val="1"/>
          </rPr>
          <t>Earth from grave</t>
        </r>
      </text>
    </comment>
    <comment ref="D12" authorId="0" shapeId="0" xr:uid="{64835F23-2F4E-458F-B514-0F086183EAF6}">
      <text>
        <r>
          <rPr>
            <sz val="12"/>
            <color indexed="81"/>
            <rFont val="Times New Roman"/>
            <family val="1"/>
          </rPr>
          <t>Parchment w/ holy text</t>
        </r>
      </text>
    </comment>
    <comment ref="D13" authorId="0" shapeId="0" xr:uid="{00000000-0006-0000-0200-00000C000000}">
      <text>
        <r>
          <rPr>
            <sz val="12"/>
            <color indexed="81"/>
            <rFont val="Times New Roman"/>
            <family val="1"/>
          </rPr>
          <t>Pinch of dirt</t>
        </r>
      </text>
    </comment>
    <comment ref="D14" authorId="0" shapeId="0" xr:uid="{2CD7F259-F417-4B3A-9B93-EF6FDF91BF1E}">
      <text>
        <r>
          <rPr>
            <sz val="12"/>
            <color indexed="81"/>
            <rFont val="Times New Roman"/>
            <family val="1"/>
          </rPr>
          <t>Copper piece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283E88C8-4D60-430A-BDAA-E6C74D1682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B3B76DA0-EE65-49BB-994E-C5B8FF6CAF44}">
      <text>
        <r>
          <rPr>
            <sz val="12"/>
            <color indexed="81"/>
            <rFont val="Times New Roman"/>
            <family val="1"/>
          </rPr>
          <t xml:space="preserve">Your people are admired for their single-minded determination and clarity of purpose. You are difficult to distract by spell or blow.
</t>
        </r>
        <r>
          <rPr>
            <b/>
            <sz val="12"/>
            <color indexed="81"/>
            <rFont val="Times New Roman"/>
            <family val="1"/>
          </rPr>
          <t xml:space="preserve">Regions: </t>
        </r>
        <r>
          <rPr>
            <sz val="12"/>
            <color indexed="81"/>
            <rFont val="Times New Roman"/>
            <family val="1"/>
          </rPr>
          <t xml:space="preserve">Aglarond, Anauroch, Cormyr, Impiltur, Thay, strongheart halfling, sun elf, rock gnome.
</t>
        </r>
        <r>
          <rPr>
            <b/>
            <sz val="12"/>
            <color indexed="81"/>
            <rFont val="Times New Roman"/>
            <family val="1"/>
          </rPr>
          <t xml:space="preserve">Benefit: </t>
        </r>
        <r>
          <rPr>
            <sz val="12"/>
            <color indexed="81"/>
            <rFont val="Times New Roman"/>
            <family val="1"/>
          </rPr>
          <t>You gain a +1 bonus on Will saves and a +2 bonus on Concentration checks.
FRCS 35</t>
        </r>
      </text>
    </comment>
    <comment ref="A4" authorId="0" shapeId="0" xr:uid="{98B01B10-D9E5-4889-86B1-B9B77AB18906}">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5" authorId="0" shapeId="0" xr:uid="{1947E25A-BA55-426F-AD71-5DD1159D1D99}">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6" authorId="0" shapeId="0" xr:uid="{00000000-0006-0000-0500-000005000000}">
      <text>
        <r>
          <rPr>
            <sz val="12"/>
            <color indexed="81"/>
            <rFont val="Times New Roman"/>
            <family val="1"/>
          </rPr>
          <t>Balance, Climb, Escape Artist, Hide, Jump, Move Silently, Sleight of Hand, Tumble.</t>
        </r>
      </text>
    </comment>
    <comment ref="A17" authorId="0" shapeId="0" xr:uid="{B52A2F9B-9D71-4796-9BAC-0507B7F5676D}">
      <text>
        <r>
          <rPr>
            <b/>
            <sz val="12"/>
            <color indexed="81"/>
            <rFont val="Times New Roman"/>
            <family val="1"/>
          </rPr>
          <t xml:space="preserve">Price: </t>
        </r>
        <r>
          <rPr>
            <sz val="12"/>
            <color indexed="81"/>
            <rFont val="Times New Roman"/>
            <family val="1"/>
          </rPr>
          <t xml:space="preserve">+500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appears sturdier than other armor of its type.
While wearing armor that has this property, you gain a +1 resistance bonus on Fortitude saving throws.
MIC 15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A771E983-616B-4840-94EE-F2354CFA5D0C}">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6" authorId="0" shapeId="0" xr:uid="{2C27D2F0-9515-488D-B1F8-5347F1E9574D}">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
These two small, concave glass discs have a translucent silver sheen to them.  You can activate lenses of revelation to perceive the true nature of any creature in sight. Activating the lenses creates a faint aura for 1 round around the target creature (visible only to you) of a particular color based on its nature:
</t>
        </r>
        <r>
          <rPr>
            <b/>
            <sz val="12"/>
            <color indexed="81"/>
            <rFont val="Times New Roman"/>
            <family val="1"/>
          </rPr>
          <t xml:space="preserve">Evil Outsider: </t>
        </r>
        <r>
          <rPr>
            <sz val="12"/>
            <color indexed="81"/>
            <rFont val="Times New Roman"/>
            <family val="1"/>
          </rPr>
          <t xml:space="preserve">Red.
</t>
        </r>
        <r>
          <rPr>
            <b/>
            <sz val="12"/>
            <color indexed="81"/>
            <rFont val="Times New Roman"/>
            <family val="1"/>
          </rPr>
          <t xml:space="preserve">Undead: </t>
        </r>
        <r>
          <rPr>
            <sz val="12"/>
            <color indexed="81"/>
            <rFont val="Times New Roman"/>
            <family val="1"/>
          </rPr>
          <t xml:space="preserve">Bone-white.
</t>
        </r>
        <r>
          <rPr>
            <b/>
            <sz val="12"/>
            <color indexed="81"/>
            <rFont val="Times New Roman"/>
            <family val="1"/>
          </rPr>
          <t xml:space="preserve">Any Other: </t>
        </r>
        <r>
          <rPr>
            <sz val="12"/>
            <color indexed="81"/>
            <rFont val="Times New Roman"/>
            <family val="1"/>
          </rPr>
          <t>Green.
Any effect that would defeat a detect evil spell or effect also masks a creature from lenses of revelation.
MIC 215</t>
        </r>
      </text>
    </comment>
    <comment ref="A16"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2"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<sst xmlns="http://schemas.openxmlformats.org/spreadsheetml/2006/main" count="471" uniqueCount="248">
  <si>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</si>
  <si>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</si>
  <si>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</si>
  <si>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</si>
  <si>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</si>
  <si>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</si>
  <si>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</si>
  <si>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</si>
  <si>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</si>
  <si>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</si>
  <si>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</si>
  <si>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</si>
  <si>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</si>
  <si>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</si>
  <si>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</si>
  <si>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</si>
  <si>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</si>
  <si>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</si>
  <si>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</si>
  <si>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</si>
  <si>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</si>
  <si>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</si>
  <si>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</si>
  <si>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</si>
  <si>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</si>
  <si>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</si>
  <si>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</si>
  <si>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</si>
  <si>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</si>
  <si>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</si>
  <si>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</si>
  <si>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</si>
  <si>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</si>
  <si>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</si>
  <si>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</si>
  <si>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</si>
  <si>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</si>
  <si>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</si>
  <si>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</si>
  <si>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</si>
  <si>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</si>
  <si>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</si>
  <si>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</si>
  <si>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</si>
  <si>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</si>
  <si>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</si>
  <si>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</si>
  <si>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</si>
  <si>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</si>
  <si>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</si>
  <si>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</si>
  <si>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</si>
  <si>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</si>
  <si>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</si>
  <si>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</si>
  <si>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</si>
  <si>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</si>
  <si>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</si>
  <si>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</si>
  <si>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Touch</t>
  </si>
  <si>
    <t>1 minute</t>
  </si>
  <si>
    <t>Universal</t>
  </si>
  <si>
    <t>1 min/lvl</t>
  </si>
  <si>
    <t>Instant</t>
  </si>
  <si>
    <t>Personal</t>
  </si>
  <si>
    <t>10 min/lvl</t>
  </si>
  <si>
    <t>Conjuration</t>
  </si>
  <si>
    <t>1 rnd/lvl</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</si>
  <si>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</si>
  <si>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</si>
  <si>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</si>
  <si>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</si>
  <si>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</si>
  <si>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</si>
  <si>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</si>
  <si>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</si>
  <si>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</si>
  <si>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</si>
  <si>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</si>
  <si>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</si>
  <si>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</si>
  <si>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</si>
  <si>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</si>
  <si>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</si>
  <si>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</si>
  <si>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Longstrider</t>
  </si>
  <si>
    <t>Sleight of Hand</t>
  </si>
  <si>
    <t>Survival</t>
  </si>
  <si>
    <t>Weapon Proficiencies</t>
  </si>
  <si>
    <t>Atk</t>
  </si>
  <si>
    <t>Components</t>
  </si>
  <si>
    <t>Casting</t>
  </si>
  <si>
    <t>V S</t>
  </si>
  <si>
    <t>1 SA</t>
  </si>
  <si>
    <t>1 hr/lvl</t>
  </si>
  <si>
    <t>V S DF</t>
  </si>
  <si>
    <t>V S M</t>
  </si>
  <si>
    <t>V S M/DF</t>
  </si>
  <si>
    <t>100’ + 10’/lvl</t>
  </si>
  <si>
    <t>Dispel Magic</t>
  </si>
  <si>
    <t>V S F</t>
  </si>
  <si>
    <t>Cure Minor Wounds</t>
  </si>
  <si>
    <t>Detect Magic</t>
  </si>
  <si>
    <t>Guidance</t>
  </si>
  <si>
    <t>Read Magic</t>
  </si>
  <si>
    <t>1st</t>
  </si>
  <si>
    <t>2nd</t>
  </si>
  <si>
    <t>3rd</t>
  </si>
  <si>
    <t>4th</t>
  </si>
  <si>
    <t>5th</t>
  </si>
  <si>
    <t>6th</t>
  </si>
  <si>
    <t>Spells per Day</t>
  </si>
  <si>
    <t>Spell Level</t>
  </si>
  <si>
    <t>0th</t>
  </si>
  <si>
    <t>7th</t>
  </si>
  <si>
    <t>Total Divine</t>
  </si>
  <si>
    <t>Feats</t>
  </si>
  <si>
    <t>Roll</t>
  </si>
  <si>
    <t>Skill/Save</t>
  </si>
  <si>
    <t>30’</t>
  </si>
  <si>
    <t>Transmutation</t>
  </si>
  <si>
    <t>0’</t>
  </si>
  <si>
    <t>Detect Undead</t>
  </si>
  <si>
    <t>V S F/DF</t>
  </si>
  <si>
    <t>Find Traps</t>
  </si>
  <si>
    <t>Summon Holy Symbol</t>
  </si>
  <si>
    <t>2</t>
  </si>
  <si>
    <t>Knowledge:  Arcana</t>
  </si>
  <si>
    <t>human</t>
  </si>
  <si>
    <t>Value</t>
  </si>
  <si>
    <t>1d8</t>
  </si>
  <si>
    <t>Spell Component Pouch</t>
  </si>
  <si>
    <t>Healing Kit</t>
  </si>
  <si>
    <t>Total Equity:</t>
  </si>
  <si>
    <t>-</t>
  </si>
  <si>
    <t>x2</t>
  </si>
  <si>
    <t>Traveler’s Outfit</t>
  </si>
  <si>
    <t>eight</t>
  </si>
  <si>
    <t>Grapple, Unarmed Strike</t>
  </si>
  <si>
    <t>1d3</t>
  </si>
  <si>
    <t>Bludgeon</t>
  </si>
  <si>
    <t>Race</t>
  </si>
  <si>
    <t>Class</t>
  </si>
  <si>
    <t>Sex</t>
  </si>
  <si>
    <t>AC</t>
  </si>
  <si>
    <t>Spell Compendium</t>
  </si>
  <si>
    <t>PHB</t>
  </si>
  <si>
    <t>Complete Champion</t>
  </si>
  <si>
    <t>Reference</t>
  </si>
  <si>
    <t>Page</t>
  </si>
  <si>
    <t>Comprehend Languages</t>
  </si>
  <si>
    <t>Amanuensis</t>
  </si>
  <si>
    <t>40’</t>
  </si>
  <si>
    <t>Bypass Spell Resistance</t>
  </si>
  <si>
    <t>Ranged Touch Attack</t>
  </si>
  <si>
    <t>Age</t>
  </si>
  <si>
    <t>Scrolls and Potions</t>
  </si>
  <si>
    <t>CLev</t>
  </si>
  <si>
    <t>Grapple, Unarmed Strike, 2nd Attack</t>
  </si>
  <si>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</si>
  <si>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</si>
  <si>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</si>
  <si>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</si>
  <si>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</si>
  <si>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</si>
  <si>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</si>
  <si>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</si>
  <si>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</si>
  <si>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</si>
  <si>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</si>
  <si>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</si>
  <si>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</si>
  <si>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</si>
  <si>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</si>
  <si>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</si>
  <si>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</si>
  <si>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</si>
  <si>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</si>
  <si>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50’ Rope</t>
  </si>
  <si>
    <t>Night Clothes</t>
  </si>
  <si>
    <t>Heward’s Handy Haversack</t>
  </si>
  <si>
    <t>Everlasting Rations</t>
  </si>
  <si>
    <t>Magic Bedroll</t>
  </si>
  <si>
    <t>Blessed Bandages</t>
  </si>
  <si>
    <t>Cloak, Fur</t>
  </si>
  <si>
    <t>Soft Equity Ceiling:</t>
  </si>
  <si>
    <t>XP</t>
  </si>
  <si>
    <t>All Armor and Shields</t>
  </si>
  <si>
    <t>Simple and Martial Weapons</t>
  </si>
  <si>
    <t>1</t>
  </si>
  <si>
    <t>Gold Coins</t>
  </si>
  <si>
    <t>100’</t>
  </si>
  <si>
    <t>x3</t>
  </si>
  <si>
    <t>1d6</t>
  </si>
  <si>
    <t>Everfull Mug</t>
  </si>
  <si>
    <t>Longbow, 2nd Shot</t>
  </si>
  <si>
    <t>Longbow +1</t>
  </si>
  <si>
    <t>Ephod of Authority</t>
  </si>
  <si>
    <t>Human</t>
  </si>
  <si>
    <t>Lenses of Revelation</t>
  </si>
  <si>
    <t>Played by Alexis Álvarez</t>
  </si>
  <si>
    <t>Oghma’s Silver Holy Symbol</t>
  </si>
  <si>
    <t>Spells Granted by Oghma</t>
  </si>
  <si>
    <t>1d6+1</t>
  </si>
  <si>
    <t>Detect Thoughts</t>
  </si>
  <si>
    <t>Spiritual Weapon (Longsword)</t>
  </si>
  <si>
    <t>Oghma</t>
  </si>
  <si>
    <t>Female</t>
  </si>
  <si>
    <t>Missiles</t>
  </si>
  <si>
    <t>Arrows</t>
  </si>
  <si>
    <t>Slashing</t>
  </si>
  <si>
    <t>19-20/x2</t>
  </si>
  <si>
    <t>Flint &amp; Steel</t>
  </si>
  <si>
    <t>Chain Shirt of Stamina</t>
  </si>
  <si>
    <t>NOT YET AVAILABLE</t>
  </si>
  <si>
    <t>Flask (not on hand)</t>
  </si>
  <si>
    <t>Favored Soul</t>
  </si>
  <si>
    <t>favored soul 1</t>
  </si>
  <si>
    <t>favored soul 2</t>
  </si>
  <si>
    <t>favored soul 3</t>
  </si>
  <si>
    <t>favored soul 4</t>
  </si>
  <si>
    <t>favored soul 5</t>
  </si>
  <si>
    <t>Artemis</t>
  </si>
  <si>
    <t>Neutral</t>
  </si>
  <si>
    <t>Cormyr</t>
  </si>
  <si>
    <t>Favored Spells</t>
  </si>
  <si>
    <t>Charisma Bonus</t>
  </si>
  <si>
    <t>Regional: Discipline</t>
  </si>
  <si>
    <t>3rd: Extend Spell</t>
  </si>
  <si>
    <t>Perform: Storytelling</t>
  </si>
  <si>
    <t>Profession:  Storyteller</t>
  </si>
  <si>
    <t>5’ 8”</t>
  </si>
  <si>
    <t>167 lbs.</t>
  </si>
  <si>
    <t>Conviction</t>
  </si>
  <si>
    <t>Abjuration</t>
  </si>
  <si>
    <t>1st: Spell Focus: Divination</t>
  </si>
  <si>
    <t>MW Longsword</t>
  </si>
  <si>
    <t>Weapon Focus included</t>
  </si>
  <si>
    <t>Spiritual Weapon</t>
  </si>
  <si>
    <t>Evocation</t>
  </si>
  <si>
    <t>Favored Soul Features</t>
  </si>
  <si>
    <t>Weapon Focus: Longsword</t>
  </si>
  <si>
    <t>Energy Resistance:  Acid</t>
  </si>
  <si>
    <t>Human: Skill Focus: Concentration</t>
  </si>
  <si>
    <t>Shield of Faith</t>
  </si>
  <si>
    <t>Common, Human</t>
  </si>
  <si>
    <t>Outlander (Planar Trade)</t>
  </si>
  <si>
    <r>
      <t>26</t>
    </r>
    <r>
      <rPr>
        <sz val="13"/>
        <rFont val="Calibri Light"/>
        <family val="2"/>
      </rPr>
      <t>/</t>
    </r>
    <r>
      <rPr>
        <sz val="13"/>
        <color indexed="51"/>
        <rFont val="Calibri Light"/>
        <family val="2"/>
      </rPr>
      <t>53</t>
    </r>
    <r>
      <rPr>
        <sz val="13"/>
        <rFont val="Calibri Light"/>
        <family val="2"/>
      </rPr>
      <t>/</t>
    </r>
    <r>
      <rPr>
        <sz val="13"/>
        <color indexed="10"/>
        <rFont val="Calibri Light"/>
        <family val="2"/>
      </rPr>
      <t>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</si>
</sst>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3" x14ac:knownFonts="1">
    <font>
      <sz val="12"/>
      <name val="Times New Roman"/>
    </font>
    <font>
      <sz val="12"/>
      <color theme="1"/>
      <name val="Times New Roman"/>
      <family val="2"/>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rgb="FF9999FF"/>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sz val="13"/>
      <color rgb="FF0000FF"/>
      <name val="Calibri Light"/>
      <family val="2"/>
    </font>
    <font>
      <b/>
      <sz val="13"/>
      <color rgb="FF0000FF"/>
      <name val="Calibri Light"/>
      <family val="2"/>
    </font>
    <font>
      <sz val="13"/>
      <color rgb="FFFFC000"/>
      <name val="Calibri Light"/>
      <family val="2"/>
    </font>
    <font>
      <b/>
      <sz val="13"/>
      <color rgb="FF9999FF"/>
      <name val="Calibri Light"/>
      <family val="2"/>
    </font>
    <font>
      <sz val="13"/>
      <color rgb="FF9999FF"/>
      <name val="Calibri Light"/>
      <family val="2"/>
    </font>
    <font>
      <sz val="12"/>
      <color indexed="17"/>
      <name val="Calibri Light"/>
      <family val="2"/>
    </font>
    <font>
      <sz val="12"/>
      <color indexed="51"/>
      <name val="Calibri Light"/>
      <family val="2"/>
    </font>
    <font>
      <sz val="13"/>
      <color indexed="52"/>
      <name val="Calibri Light"/>
      <family val="2"/>
    </font>
    <font>
      <sz val="12"/>
      <color indexed="52"/>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i/>
      <sz val="18"/>
      <color rgb="FF00B0F0"/>
      <name val="Calibri Light"/>
      <family val="2"/>
    </font>
    <font>
      <sz val="13"/>
      <color rgb="FF00B0F0"/>
      <name val="Calibri Light"/>
      <family val="2"/>
    </font>
    <font>
      <i/>
      <sz val="18"/>
      <color indexed="53"/>
      <name val="Calibri Light"/>
      <family val="2"/>
    </font>
    <font>
      <sz val="12"/>
      <color rgb="FF9999FF"/>
      <name val="Calibri Light"/>
      <family val="2"/>
    </font>
    <font>
      <b/>
      <sz val="18"/>
      <color rgb="FF9999FF"/>
      <name val="Calibri Light"/>
      <family val="2"/>
    </font>
    <font>
      <i/>
      <sz val="18"/>
      <color rgb="FF9999FF"/>
      <name val="Calibri Light"/>
      <family val="2"/>
    </font>
    <font>
      <i/>
      <sz val="18"/>
      <color indexed="57"/>
      <name val="Calibri Light"/>
      <family val="2"/>
    </font>
    <font>
      <b/>
      <sz val="12"/>
      <color theme="0"/>
      <name val="Calibri Light"/>
      <family val="2"/>
    </font>
    <font>
      <i/>
      <sz val="18"/>
      <color indexed="10"/>
      <name val="Calibri Light"/>
      <family val="2"/>
    </font>
    <font>
      <b/>
      <sz val="12"/>
      <color indexed="9"/>
      <name val="Calibri Light"/>
      <family val="2"/>
    </font>
    <font>
      <b/>
      <sz val="12"/>
      <color rgb="FFFFC000"/>
      <name val="Calibri Light"/>
      <family val="2"/>
    </font>
    <font>
      <sz val="12"/>
      <color rgb="FFFFC000"/>
      <name val="Calibri Light"/>
      <family val="2"/>
    </font>
    <font>
      <sz val="12"/>
      <color theme="0"/>
      <name val="Calibri Light"/>
      <family val="2"/>
    </font>
    <font>
      <i/>
      <sz val="17"/>
      <name val="Calibri Light"/>
      <family val="2"/>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00FF00"/>
        <bgColor indexed="64"/>
      </patternFill>
    </fill>
    <fill>
      <patternFill patternType="solid">
        <fgColor rgb="FF00B0F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top style="double">
        <color indexed="64"/>
      </top>
      <bottom style="thick">
        <color rgb="FF9999FF"/>
      </bottom>
      <diagonal/>
    </border>
    <border>
      <left/>
      <right/>
      <top style="double">
        <color indexed="64"/>
      </top>
      <bottom style="thick">
        <color rgb="FF9999FF"/>
      </bottom>
      <diagonal/>
    </border>
    <border>
      <left/>
      <right style="double">
        <color indexed="64"/>
      </right>
      <top style="double">
        <color indexed="64"/>
      </top>
      <bottom style="thick">
        <color rgb="FF9999FF"/>
      </bottom>
      <diagonal/>
    </border>
    <border>
      <left/>
      <right style="medium">
        <color indexed="64"/>
      </right>
      <top style="double">
        <color indexed="64"/>
      </top>
      <bottom style="medium">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thin">
        <color indexed="64"/>
      </bottom>
      <diagonal/>
    </border>
  </borders>
  <cellStyleXfs count="15">
    <xf numFmtId="0" fontId="0" fillId="0" borderId="0"/>
    <xf numFmtId="0" fontId="5" fillId="0" borderId="0" applyNumberFormat="0" applyFill="0" applyBorder="0" applyAlignment="0" applyProtection="0">
      <alignment vertical="top"/>
      <protection locked="0"/>
    </xf>
    <xf numFmtId="9" fontId="3" fillId="0" borderId="0" applyFont="0" applyFill="0" applyBorder="0" applyAlignment="0" applyProtection="0"/>
    <xf numFmtId="9" fontId="4" fillId="0" borderId="0" applyFont="0" applyFill="0" applyBorder="0" applyAlignment="0" applyProtection="0"/>
    <xf numFmtId="0" fontId="7" fillId="0" borderId="0"/>
    <xf numFmtId="0" fontId="3" fillId="0" borderId="0"/>
    <xf numFmtId="0" fontId="8"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7" fillId="0" borderId="0"/>
    <xf numFmtId="0" fontId="1" fillId="0" borderId="0"/>
  </cellStyleXfs>
  <cellXfs count="437">
    <xf numFmtId="0" fontId="0" fillId="0" borderId="0" xfId="0"/>
    <xf numFmtId="0" fontId="11" fillId="2" borderId="101" xfId="0" applyFont="1" applyFill="1" applyBorder="1" applyAlignment="1">
      <alignment horizontal="right" vertical="center"/>
    </xf>
    <xf numFmtId="0" fontId="11" fillId="2" borderId="102" xfId="0" applyFont="1" applyFill="1" applyBorder="1" applyAlignment="1">
      <alignment horizontal="left" vertical="center"/>
    </xf>
    <xf numFmtId="0" fontId="12" fillId="2" borderId="102" xfId="0" applyFont="1" applyFill="1" applyBorder="1" applyAlignment="1">
      <alignment horizontal="left" vertical="center"/>
    </xf>
    <xf numFmtId="0" fontId="13" fillId="2" borderId="102" xfId="0" applyFont="1" applyFill="1" applyBorder="1" applyAlignment="1">
      <alignment horizontal="centerContinuous" vertical="center"/>
    </xf>
    <xf numFmtId="0" fontId="14" fillId="2" borderId="102" xfId="0" applyFont="1" applyFill="1" applyBorder="1" applyAlignment="1">
      <alignment horizontal="centerContinuous" vertical="center"/>
    </xf>
    <xf numFmtId="0" fontId="15" fillId="2" borderId="103" xfId="1" applyFont="1" applyFill="1" applyBorder="1" applyAlignment="1" applyProtection="1">
      <alignment horizontal="right" vertical="center"/>
    </xf>
    <xf numFmtId="0" fontId="14" fillId="0" borderId="0" xfId="0" applyFont="1" applyAlignment="1">
      <alignment vertical="center"/>
    </xf>
    <xf numFmtId="0" fontId="16" fillId="0" borderId="1" xfId="0" applyFont="1" applyBorder="1" applyAlignment="1">
      <alignment horizontal="right" vertical="center"/>
    </xf>
    <xf numFmtId="0" fontId="17" fillId="0" borderId="0" xfId="0" applyFont="1" applyAlignment="1">
      <alignment horizontal="centerContinuous" vertical="center"/>
    </xf>
    <xf numFmtId="0" fontId="16" fillId="0" borderId="0" xfId="0"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6" fillId="4" borderId="64" xfId="0" applyFont="1" applyFill="1" applyBorder="1" applyAlignment="1">
      <alignment horizontal="right" vertical="center"/>
    </xf>
    <xf numFmtId="1" fontId="17" fillId="0" borderId="105" xfId="0" applyNumberFormat="1" applyFont="1" applyBorder="1" applyAlignment="1">
      <alignment horizontal="centerContinuous" vertical="center"/>
    </xf>
    <xf numFmtId="0" fontId="14" fillId="0" borderId="106" xfId="0" applyFont="1" applyBorder="1" applyAlignment="1">
      <alignment horizontal="centerContinuous" vertical="center"/>
    </xf>
    <xf numFmtId="0" fontId="16" fillId="4" borderId="80" xfId="0" applyFont="1" applyFill="1" applyBorder="1" applyAlignment="1">
      <alignment horizontal="right" vertical="center"/>
    </xf>
    <xf numFmtId="49" fontId="17" fillId="0" borderId="65" xfId="0" applyNumberFormat="1" applyFont="1" applyBorder="1" applyAlignment="1">
      <alignment horizontal="center" vertical="center"/>
    </xf>
    <xf numFmtId="0" fontId="17" fillId="0" borderId="0" xfId="0" applyFont="1" applyAlignment="1">
      <alignment horizontal="left" vertical="center"/>
    </xf>
    <xf numFmtId="0" fontId="16" fillId="4" borderId="11" xfId="0" applyFont="1" applyFill="1" applyBorder="1" applyAlignment="1">
      <alignment horizontal="right" vertical="center"/>
    </xf>
    <xf numFmtId="49" fontId="17" fillId="0" borderId="86" xfId="0" applyNumberFormat="1" applyFont="1" applyBorder="1" applyAlignment="1">
      <alignment horizontal="centerContinuous" vertical="center"/>
    </xf>
    <xf numFmtId="0" fontId="14" fillId="0" borderId="87" xfId="0" applyFont="1" applyBorder="1" applyAlignment="1">
      <alignment horizontal="centerContinuous" vertical="center"/>
    </xf>
    <xf numFmtId="0" fontId="16" fillId="4" borderId="31" xfId="0" applyFont="1" applyFill="1" applyBorder="1" applyAlignment="1">
      <alignment horizontal="right" vertical="center"/>
    </xf>
    <xf numFmtId="3" fontId="17" fillId="0" borderId="12" xfId="0" applyNumberFormat="1" applyFont="1" applyBorder="1" applyAlignment="1">
      <alignment horizontal="center" vertical="center"/>
    </xf>
    <xf numFmtId="0" fontId="18" fillId="2" borderId="13" xfId="0" applyFont="1" applyFill="1" applyBorder="1" applyAlignment="1">
      <alignment horizontal="right" vertical="center"/>
    </xf>
    <xf numFmtId="0" fontId="17" fillId="0" borderId="14" xfId="0" applyFont="1" applyBorder="1" applyAlignment="1">
      <alignment horizontal="center" vertical="center"/>
    </xf>
    <xf numFmtId="0" fontId="19" fillId="0" borderId="14" xfId="0" applyFont="1" applyBorder="1" applyAlignment="1">
      <alignment horizontal="center" vertical="center"/>
    </xf>
    <xf numFmtId="0" fontId="18" fillId="4" borderId="53" xfId="0" applyFont="1" applyFill="1" applyBorder="1" applyAlignment="1">
      <alignment horizontal="right" vertical="center"/>
    </xf>
    <xf numFmtId="49" fontId="20" fillId="0" borderId="34" xfId="0" applyNumberFormat="1" applyFont="1" applyBorder="1" applyAlignment="1">
      <alignment horizontal="center" shrinkToFit="1"/>
    </xf>
    <xf numFmtId="0" fontId="23" fillId="2" borderId="4" xfId="0" applyFont="1" applyFill="1" applyBorder="1" applyAlignment="1">
      <alignment horizontal="right" vertical="center"/>
    </xf>
    <xf numFmtId="0" fontId="17" fillId="0" borderId="3" xfId="0" quotePrefix="1" applyFont="1" applyBorder="1" applyAlignment="1">
      <alignment horizontal="center" vertical="center"/>
    </xf>
    <xf numFmtId="49" fontId="19" fillId="0" borderId="14" xfId="0" applyNumberFormat="1" applyFont="1" applyBorder="1" applyAlignment="1">
      <alignment horizontal="center" vertical="center"/>
    </xf>
    <xf numFmtId="0" fontId="18" fillId="4" borderId="51" xfId="0" applyFont="1" applyFill="1" applyBorder="1" applyAlignment="1">
      <alignment horizontal="right" vertical="center"/>
    </xf>
    <xf numFmtId="164" fontId="16" fillId="15" borderId="30" xfId="0" applyNumberFormat="1" applyFont="1" applyFill="1" applyBorder="1" applyAlignment="1">
      <alignment horizontal="center" vertical="center"/>
    </xf>
    <xf numFmtId="0" fontId="24" fillId="2" borderId="4" xfId="0" applyFont="1" applyFill="1" applyBorder="1" applyAlignment="1">
      <alignment horizontal="right" vertical="center"/>
    </xf>
    <xf numFmtId="49" fontId="19" fillId="0" borderId="3" xfId="0" applyNumberFormat="1" applyFont="1" applyBorder="1" applyAlignment="1">
      <alignment horizontal="center" vertical="center"/>
    </xf>
    <xf numFmtId="0" fontId="16" fillId="14" borderId="29" xfId="0" applyFont="1" applyFill="1" applyBorder="1" applyAlignment="1">
      <alignment horizontal="center" vertical="center"/>
    </xf>
    <xf numFmtId="0" fontId="25" fillId="2" borderId="4" xfId="0" applyFont="1" applyFill="1" applyBorder="1" applyAlignment="1">
      <alignment horizontal="right" vertical="center"/>
    </xf>
    <xf numFmtId="0" fontId="26" fillId="4" borderId="51" xfId="0" applyFont="1" applyFill="1" applyBorder="1" applyAlignment="1">
      <alignment horizontal="right" vertical="center"/>
    </xf>
    <xf numFmtId="1" fontId="17" fillId="0" borderId="29" xfId="0" applyNumberFormat="1" applyFont="1" applyBorder="1" applyAlignment="1">
      <alignment horizontal="center" vertical="center"/>
    </xf>
    <xf numFmtId="0" fontId="27" fillId="2" borderId="4" xfId="0" applyFont="1" applyFill="1" applyBorder="1" applyAlignment="1">
      <alignment horizontal="right" vertical="center"/>
    </xf>
    <xf numFmtId="0" fontId="28" fillId="2" borderId="15" xfId="0" applyFont="1" applyFill="1" applyBorder="1" applyAlignment="1">
      <alignment horizontal="right" vertical="center"/>
    </xf>
    <xf numFmtId="0" fontId="17" fillId="0" borderId="25" xfId="0" quotePrefix="1" applyFont="1" applyBorder="1" applyAlignment="1">
      <alignment horizontal="center" vertical="center"/>
    </xf>
    <xf numFmtId="49" fontId="19" fillId="0" borderId="25" xfId="0" applyNumberFormat="1" applyFont="1" applyBorder="1" applyAlignment="1">
      <alignment horizontal="center" vertical="center"/>
    </xf>
    <xf numFmtId="0" fontId="26" fillId="4" borderId="52" xfId="0" applyFont="1" applyFill="1" applyBorder="1" applyAlignment="1">
      <alignment horizontal="right" vertical="center"/>
    </xf>
    <xf numFmtId="1" fontId="17" fillId="0" borderId="12" xfId="0" applyNumberFormat="1" applyFont="1" applyBorder="1" applyAlignment="1">
      <alignment horizontal="center" vertical="center"/>
    </xf>
    <xf numFmtId="0" fontId="29" fillId="0" borderId="1"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1" fontId="31" fillId="0" borderId="0" xfId="0" applyNumberFormat="1" applyFont="1" applyAlignment="1">
      <alignment vertical="center"/>
    </xf>
    <xf numFmtId="0" fontId="31" fillId="0" borderId="2"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3" fillId="0" borderId="0" xfId="0" applyFont="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3" fillId="0" borderId="0" xfId="0" applyFont="1" applyAlignment="1">
      <alignment horizontal="right" vertical="center"/>
    </xf>
    <xf numFmtId="0" fontId="14" fillId="0" borderId="0" xfId="0" applyFont="1" applyAlignment="1">
      <alignment horizontal="left" vertical="center"/>
    </xf>
    <xf numFmtId="0" fontId="32" fillId="0" borderId="24" xfId="0" applyFont="1" applyBorder="1" applyAlignment="1">
      <alignment horizontal="centerContinuous" vertical="center"/>
    </xf>
    <xf numFmtId="0" fontId="31" fillId="0" borderId="0" xfId="0" applyFont="1" applyAlignment="1">
      <alignment horizontal="centerContinuous" vertical="center"/>
    </xf>
    <xf numFmtId="0" fontId="33" fillId="3" borderId="62" xfId="0" applyFont="1" applyFill="1" applyBorder="1" applyAlignment="1">
      <alignment horizontal="centerContinuous" vertical="center"/>
    </xf>
    <xf numFmtId="0" fontId="33" fillId="3" borderId="38" xfId="0" applyFont="1" applyFill="1" applyBorder="1" applyAlignment="1">
      <alignment horizontal="center" vertical="center"/>
    </xf>
    <xf numFmtId="0" fontId="33" fillId="3" borderId="38" xfId="0" applyFont="1" applyFill="1" applyBorder="1" applyAlignment="1">
      <alignment horizontal="center" vertical="center" wrapText="1"/>
    </xf>
    <xf numFmtId="0" fontId="34" fillId="11" borderId="37" xfId="0" applyFont="1" applyFill="1" applyBorder="1" applyAlignment="1">
      <alignment horizontal="center" vertical="center"/>
    </xf>
    <xf numFmtId="0" fontId="33" fillId="3" borderId="63" xfId="0" applyFont="1" applyFill="1" applyBorder="1" applyAlignment="1">
      <alignment horizontal="center" vertical="center"/>
    </xf>
    <xf numFmtId="0" fontId="35" fillId="0" borderId="1" xfId="0" applyFont="1" applyBorder="1" applyAlignment="1">
      <alignment vertical="center"/>
    </xf>
    <xf numFmtId="0" fontId="16" fillId="0" borderId="26" xfId="0" applyFont="1" applyBorder="1" applyAlignment="1">
      <alignment horizontal="center" vertical="center"/>
    </xf>
    <xf numFmtId="0" fontId="36" fillId="0" borderId="26" xfId="0" applyFont="1" applyBorder="1" applyAlignment="1">
      <alignment horizontal="center" vertical="center"/>
    </xf>
    <xf numFmtId="0" fontId="17" fillId="0" borderId="26" xfId="0" applyFont="1" applyBorder="1" applyAlignment="1">
      <alignment horizontal="center" vertical="center"/>
    </xf>
    <xf numFmtId="0" fontId="37" fillId="0" borderId="26" xfId="0" applyFont="1" applyBorder="1" applyAlignment="1">
      <alignment horizontal="center" vertical="center"/>
    </xf>
    <xf numFmtId="1" fontId="17" fillId="0" borderId="26" xfId="0" applyNumberFormat="1" applyFont="1" applyBorder="1" applyAlignment="1">
      <alignment horizontal="center" vertical="center"/>
    </xf>
    <xf numFmtId="0" fontId="38" fillId="11" borderId="27" xfId="0" applyFont="1" applyFill="1" applyBorder="1" applyAlignment="1">
      <alignment horizontal="center" vertical="center"/>
    </xf>
    <xf numFmtId="0" fontId="17" fillId="0" borderId="28" xfId="0" quotePrefix="1" applyFont="1" applyBorder="1" applyAlignment="1">
      <alignment horizontal="center" vertical="center"/>
    </xf>
    <xf numFmtId="0" fontId="39" fillId="0" borderId="1" xfId="0" applyFont="1" applyBorder="1" applyAlignment="1">
      <alignment vertical="center"/>
    </xf>
    <xf numFmtId="0" fontId="40" fillId="0" borderId="26" xfId="0" applyFont="1" applyBorder="1" applyAlignment="1">
      <alignment horizontal="center" vertical="center"/>
    </xf>
    <xf numFmtId="0" fontId="23" fillId="0" borderId="27" xfId="0" applyFont="1" applyBorder="1" applyAlignment="1">
      <alignment horizontal="center" vertical="center"/>
    </xf>
    <xf numFmtId="0" fontId="37" fillId="0" borderId="33" xfId="0" applyFont="1" applyBorder="1" applyAlignment="1">
      <alignment vertical="center"/>
    </xf>
    <xf numFmtId="0" fontId="16" fillId="0" borderId="47" xfId="0" applyFont="1" applyBorder="1" applyAlignment="1">
      <alignment horizontal="center" vertical="center"/>
    </xf>
    <xf numFmtId="0" fontId="17" fillId="0" borderId="47" xfId="0" applyFont="1" applyBorder="1" applyAlignment="1">
      <alignment horizontal="center" vertical="center"/>
    </xf>
    <xf numFmtId="0" fontId="34" fillId="0" borderId="47" xfId="0" applyFont="1" applyBorder="1" applyAlignment="1">
      <alignment horizontal="center" vertical="center"/>
    </xf>
    <xf numFmtId="1" fontId="17" fillId="0" borderId="47" xfId="0" applyNumberFormat="1" applyFont="1" applyBorder="1" applyAlignment="1">
      <alignment horizontal="center" vertical="center"/>
    </xf>
    <xf numFmtId="0" fontId="38" fillId="11" borderId="47" xfId="0" applyFont="1" applyFill="1" applyBorder="1" applyAlignment="1">
      <alignment horizontal="center" vertical="center"/>
    </xf>
    <xf numFmtId="0" fontId="17" fillId="0" borderId="34" xfId="0" quotePrefix="1" applyFont="1" applyBorder="1" applyAlignment="1">
      <alignment horizontal="center" vertical="center"/>
    </xf>
    <xf numFmtId="0" fontId="26" fillId="0" borderId="1" xfId="0" applyFont="1" applyBorder="1" applyAlignment="1">
      <alignment vertical="center"/>
    </xf>
    <xf numFmtId="49" fontId="20" fillId="0" borderId="26" xfId="0" applyNumberFormat="1" applyFont="1" applyBorder="1" applyAlignment="1">
      <alignment horizontal="center" vertical="center"/>
    </xf>
    <xf numFmtId="0" fontId="20" fillId="0" borderId="27" xfId="0" applyFont="1" applyBorder="1" applyAlignment="1">
      <alignment horizontal="center" vertical="center"/>
    </xf>
    <xf numFmtId="0" fontId="26" fillId="0" borderId="27" xfId="0" applyFont="1" applyBorder="1" applyAlignment="1">
      <alignment horizontal="center" vertical="center"/>
    </xf>
    <xf numFmtId="0" fontId="17" fillId="0" borderId="27" xfId="0" applyFont="1" applyBorder="1" applyAlignment="1">
      <alignment horizontal="center" vertical="center"/>
    </xf>
    <xf numFmtId="49" fontId="17" fillId="0" borderId="27" xfId="0" applyNumberFormat="1" applyFont="1" applyBorder="1" applyAlignment="1">
      <alignment horizontal="center" vertical="center"/>
    </xf>
    <xf numFmtId="0" fontId="41" fillId="0" borderId="0" xfId="0" applyFont="1" applyAlignment="1">
      <alignment vertical="center"/>
    </xf>
    <xf numFmtId="49" fontId="40" fillId="0" borderId="26" xfId="0" applyNumberFormat="1" applyFont="1" applyBorder="1" applyAlignment="1">
      <alignment horizontal="center" vertical="center"/>
    </xf>
    <xf numFmtId="0" fontId="40" fillId="0" borderId="27" xfId="0" applyFont="1" applyBorder="1" applyAlignment="1">
      <alignment horizontal="center" vertical="center"/>
    </xf>
    <xf numFmtId="0" fontId="39" fillId="0" borderId="27" xfId="0" applyFont="1" applyBorder="1" applyAlignment="1">
      <alignment horizontal="center" vertical="center"/>
    </xf>
    <xf numFmtId="0" fontId="42" fillId="0" borderId="0" xfId="0" applyFont="1" applyAlignment="1">
      <alignment vertical="center"/>
    </xf>
    <xf numFmtId="0" fontId="28" fillId="0" borderId="1" xfId="0" applyFont="1" applyBorder="1" applyAlignment="1">
      <alignment vertical="center"/>
    </xf>
    <xf numFmtId="49" fontId="43" fillId="0" borderId="26" xfId="0" applyNumberFormat="1" applyFont="1" applyBorder="1" applyAlignment="1">
      <alignment horizontal="center" vertical="center"/>
    </xf>
    <xf numFmtId="0" fontId="43" fillId="0" borderId="27" xfId="0" applyFont="1" applyBorder="1" applyAlignment="1">
      <alignment horizontal="center" vertical="center"/>
    </xf>
    <xf numFmtId="0" fontId="28" fillId="0" borderId="27" xfId="0" applyFont="1" applyBorder="1" applyAlignment="1">
      <alignment horizontal="center" vertical="center"/>
    </xf>
    <xf numFmtId="0" fontId="44" fillId="0" borderId="0" xfId="0" applyFont="1" applyAlignment="1">
      <alignment vertical="center"/>
    </xf>
    <xf numFmtId="0" fontId="18" fillId="0" borderId="1" xfId="0" applyFont="1" applyBorder="1" applyAlignment="1">
      <alignment vertical="center"/>
    </xf>
    <xf numFmtId="49" fontId="22" fillId="0" borderId="26" xfId="0" applyNumberFormat="1" applyFont="1" applyBorder="1" applyAlignment="1">
      <alignment horizontal="center" vertical="center"/>
    </xf>
    <xf numFmtId="0" fontId="22" fillId="0" borderId="27" xfId="0" applyFont="1" applyBorder="1" applyAlignment="1">
      <alignment horizontal="center" vertical="center"/>
    </xf>
    <xf numFmtId="0" fontId="18" fillId="0" borderId="27" xfId="0" applyFont="1" applyBorder="1" applyAlignment="1">
      <alignment horizontal="center" vertical="center"/>
    </xf>
    <xf numFmtId="0" fontId="45" fillId="0" borderId="0" xfId="0" applyFont="1" applyAlignment="1">
      <alignment vertical="center"/>
    </xf>
    <xf numFmtId="0" fontId="46" fillId="7" borderId="1" xfId="0" applyFont="1" applyFill="1" applyBorder="1" applyAlignment="1">
      <alignment vertical="center"/>
    </xf>
    <xf numFmtId="0" fontId="17" fillId="7" borderId="26" xfId="0" applyFont="1" applyFill="1" applyBorder="1" applyAlignment="1">
      <alignment horizontal="center" vertical="center"/>
    </xf>
    <xf numFmtId="49" fontId="47" fillId="7" borderId="26" xfId="0" applyNumberFormat="1" applyFont="1" applyFill="1" applyBorder="1" applyAlignment="1">
      <alignment horizontal="center" vertical="center"/>
    </xf>
    <xf numFmtId="0" fontId="47" fillId="7" borderId="27" xfId="0" applyFont="1" applyFill="1" applyBorder="1" applyAlignment="1">
      <alignment horizontal="center" vertical="center"/>
    </xf>
    <xf numFmtId="0" fontId="46" fillId="7" borderId="27" xfId="0" applyFont="1" applyFill="1" applyBorder="1" applyAlignment="1">
      <alignment horizontal="center" vertical="center"/>
    </xf>
    <xf numFmtId="0" fontId="17" fillId="7" borderId="27" xfId="0" applyFont="1" applyFill="1" applyBorder="1" applyAlignment="1">
      <alignment horizontal="center" vertical="center"/>
    </xf>
    <xf numFmtId="49" fontId="17" fillId="7" borderId="27" xfId="0" applyNumberFormat="1" applyFont="1" applyFill="1" applyBorder="1" applyAlignment="1">
      <alignment horizontal="center" vertical="center"/>
    </xf>
    <xf numFmtId="0" fontId="17" fillId="8" borderId="28" xfId="0" quotePrefix="1" applyFont="1" applyFill="1" applyBorder="1" applyAlignment="1">
      <alignment horizontal="center" vertical="center"/>
    </xf>
    <xf numFmtId="0" fontId="26" fillId="5" borderId="1" xfId="0" applyFont="1" applyFill="1" applyBorder="1" applyAlignment="1">
      <alignment vertical="center"/>
    </xf>
    <xf numFmtId="0" fontId="17" fillId="5" borderId="26" xfId="0" applyFont="1" applyFill="1" applyBorder="1" applyAlignment="1">
      <alignment horizontal="center" vertical="center"/>
    </xf>
    <xf numFmtId="49" fontId="20" fillId="5" borderId="26" xfId="0" applyNumberFormat="1" applyFont="1" applyFill="1" applyBorder="1" applyAlignment="1">
      <alignment horizontal="center" vertical="center"/>
    </xf>
    <xf numFmtId="0" fontId="20" fillId="5" borderId="27" xfId="0" applyFont="1" applyFill="1" applyBorder="1" applyAlignment="1">
      <alignment horizontal="center" vertical="center"/>
    </xf>
    <xf numFmtId="0" fontId="26"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quotePrefix="1" applyFont="1" applyFill="1" applyBorder="1" applyAlignment="1">
      <alignment horizontal="center" vertical="center"/>
    </xf>
    <xf numFmtId="0" fontId="48" fillId="0" borderId="0" xfId="0" applyFont="1" applyAlignment="1">
      <alignment vertical="center"/>
    </xf>
    <xf numFmtId="0" fontId="28" fillId="8" borderId="1" xfId="0" applyFont="1" applyFill="1" applyBorder="1" applyAlignment="1">
      <alignment vertical="center"/>
    </xf>
    <xf numFmtId="0" fontId="17" fillId="8" borderId="26" xfId="0" applyFont="1" applyFill="1" applyBorder="1" applyAlignment="1">
      <alignment horizontal="center" vertical="center"/>
    </xf>
    <xf numFmtId="49" fontId="43" fillId="8" borderId="26" xfId="0" applyNumberFormat="1" applyFont="1" applyFill="1" applyBorder="1" applyAlignment="1">
      <alignment horizontal="center" vertical="center"/>
    </xf>
    <xf numFmtId="0" fontId="43" fillId="8" borderId="27" xfId="0" applyFont="1" applyFill="1" applyBorder="1" applyAlignment="1">
      <alignment horizontal="center" vertical="center"/>
    </xf>
    <xf numFmtId="0" fontId="28" fillId="8" borderId="27" xfId="0" applyFont="1" applyFill="1" applyBorder="1" applyAlignment="1">
      <alignment horizontal="center" vertical="center"/>
    </xf>
    <xf numFmtId="49" fontId="17" fillId="8" borderId="27" xfId="0" applyNumberFormat="1" applyFont="1" applyFill="1" applyBorder="1" applyAlignment="1">
      <alignment horizontal="center" vertical="center"/>
    </xf>
    <xf numFmtId="0" fontId="26" fillId="6" borderId="1" xfId="0" applyFont="1" applyFill="1" applyBorder="1" applyAlignment="1">
      <alignment vertical="center"/>
    </xf>
    <xf numFmtId="0" fontId="17" fillId="6" borderId="26" xfId="0" applyFont="1" applyFill="1" applyBorder="1" applyAlignment="1">
      <alignment horizontal="center" vertical="center"/>
    </xf>
    <xf numFmtId="49" fontId="20" fillId="6" borderId="26" xfId="0" applyNumberFormat="1" applyFont="1" applyFill="1" applyBorder="1" applyAlignment="1">
      <alignment horizontal="center" vertical="center"/>
    </xf>
    <xf numFmtId="0" fontId="20" fillId="6" borderId="27" xfId="0" applyFont="1" applyFill="1" applyBorder="1" applyAlignment="1">
      <alignment horizontal="center" vertical="center"/>
    </xf>
    <xf numFmtId="0" fontId="26"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quotePrefix="1" applyFont="1" applyFill="1" applyBorder="1" applyAlignment="1">
      <alignment horizontal="center" vertical="center"/>
    </xf>
    <xf numFmtId="0" fontId="27" fillId="7" borderId="1" xfId="0" applyFont="1" applyFill="1" applyBorder="1" applyAlignment="1">
      <alignment vertical="center"/>
    </xf>
    <xf numFmtId="49" fontId="21" fillId="7" borderId="26" xfId="0" applyNumberFormat="1" applyFont="1" applyFill="1" applyBorder="1" applyAlignment="1">
      <alignment horizontal="center" vertical="center"/>
    </xf>
    <xf numFmtId="0" fontId="21" fillId="7" borderId="27" xfId="0" applyFont="1" applyFill="1" applyBorder="1" applyAlignment="1">
      <alignment horizontal="center" vertical="center"/>
    </xf>
    <xf numFmtId="0" fontId="27" fillId="7" borderId="27" xfId="0" applyFont="1" applyFill="1" applyBorder="1" applyAlignment="1">
      <alignment horizontal="center" vertical="center"/>
    </xf>
    <xf numFmtId="0" fontId="17" fillId="7" borderId="28" xfId="0" quotePrefix="1" applyFont="1" applyFill="1" applyBorder="1" applyAlignment="1">
      <alignment horizontal="center" vertical="center"/>
    </xf>
    <xf numFmtId="0" fontId="26" fillId="7" borderId="1" xfId="0" applyFont="1" applyFill="1" applyBorder="1" applyAlignment="1">
      <alignment vertical="center"/>
    </xf>
    <xf numFmtId="49" fontId="20" fillId="7" borderId="26" xfId="0" applyNumberFormat="1" applyFont="1" applyFill="1" applyBorder="1" applyAlignment="1">
      <alignment horizontal="center" vertical="center"/>
    </xf>
    <xf numFmtId="0" fontId="20" fillId="7" borderId="27" xfId="0" applyFont="1" applyFill="1" applyBorder="1" applyAlignment="1">
      <alignment horizontal="center" vertical="center"/>
    </xf>
    <xf numFmtId="0" fontId="26" fillId="7" borderId="27" xfId="0" applyFont="1" applyFill="1" applyBorder="1" applyAlignment="1">
      <alignment horizontal="center" vertical="center"/>
    </xf>
    <xf numFmtId="0" fontId="27" fillId="0" borderId="1" xfId="0" applyFont="1" applyBorder="1" applyAlignment="1">
      <alignment vertical="center"/>
    </xf>
    <xf numFmtId="49" fontId="21" fillId="0" borderId="26" xfId="0" applyNumberFormat="1" applyFont="1" applyBorder="1" applyAlignment="1">
      <alignment horizontal="center" vertical="center"/>
    </xf>
    <xf numFmtId="0" fontId="21" fillId="0" borderId="27" xfId="0" applyFont="1" applyBorder="1" applyAlignment="1">
      <alignment horizontal="center" vertical="center"/>
    </xf>
    <xf numFmtId="0" fontId="27" fillId="0" borderId="27" xfId="0" applyFont="1" applyBorder="1" applyAlignment="1">
      <alignment horizontal="center" vertical="center"/>
    </xf>
    <xf numFmtId="0" fontId="39" fillId="5" borderId="1" xfId="0" applyFont="1" applyFill="1" applyBorder="1" applyAlignment="1">
      <alignment vertical="center"/>
    </xf>
    <xf numFmtId="49" fontId="40" fillId="5" borderId="26" xfId="0" applyNumberFormat="1" applyFont="1" applyFill="1" applyBorder="1" applyAlignment="1">
      <alignment horizontal="center" vertical="center"/>
    </xf>
    <xf numFmtId="0" fontId="40" fillId="5" borderId="27" xfId="0" applyFont="1" applyFill="1" applyBorder="1" applyAlignment="1">
      <alignment horizontal="center" vertical="center"/>
    </xf>
    <xf numFmtId="0" fontId="39" fillId="5" borderId="27" xfId="0" applyFont="1" applyFill="1" applyBorder="1" applyAlignment="1">
      <alignment horizontal="center" vertical="center"/>
    </xf>
    <xf numFmtId="49" fontId="21" fillId="8" borderId="26" xfId="0" applyNumberFormat="1" applyFont="1" applyFill="1" applyBorder="1" applyAlignment="1">
      <alignment horizontal="center" vertical="center"/>
    </xf>
    <xf numFmtId="0" fontId="21" fillId="8" borderId="27" xfId="0" applyFont="1" applyFill="1" applyBorder="1" applyAlignment="1">
      <alignment horizontal="center" vertical="center"/>
    </xf>
    <xf numFmtId="0" fontId="27" fillId="8" borderId="27" xfId="0" applyFont="1" applyFill="1" applyBorder="1" applyAlignment="1">
      <alignment horizontal="center" vertical="center"/>
    </xf>
    <xf numFmtId="49" fontId="17" fillId="12" borderId="27" xfId="0" applyNumberFormat="1" applyFont="1" applyFill="1" applyBorder="1" applyAlignment="1">
      <alignment horizontal="center" vertical="center"/>
    </xf>
    <xf numFmtId="0" fontId="26" fillId="9" borderId="1" xfId="0" applyFont="1" applyFill="1" applyBorder="1" applyAlignment="1">
      <alignment vertical="center"/>
    </xf>
    <xf numFmtId="0" fontId="17" fillId="9" borderId="26" xfId="0" applyFont="1" applyFill="1" applyBorder="1" applyAlignment="1">
      <alignment horizontal="center" vertical="center"/>
    </xf>
    <xf numFmtId="49" fontId="20" fillId="9" borderId="26" xfId="0" applyNumberFormat="1" applyFont="1" applyFill="1" applyBorder="1" applyAlignment="1">
      <alignment horizontal="center" vertical="center"/>
    </xf>
    <xf numFmtId="0" fontId="20" fillId="9" borderId="27" xfId="0" applyFont="1" applyFill="1" applyBorder="1" applyAlignment="1">
      <alignment horizontal="center" vertical="center"/>
    </xf>
    <xf numFmtId="0" fontId="26" fillId="9" borderId="27" xfId="0" applyFont="1" applyFill="1" applyBorder="1" applyAlignment="1">
      <alignment horizontal="center" vertical="center"/>
    </xf>
    <xf numFmtId="49" fontId="17" fillId="9" borderId="27" xfId="0" applyNumberFormat="1" applyFont="1" applyFill="1" applyBorder="1" applyAlignment="1">
      <alignment horizontal="center" vertical="center"/>
    </xf>
    <xf numFmtId="0" fontId="17" fillId="9" borderId="28" xfId="0" quotePrefix="1" applyFont="1" applyFill="1" applyBorder="1" applyAlignment="1">
      <alignment horizontal="center" vertical="center"/>
    </xf>
    <xf numFmtId="0" fontId="26" fillId="8" borderId="1" xfId="0" applyFont="1" applyFill="1" applyBorder="1" applyAlignment="1">
      <alignment vertical="center"/>
    </xf>
    <xf numFmtId="49" fontId="20" fillId="8" borderId="26" xfId="0" applyNumberFormat="1" applyFont="1" applyFill="1" applyBorder="1" applyAlignment="1">
      <alignment horizontal="center" vertical="center"/>
    </xf>
    <xf numFmtId="0" fontId="20" fillId="8" borderId="27" xfId="0" applyFont="1" applyFill="1" applyBorder="1" applyAlignment="1">
      <alignment horizontal="center" vertical="center"/>
    </xf>
    <xf numFmtId="0" fontId="26" fillId="8" borderId="27" xfId="0" applyFont="1" applyFill="1" applyBorder="1" applyAlignment="1">
      <alignment horizontal="center" vertical="center"/>
    </xf>
    <xf numFmtId="0" fontId="39" fillId="4" borderId="1" xfId="0" applyFont="1" applyFill="1" applyBorder="1" applyAlignment="1">
      <alignment vertical="center"/>
    </xf>
    <xf numFmtId="0" fontId="17" fillId="4" borderId="26" xfId="0" applyFont="1" applyFill="1" applyBorder="1" applyAlignment="1">
      <alignment horizontal="center" vertical="center"/>
    </xf>
    <xf numFmtId="49" fontId="40" fillId="4" borderId="26" xfId="0" applyNumberFormat="1" applyFont="1" applyFill="1" applyBorder="1" applyAlignment="1">
      <alignment horizontal="center" vertical="center"/>
    </xf>
    <xf numFmtId="0" fontId="40" fillId="4" borderId="27" xfId="0" applyFont="1" applyFill="1" applyBorder="1" applyAlignment="1">
      <alignment horizontal="center" vertical="center"/>
    </xf>
    <xf numFmtId="0" fontId="39" fillId="4" borderId="27" xfId="0" applyFont="1" applyFill="1" applyBorder="1" applyAlignment="1">
      <alignment horizontal="center" vertical="center"/>
    </xf>
    <xf numFmtId="0" fontId="17" fillId="4" borderId="28" xfId="0" quotePrefix="1" applyFont="1" applyFill="1" applyBorder="1" applyAlignment="1">
      <alignment horizontal="center" vertical="center"/>
    </xf>
    <xf numFmtId="0" fontId="28" fillId="5" borderId="1" xfId="0" applyFont="1" applyFill="1" applyBorder="1" applyAlignment="1">
      <alignment vertical="center"/>
    </xf>
    <xf numFmtId="49" fontId="43" fillId="5" borderId="26" xfId="0" applyNumberFormat="1" applyFont="1" applyFill="1" applyBorder="1" applyAlignment="1">
      <alignment horizontal="center" vertical="center"/>
    </xf>
    <xf numFmtId="0" fontId="43" fillId="5" borderId="27" xfId="0" applyFont="1" applyFill="1" applyBorder="1" applyAlignment="1">
      <alignment horizontal="center" vertical="center"/>
    </xf>
    <xf numFmtId="0" fontId="28" fillId="5" borderId="27" xfId="0" applyFont="1" applyFill="1" applyBorder="1" applyAlignment="1">
      <alignment horizontal="center" vertical="center"/>
    </xf>
    <xf numFmtId="0" fontId="39" fillId="0" borderId="8" xfId="0" applyFont="1" applyBorder="1" applyAlignment="1">
      <alignment vertical="center"/>
    </xf>
    <xf numFmtId="0" fontId="17" fillId="0" borderId="46" xfId="0" applyFont="1" applyBorder="1" applyAlignment="1">
      <alignment horizontal="center" vertical="center"/>
    </xf>
    <xf numFmtId="49" fontId="40" fillId="0" borderId="46" xfId="0" applyNumberFormat="1" applyFont="1" applyBorder="1" applyAlignment="1">
      <alignment horizontal="center" vertical="center"/>
    </xf>
    <xf numFmtId="0" fontId="40" fillId="0" borderId="48" xfId="0" applyFont="1" applyBorder="1" applyAlignment="1">
      <alignment horizontal="center" vertical="center"/>
    </xf>
    <xf numFmtId="0" fontId="39" fillId="0" borderId="48" xfId="0" applyFont="1" applyBorder="1" applyAlignment="1">
      <alignment horizontal="center" vertical="center"/>
    </xf>
    <xf numFmtId="49" fontId="17" fillId="0" borderId="48" xfId="0" applyNumberFormat="1" applyFont="1" applyBorder="1" applyAlignment="1">
      <alignment horizontal="center" vertical="center"/>
    </xf>
    <xf numFmtId="0" fontId="38" fillId="11" borderId="46" xfId="0" applyFont="1" applyFill="1" applyBorder="1" applyAlignment="1">
      <alignment horizontal="center" vertical="center"/>
    </xf>
    <xf numFmtId="0" fontId="17" fillId="0" borderId="35" xfId="0" quotePrefix="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49" fontId="13" fillId="0" borderId="0" xfId="0" applyNumberFormat="1" applyFont="1" applyAlignment="1">
      <alignment horizontal="center" vertical="center"/>
    </xf>
    <xf numFmtId="0" fontId="49" fillId="0" borderId="24" xfId="0" applyFont="1" applyBorder="1" applyAlignment="1">
      <alignment horizontal="centerContinuous" vertical="center"/>
    </xf>
    <xf numFmtId="0" fontId="33" fillId="16" borderId="21" xfId="0" applyFont="1" applyFill="1" applyBorder="1" applyAlignment="1">
      <alignment horizontal="centerContinuous" vertical="center"/>
    </xf>
    <xf numFmtId="0" fontId="33" fillId="16" borderId="22" xfId="0" applyFont="1" applyFill="1" applyBorder="1" applyAlignment="1">
      <alignment horizontal="center" vertical="center"/>
    </xf>
    <xf numFmtId="0" fontId="33" fillId="16" borderId="23" xfId="0" applyFont="1" applyFill="1" applyBorder="1" applyAlignment="1">
      <alignment horizontal="centerContinuous" vertical="center"/>
    </xf>
    <xf numFmtId="0" fontId="50" fillId="0" borderId="1" xfId="8" applyFont="1" applyBorder="1" applyAlignment="1">
      <alignment horizontal="center" vertical="center" shrinkToFit="1"/>
    </xf>
    <xf numFmtId="0" fontId="17" fillId="0" borderId="26" xfId="8" applyFont="1" applyBorder="1" applyAlignment="1">
      <alignment horizontal="center" vertical="center"/>
    </xf>
    <xf numFmtId="9" fontId="17" fillId="0" borderId="26" xfId="2" applyFont="1" applyFill="1" applyBorder="1" applyAlignment="1">
      <alignment horizontal="center" vertical="center" shrinkToFit="1"/>
    </xf>
    <xf numFmtId="9" fontId="17" fillId="0" borderId="27" xfId="2" applyFont="1" applyFill="1" applyBorder="1" applyAlignment="1">
      <alignment horizontal="center" vertical="center" shrinkToFit="1"/>
    </xf>
    <xf numFmtId="0" fontId="17" fillId="0" borderId="27" xfId="0" applyFont="1" applyBorder="1" applyAlignment="1">
      <alignment horizontal="center" vertical="center" shrinkToFit="1"/>
    </xf>
    <xf numFmtId="0" fontId="17" fillId="0" borderId="27" xfId="2" applyNumberFormat="1" applyFont="1" applyFill="1" applyBorder="1" applyAlignment="1">
      <alignment horizontal="center" vertical="center" shrinkToFit="1"/>
    </xf>
    <xf numFmtId="0" fontId="17" fillId="0" borderId="28" xfId="0" applyFont="1" applyBorder="1" applyAlignment="1">
      <alignment horizontal="center" vertical="center"/>
    </xf>
    <xf numFmtId="0" fontId="17" fillId="0" borderId="26" xfId="5" applyFont="1" applyBorder="1" applyAlignment="1">
      <alignment horizontal="center" vertical="center" shrinkToFit="1"/>
    </xf>
    <xf numFmtId="9" fontId="17" fillId="0" borderId="27" xfId="2" applyFont="1" applyBorder="1" applyAlignment="1">
      <alignment horizontal="center" vertical="center" shrinkToFit="1"/>
    </xf>
    <xf numFmtId="0" fontId="17" fillId="0" borderId="27" xfId="2" applyNumberFormat="1" applyFont="1" applyBorder="1" applyAlignment="1">
      <alignment horizontal="center" vertical="center" shrinkToFit="1"/>
    </xf>
    <xf numFmtId="0" fontId="17" fillId="0" borderId="28" xfId="0" applyFont="1" applyBorder="1" applyAlignment="1">
      <alignment horizontal="center" vertical="center" wrapText="1"/>
    </xf>
    <xf numFmtId="0" fontId="17" fillId="0" borderId="26" xfId="0" applyFont="1" applyBorder="1" applyAlignment="1">
      <alignment horizontal="center" vertical="center" shrinkToFit="1"/>
    </xf>
    <xf numFmtId="0" fontId="50" fillId="0" borderId="33" xfId="8" applyFont="1" applyBorder="1" applyAlignment="1">
      <alignment horizontal="center" vertical="center" shrinkToFit="1"/>
    </xf>
    <xf numFmtId="0" fontId="17" fillId="0" borderId="47" xfId="8" applyFont="1" applyBorder="1" applyAlignment="1">
      <alignment horizontal="center" vertical="center"/>
    </xf>
    <xf numFmtId="9" fontId="17" fillId="0" borderId="47" xfId="2" applyFont="1" applyFill="1" applyBorder="1" applyAlignment="1">
      <alignment horizontal="center" vertical="center" shrinkToFit="1"/>
    </xf>
    <xf numFmtId="9" fontId="17" fillId="0" borderId="14" xfId="2" applyFont="1" applyFill="1" applyBorder="1" applyAlignment="1">
      <alignment horizontal="center" vertical="center" shrinkToFit="1"/>
    </xf>
    <xf numFmtId="0" fontId="17" fillId="0" borderId="14" xfId="0" applyFont="1" applyBorder="1" applyAlignment="1">
      <alignment horizontal="center" vertical="center" shrinkToFit="1"/>
    </xf>
    <xf numFmtId="0" fontId="17" fillId="0" borderId="14" xfId="2" applyNumberFormat="1" applyFont="1" applyFill="1" applyBorder="1" applyAlignment="1">
      <alignment horizontal="center" vertical="center" shrinkToFit="1"/>
    </xf>
    <xf numFmtId="0" fontId="17" fillId="0" borderId="34" xfId="0" applyFont="1" applyBorder="1" applyAlignment="1">
      <alignment horizontal="center" vertical="center"/>
    </xf>
    <xf numFmtId="0" fontId="17" fillId="0" borderId="28" xfId="5" applyFont="1" applyBorder="1" applyAlignment="1">
      <alignment horizontal="center" vertical="center" wrapText="1"/>
    </xf>
    <xf numFmtId="0" fontId="17" fillId="0" borderId="28" xfId="0" quotePrefix="1" applyFont="1" applyBorder="1" applyAlignment="1">
      <alignment horizontal="center" vertical="center" wrapText="1"/>
    </xf>
    <xf numFmtId="9" fontId="17" fillId="0" borderId="14" xfId="2" applyFont="1" applyBorder="1" applyAlignment="1">
      <alignment horizontal="center" vertical="center" shrinkToFit="1"/>
    </xf>
    <xf numFmtId="0" fontId="17" fillId="0" borderId="14" xfId="2" applyNumberFormat="1" applyFont="1" applyBorder="1" applyAlignment="1">
      <alignment horizontal="center" vertical="center" shrinkToFit="1"/>
    </xf>
    <xf numFmtId="0" fontId="50" fillId="0" borderId="8" xfId="8" applyFont="1" applyBorder="1" applyAlignment="1">
      <alignment horizontal="center" vertical="center" shrinkToFit="1"/>
    </xf>
    <xf numFmtId="0" fontId="17" fillId="0" borderId="46" xfId="8" applyFont="1" applyBorder="1" applyAlignment="1">
      <alignment horizontal="center" vertical="center"/>
    </xf>
    <xf numFmtId="9" fontId="17" fillId="0" borderId="46" xfId="2" applyFont="1" applyFill="1" applyBorder="1" applyAlignment="1">
      <alignment horizontal="center" vertical="center" shrinkToFit="1"/>
    </xf>
    <xf numFmtId="9" fontId="17" fillId="0" borderId="48" xfId="2" applyFont="1" applyFill="1" applyBorder="1" applyAlignment="1">
      <alignment horizontal="center" vertical="center" shrinkToFit="1"/>
    </xf>
    <xf numFmtId="0" fontId="17" fillId="0" borderId="48" xfId="0" applyFont="1" applyBorder="1" applyAlignment="1">
      <alignment horizontal="center" vertical="center" shrinkToFit="1"/>
    </xf>
    <xf numFmtId="0" fontId="17" fillId="0" borderId="48" xfId="2" applyNumberFormat="1" applyFont="1" applyFill="1" applyBorder="1" applyAlignment="1">
      <alignment horizontal="center" vertical="center" shrinkToFit="1"/>
    </xf>
    <xf numFmtId="0" fontId="17" fillId="0" borderId="35" xfId="0" applyFont="1" applyBorder="1" applyAlignment="1">
      <alignment horizontal="center" vertical="center"/>
    </xf>
    <xf numFmtId="0" fontId="51" fillId="0" borderId="32" xfId="0" applyFont="1" applyBorder="1" applyAlignment="1">
      <alignment horizontal="centerContinuous" vertical="center"/>
    </xf>
    <xf numFmtId="0" fontId="49" fillId="0" borderId="32" xfId="0" applyFont="1" applyBorder="1" applyAlignment="1">
      <alignment horizontal="centerContinuous" vertical="center"/>
    </xf>
    <xf numFmtId="0" fontId="52" fillId="0" borderId="0" xfId="0" applyFont="1" applyAlignment="1">
      <alignment vertical="center"/>
    </xf>
    <xf numFmtId="0" fontId="49" fillId="0" borderId="0" xfId="0" applyFont="1" applyAlignment="1">
      <alignment horizontal="centerContinuous" vertical="center"/>
    </xf>
    <xf numFmtId="0" fontId="53" fillId="0" borderId="0" xfId="0" applyFont="1" applyAlignment="1">
      <alignment horizontal="centerContinuous" vertical="center"/>
    </xf>
    <xf numFmtId="0" fontId="54" fillId="0" borderId="0" xfId="0" applyFont="1" applyAlignment="1">
      <alignment horizontal="centerContinuous" vertical="center"/>
    </xf>
    <xf numFmtId="0" fontId="47" fillId="0" borderId="36" xfId="0" applyFont="1" applyBorder="1" applyAlignment="1">
      <alignment horizontal="centerContinuous" vertical="center"/>
    </xf>
    <xf numFmtId="0" fontId="50" fillId="0" borderId="36" xfId="0" applyFont="1" applyBorder="1" applyAlignment="1">
      <alignment horizontal="centerContinuous" vertical="center"/>
    </xf>
    <xf numFmtId="0" fontId="13" fillId="0" borderId="5" xfId="0" applyFont="1" applyBorder="1" applyAlignment="1">
      <alignment horizontal="centerContinuous" vertical="center"/>
    </xf>
    <xf numFmtId="0" fontId="14" fillId="0" borderId="6" xfId="0" applyFont="1" applyBorder="1" applyAlignment="1">
      <alignment horizontal="centerContinuous" vertical="center"/>
    </xf>
    <xf numFmtId="0" fontId="14" fillId="0" borderId="7" xfId="0" applyFont="1" applyBorder="1" applyAlignment="1">
      <alignment horizontal="centerContinuous" vertical="center"/>
    </xf>
    <xf numFmtId="0" fontId="36" fillId="0" borderId="36" xfId="0" applyFont="1" applyBorder="1" applyAlignment="1">
      <alignment horizontal="center" vertical="center" shrinkToFit="1"/>
    </xf>
    <xf numFmtId="0" fontId="50" fillId="0" borderId="49" xfId="0" applyFont="1" applyBorder="1" applyAlignment="1">
      <alignment horizontal="center" vertical="center"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60" xfId="0" applyFont="1" applyBorder="1" applyAlignment="1">
      <alignment horizontal="right"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9" borderId="58" xfId="0" applyFont="1" applyFill="1" applyBorder="1" applyAlignment="1">
      <alignment horizontal="center" vertical="center"/>
    </xf>
    <xf numFmtId="0" fontId="14" fillId="9" borderId="59" xfId="0" applyFont="1" applyFill="1" applyBorder="1" applyAlignment="1">
      <alignment horizontal="center" vertical="center"/>
    </xf>
    <xf numFmtId="0" fontId="47" fillId="0" borderId="49" xfId="0" applyFont="1" applyBorder="1" applyAlignment="1">
      <alignment horizontal="centerContinuous" vertical="center"/>
    </xf>
    <xf numFmtId="0" fontId="55" fillId="0" borderId="32" xfId="0" applyFont="1" applyBorder="1" applyAlignment="1">
      <alignment horizontal="centerContinuous" vertical="center"/>
    </xf>
    <xf numFmtId="0" fontId="13" fillId="0" borderId="36" xfId="0" applyFont="1" applyBorder="1" applyAlignment="1">
      <alignment horizontal="right" vertical="center"/>
    </xf>
    <xf numFmtId="0" fontId="14" fillId="0" borderId="56" xfId="0" applyFont="1" applyBorder="1" applyAlignment="1">
      <alignment horizontal="center" vertical="center"/>
    </xf>
    <xf numFmtId="0" fontId="14" fillId="0" borderId="40" xfId="0" applyFont="1" applyBorder="1" applyAlignment="1">
      <alignment horizontal="center" vertical="center"/>
    </xf>
    <xf numFmtId="0" fontId="14" fillId="9" borderId="40" xfId="0" applyFont="1" applyFill="1" applyBorder="1" applyAlignment="1">
      <alignment horizontal="center" vertical="center"/>
    </xf>
    <xf numFmtId="0" fontId="14" fillId="9" borderId="41" xfId="0" applyFont="1" applyFill="1" applyBorder="1" applyAlignment="1">
      <alignment horizontal="center" vertical="center"/>
    </xf>
    <xf numFmtId="0" fontId="17" fillId="0" borderId="107" xfId="0" applyFont="1" applyBorder="1" applyAlignment="1">
      <alignment horizontal="centerContinuous" vertical="center"/>
    </xf>
    <xf numFmtId="0" fontId="13" fillId="0" borderId="49" xfId="0" applyFont="1" applyBorder="1" applyAlignment="1">
      <alignment horizontal="right" vertical="center"/>
    </xf>
    <xf numFmtId="0" fontId="56" fillId="16" borderId="61" xfId="0" applyFont="1" applyFill="1" applyBorder="1" applyAlignment="1">
      <alignment horizontal="center" vertical="center"/>
    </xf>
    <xf numFmtId="0" fontId="56" fillId="16" borderId="42" xfId="0" applyFont="1" applyFill="1" applyBorder="1" applyAlignment="1">
      <alignment horizontal="center" vertical="center"/>
    </xf>
    <xf numFmtId="0" fontId="56" fillId="16" borderId="43" xfId="0" applyFont="1" applyFill="1" applyBorder="1" applyAlignment="1">
      <alignment horizontal="center" vertical="center"/>
    </xf>
    <xf numFmtId="0" fontId="57" fillId="0" borderId="32" xfId="0" applyFont="1" applyBorder="1" applyAlignment="1">
      <alignment horizontal="centerContinuous" vertical="center"/>
    </xf>
    <xf numFmtId="0" fontId="17" fillId="0" borderId="54" xfId="0" applyFont="1" applyBorder="1" applyAlignment="1">
      <alignment horizontal="centerContinuous" vertical="center"/>
    </xf>
    <xf numFmtId="0" fontId="13" fillId="0" borderId="49" xfId="0" applyFont="1" applyBorder="1" applyAlignment="1">
      <alignment horizontal="right" vertical="center" wrapText="1"/>
    </xf>
    <xf numFmtId="0" fontId="14" fillId="15" borderId="61" xfId="0" applyFont="1" applyFill="1" applyBorder="1" applyAlignment="1">
      <alignment horizontal="center" vertical="center" wrapText="1"/>
    </xf>
    <xf numFmtId="0" fontId="14" fillId="15" borderId="42"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14" fillId="9" borderId="43" xfId="0" applyFont="1" applyFill="1" applyBorder="1" applyAlignment="1">
      <alignment horizontal="center" vertical="center" wrapText="1"/>
    </xf>
    <xf numFmtId="0" fontId="17" fillId="0" borderId="55" xfId="0" applyFont="1" applyBorder="1" applyAlignment="1">
      <alignment horizontal="centerContinuous" vertical="center"/>
    </xf>
    <xf numFmtId="0" fontId="17" fillId="0" borderId="49" xfId="0" applyFont="1" applyBorder="1" applyAlignment="1">
      <alignment horizontal="centerContinuous" vertical="center"/>
    </xf>
    <xf numFmtId="0" fontId="29" fillId="0" borderId="0" xfId="0" applyFont="1" applyAlignment="1">
      <alignment horizontal="centerContinuous" vertical="center"/>
    </xf>
    <xf numFmtId="0" fontId="58" fillId="10" borderId="16" xfId="0" applyFont="1" applyFill="1" applyBorder="1" applyAlignment="1">
      <alignment horizontal="center" vertical="center"/>
    </xf>
    <xf numFmtId="0" fontId="58" fillId="10" borderId="17" xfId="0" applyFont="1" applyFill="1" applyBorder="1" applyAlignment="1">
      <alignment horizontal="center" vertical="center"/>
    </xf>
    <xf numFmtId="49" fontId="58" fillId="10" borderId="17" xfId="0" applyNumberFormat="1" applyFont="1" applyFill="1" applyBorder="1" applyAlignment="1">
      <alignment horizontal="center" vertical="center"/>
    </xf>
    <xf numFmtId="0" fontId="58" fillId="10" borderId="20" xfId="0" applyFont="1" applyFill="1" applyBorder="1" applyAlignment="1">
      <alignment horizontal="center" vertical="center"/>
    </xf>
    <xf numFmtId="0" fontId="59" fillId="11" borderId="20" xfId="0" applyFont="1" applyFill="1" applyBorder="1" applyAlignment="1">
      <alignment horizontal="center" vertical="center"/>
    </xf>
    <xf numFmtId="0" fontId="58" fillId="10" borderId="18" xfId="0" applyFont="1" applyFill="1" applyBorder="1" applyAlignment="1">
      <alignment horizontal="center" vertical="center"/>
    </xf>
    <xf numFmtId="0" fontId="58" fillId="10" borderId="32" xfId="0" applyFont="1" applyFill="1" applyBorder="1" applyAlignment="1">
      <alignment horizontal="center" vertical="center"/>
    </xf>
    <xf numFmtId="0" fontId="14" fillId="0" borderId="74" xfId="0" applyFont="1" applyBorder="1" applyAlignment="1">
      <alignment horizontal="center" vertical="center" shrinkToFit="1"/>
    </xf>
    <xf numFmtId="0" fontId="14" fillId="0" borderId="75" xfId="0" applyFont="1" applyBorder="1" applyAlignment="1">
      <alignment horizontal="center" vertical="center"/>
    </xf>
    <xf numFmtId="49" fontId="14" fillId="0" borderId="75" xfId="0" applyNumberFormat="1" applyFont="1" applyBorder="1" applyAlignment="1">
      <alignment horizontal="center" vertical="center"/>
    </xf>
    <xf numFmtId="164" fontId="14" fillId="0" borderId="75" xfId="0" applyNumberFormat="1" applyFont="1" applyBorder="1" applyAlignment="1">
      <alignment horizontal="center" vertical="center"/>
    </xf>
    <xf numFmtId="0" fontId="14" fillId="0" borderId="91" xfId="0" applyFont="1" applyBorder="1" applyAlignment="1">
      <alignment horizontal="center" vertical="center"/>
    </xf>
    <xf numFmtId="1" fontId="60" fillId="11" borderId="91" xfId="0" applyNumberFormat="1" applyFont="1" applyFill="1" applyBorder="1" applyAlignment="1">
      <alignment horizontal="center" vertical="center"/>
    </xf>
    <xf numFmtId="1" fontId="14" fillId="0" borderId="91" xfId="0" applyNumberFormat="1" applyFont="1" applyBorder="1" applyAlignment="1">
      <alignment horizontal="center" vertical="center"/>
    </xf>
    <xf numFmtId="0" fontId="14" fillId="0" borderId="92" xfId="0" quotePrefix="1" applyFont="1" applyBorder="1" applyAlignment="1">
      <alignment horizontal="center" vertical="center"/>
    </xf>
    <xf numFmtId="1" fontId="14" fillId="0" borderId="96" xfId="0" applyNumberFormat="1" applyFont="1" applyBorder="1" applyAlignment="1">
      <alignment horizontal="center" vertical="center"/>
    </xf>
    <xf numFmtId="0" fontId="14" fillId="0" borderId="74" xfId="0" applyFont="1" applyBorder="1" applyAlignment="1">
      <alignment horizontal="center" vertical="center"/>
    </xf>
    <xf numFmtId="0" fontId="14" fillId="0" borderId="75" xfId="0" quotePrefix="1" applyFont="1" applyBorder="1" applyAlignment="1">
      <alignment horizontal="center" vertical="center" wrapText="1"/>
    </xf>
    <xf numFmtId="49" fontId="14" fillId="0" borderId="75" xfId="2" applyNumberFormat="1" applyFont="1" applyBorder="1" applyAlignment="1">
      <alignment horizontal="center" vertical="center"/>
    </xf>
    <xf numFmtId="0" fontId="14" fillId="0" borderId="75" xfId="0" applyFont="1" applyBorder="1" applyAlignment="1">
      <alignment horizontal="center" vertical="center" shrinkToFit="1"/>
    </xf>
    <xf numFmtId="1" fontId="60" fillId="11" borderId="75" xfId="0" applyNumberFormat="1" applyFont="1" applyFill="1" applyBorder="1" applyAlignment="1">
      <alignment horizontal="center" vertical="center"/>
    </xf>
    <xf numFmtId="1" fontId="14" fillId="0" borderId="75" xfId="0" applyNumberFormat="1" applyFont="1" applyBorder="1" applyAlignment="1">
      <alignment horizontal="center" vertical="center"/>
    </xf>
    <xf numFmtId="0" fontId="14" fillId="0" borderId="76" xfId="0" quotePrefix="1" applyFont="1" applyBorder="1" applyAlignment="1">
      <alignment horizontal="center" vertical="center"/>
    </xf>
    <xf numFmtId="1" fontId="14" fillId="9" borderId="77" xfId="0" applyNumberFormat="1" applyFont="1" applyFill="1" applyBorder="1" applyAlignment="1">
      <alignment horizontal="center" vertical="center"/>
    </xf>
    <xf numFmtId="0" fontId="14" fillId="9" borderId="83" xfId="0" applyFont="1" applyFill="1" applyBorder="1" applyAlignment="1">
      <alignment horizontal="center" vertical="center"/>
    </xf>
    <xf numFmtId="0" fontId="14" fillId="9" borderId="84" xfId="0" applyFont="1" applyFill="1" applyBorder="1" applyAlignment="1">
      <alignment horizontal="center" vertical="center"/>
    </xf>
    <xf numFmtId="0" fontId="14" fillId="9" borderId="84" xfId="0" quotePrefix="1" applyFont="1" applyFill="1" applyBorder="1" applyAlignment="1">
      <alignment horizontal="center" vertical="center" wrapText="1"/>
    </xf>
    <xf numFmtId="49" fontId="14" fillId="9" borderId="84" xfId="2" applyNumberFormat="1" applyFont="1" applyFill="1" applyBorder="1" applyAlignment="1">
      <alignment horizontal="center" vertical="center"/>
    </xf>
    <xf numFmtId="0" fontId="14" fillId="9" borderId="84" xfId="0" applyFont="1" applyFill="1" applyBorder="1" applyAlignment="1">
      <alignment horizontal="center" vertical="center" shrinkToFit="1"/>
    </xf>
    <xf numFmtId="164" fontId="14" fillId="9" borderId="84" xfId="0" applyNumberFormat="1" applyFont="1" applyFill="1" applyBorder="1" applyAlignment="1">
      <alignment horizontal="center" vertical="center"/>
    </xf>
    <xf numFmtId="1" fontId="60" fillId="9" borderId="84" xfId="0" applyNumberFormat="1" applyFont="1" applyFill="1" applyBorder="1" applyAlignment="1">
      <alignment horizontal="center" vertical="center"/>
    </xf>
    <xf numFmtId="1" fontId="14" fillId="9" borderId="84" xfId="0" applyNumberFormat="1" applyFont="1" applyFill="1" applyBorder="1" applyAlignment="1">
      <alignment horizontal="center" vertical="center"/>
    </xf>
    <xf numFmtId="0" fontId="14" fillId="9" borderId="85" xfId="0" quotePrefix="1" applyFont="1" applyFill="1" applyBorder="1" applyAlignment="1">
      <alignment horizontal="center" vertical="center"/>
    </xf>
    <xf numFmtId="0" fontId="61" fillId="13" borderId="73" xfId="0" applyFont="1" applyFill="1" applyBorder="1" applyAlignment="1">
      <alignment horizontal="center" vertical="center" shrinkToFit="1"/>
    </xf>
    <xf numFmtId="0" fontId="61" fillId="13" borderId="42" xfId="0" applyFont="1" applyFill="1" applyBorder="1" applyAlignment="1">
      <alignment horizontal="center" vertical="center"/>
    </xf>
    <xf numFmtId="49" fontId="61" fillId="13" borderId="42" xfId="0" applyNumberFormat="1" applyFont="1" applyFill="1" applyBorder="1" applyAlignment="1">
      <alignment horizontal="center" vertical="center"/>
    </xf>
    <xf numFmtId="164" fontId="61" fillId="13" borderId="42" xfId="0" applyNumberFormat="1" applyFont="1" applyFill="1" applyBorder="1" applyAlignment="1">
      <alignment horizontal="center" vertical="center"/>
    </xf>
    <xf numFmtId="1" fontId="60" fillId="11" borderId="42" xfId="0" applyNumberFormat="1" applyFont="1" applyFill="1" applyBorder="1" applyAlignment="1">
      <alignment horizontal="center" vertical="center"/>
    </xf>
    <xf numFmtId="1" fontId="61" fillId="13" borderId="42" xfId="0" applyNumberFormat="1" applyFont="1" applyFill="1" applyBorder="1" applyAlignment="1">
      <alignment horizontal="center" vertical="center"/>
    </xf>
    <xf numFmtId="0" fontId="61" fillId="13" borderId="43" xfId="0" quotePrefix="1" applyFont="1" applyFill="1" applyBorder="1" applyAlignment="1">
      <alignment horizontal="center" vertical="center"/>
    </xf>
    <xf numFmtId="1" fontId="61" fillId="13" borderId="49" xfId="0" applyNumberFormat="1" applyFont="1" applyFill="1" applyBorder="1" applyAlignment="1">
      <alignment horizontal="center" vertical="center"/>
    </xf>
    <xf numFmtId="0" fontId="14" fillId="0" borderId="0" xfId="0" applyFont="1" applyAlignment="1">
      <alignment horizontal="center" vertical="center"/>
    </xf>
    <xf numFmtId="0" fontId="61" fillId="13" borderId="71" xfId="0" applyFont="1" applyFill="1" applyBorder="1" applyAlignment="1">
      <alignment horizontal="center" vertical="center"/>
    </xf>
    <xf numFmtId="0" fontId="61" fillId="13" borderId="45" xfId="0" applyFont="1" applyFill="1" applyBorder="1" applyAlignment="1">
      <alignment horizontal="center" vertical="center"/>
    </xf>
    <xf numFmtId="49" fontId="61" fillId="13" borderId="45" xfId="0" applyNumberFormat="1" applyFont="1" applyFill="1" applyBorder="1" applyAlignment="1">
      <alignment horizontal="center" vertical="center"/>
    </xf>
    <xf numFmtId="1" fontId="60" fillId="11" borderId="40" xfId="0" applyNumberFormat="1" applyFont="1" applyFill="1" applyBorder="1" applyAlignment="1">
      <alignment horizontal="center" vertical="center"/>
    </xf>
    <xf numFmtId="1" fontId="61" fillId="13" borderId="40" xfId="0" applyNumberFormat="1" applyFont="1" applyFill="1" applyBorder="1" applyAlignment="1">
      <alignment horizontal="center" vertical="center"/>
    </xf>
    <xf numFmtId="0" fontId="14" fillId="13" borderId="44" xfId="0" applyFont="1" applyFill="1" applyBorder="1" applyAlignment="1">
      <alignment horizontal="center" vertical="center"/>
    </xf>
    <xf numFmtId="0" fontId="61" fillId="13" borderId="55" xfId="0" applyFont="1" applyFill="1" applyBorder="1" applyAlignment="1">
      <alignment horizontal="center" vertical="center"/>
    </xf>
    <xf numFmtId="0" fontId="61" fillId="13" borderId="83" xfId="0" applyFont="1" applyFill="1" applyBorder="1" applyAlignment="1">
      <alignment horizontal="center" vertical="center"/>
    </xf>
    <xf numFmtId="0" fontId="61" fillId="13" borderId="84" xfId="0" applyFont="1" applyFill="1" applyBorder="1" applyAlignment="1">
      <alignment horizontal="center" vertical="center"/>
    </xf>
    <xf numFmtId="49" fontId="61" fillId="13" borderId="84" xfId="0" applyNumberFormat="1" applyFont="1" applyFill="1" applyBorder="1" applyAlignment="1">
      <alignment horizontal="center" vertical="center"/>
    </xf>
    <xf numFmtId="0" fontId="61" fillId="13" borderId="40" xfId="0" applyFont="1" applyFill="1" applyBorder="1" applyAlignment="1">
      <alignment horizontal="center" vertical="center"/>
    </xf>
    <xf numFmtId="0" fontId="14" fillId="13" borderId="85" xfId="0" applyFont="1" applyFill="1" applyBorder="1" applyAlignment="1">
      <alignment horizontal="center" vertical="center"/>
    </xf>
    <xf numFmtId="0" fontId="14" fillId="0" borderId="76" xfId="0" applyFont="1" applyBorder="1" applyAlignment="1">
      <alignment horizontal="center" vertical="center"/>
    </xf>
    <xf numFmtId="1" fontId="14" fillId="0" borderId="77" xfId="0" applyNumberFormat="1" applyFont="1" applyBorder="1" applyAlignment="1">
      <alignment horizontal="center" vertical="center"/>
    </xf>
    <xf numFmtId="49" fontId="14" fillId="9" borderId="84" xfId="0" applyNumberFormat="1" applyFont="1" applyFill="1" applyBorder="1" applyAlignment="1">
      <alignment horizontal="center" vertical="center"/>
    </xf>
    <xf numFmtId="1" fontId="14" fillId="9" borderId="55" xfId="0" applyNumberFormat="1" applyFont="1" applyFill="1" applyBorder="1" applyAlignment="1">
      <alignment horizontal="center" vertical="center"/>
    </xf>
    <xf numFmtId="0" fontId="61" fillId="13" borderId="88" xfId="0" applyFont="1" applyFill="1" applyBorder="1" applyAlignment="1">
      <alignment horizontal="center" vertical="center"/>
    </xf>
    <xf numFmtId="0" fontId="61" fillId="13" borderId="89" xfId="0" applyFont="1" applyFill="1" applyBorder="1" applyAlignment="1">
      <alignment horizontal="center" vertical="center"/>
    </xf>
    <xf numFmtId="1" fontId="60" fillId="11" borderId="89" xfId="0" applyNumberFormat="1" applyFont="1" applyFill="1" applyBorder="1" applyAlignment="1">
      <alignment horizontal="center" vertical="center"/>
    </xf>
    <xf numFmtId="1" fontId="61" fillId="13" borderId="89" xfId="0" applyNumberFormat="1" applyFont="1" applyFill="1" applyBorder="1" applyAlignment="1">
      <alignment horizontal="center" vertical="center"/>
    </xf>
    <xf numFmtId="0" fontId="14" fillId="13" borderId="90" xfId="0" applyFont="1" applyFill="1" applyBorder="1" applyAlignment="1">
      <alignment horizontal="center" vertical="center"/>
    </xf>
    <xf numFmtId="0" fontId="61" fillId="13" borderId="54" xfId="0" applyFont="1" applyFill="1" applyBorder="1" applyAlignment="1">
      <alignment horizontal="center" vertical="center"/>
    </xf>
    <xf numFmtId="0" fontId="14" fillId="0" borderId="0" xfId="0" applyFont="1" applyAlignment="1">
      <alignment horizontal="centerContinuous" vertical="center"/>
    </xf>
    <xf numFmtId="164" fontId="14" fillId="0" borderId="0" xfId="0" applyNumberFormat="1" applyFont="1" applyAlignment="1">
      <alignment horizontal="center" vertical="center"/>
    </xf>
    <xf numFmtId="0" fontId="58" fillId="10" borderId="20" xfId="0" applyFont="1" applyFill="1" applyBorder="1" applyAlignment="1">
      <alignment horizontal="centerContinuous" vertical="center"/>
    </xf>
    <xf numFmtId="0" fontId="58" fillId="10" borderId="66" xfId="0" applyFont="1" applyFill="1" applyBorder="1" applyAlignment="1">
      <alignment horizontal="centerContinuous" vertical="center"/>
    </xf>
    <xf numFmtId="0" fontId="58" fillId="10" borderId="50" xfId="0" applyFont="1" applyFill="1" applyBorder="1" applyAlignment="1">
      <alignment horizontal="centerContinuous" vertical="center"/>
    </xf>
    <xf numFmtId="0" fontId="14" fillId="0" borderId="71" xfId="0" applyFont="1" applyBorder="1" applyAlignment="1">
      <alignment horizontal="center" vertical="center" shrinkToFit="1"/>
    </xf>
    <xf numFmtId="0" fontId="14" fillId="0" borderId="45" xfId="0" applyFont="1" applyBorder="1" applyAlignment="1">
      <alignment horizontal="center" vertical="center"/>
    </xf>
    <xf numFmtId="0" fontId="14" fillId="0" borderId="45" xfId="0" quotePrefix="1" applyFont="1" applyBorder="1" applyAlignment="1">
      <alignment horizontal="center" vertical="center"/>
    </xf>
    <xf numFmtId="9" fontId="14" fillId="0" borderId="45" xfId="0" applyNumberFormat="1" applyFont="1" applyBorder="1" applyAlignment="1">
      <alignment horizontal="center" vertical="center"/>
    </xf>
    <xf numFmtId="49" fontId="14" fillId="0" borderId="40" xfId="0" applyNumberFormat="1" applyFont="1" applyBorder="1" applyAlignment="1">
      <alignment horizontal="center" vertical="center"/>
    </xf>
    <xf numFmtId="164" fontId="14" fillId="0" borderId="45" xfId="0" applyNumberFormat="1" applyFont="1" applyBorder="1" applyAlignment="1">
      <alignment horizontal="center" vertical="center"/>
    </xf>
    <xf numFmtId="164" fontId="14" fillId="0" borderId="100" xfId="0" applyNumberFormat="1" applyFont="1" applyBorder="1" applyAlignment="1">
      <alignment horizontal="centerContinuous" vertical="center"/>
    </xf>
    <xf numFmtId="164" fontId="14" fillId="0" borderId="67" xfId="0" applyNumberFormat="1" applyFont="1" applyBorder="1" applyAlignment="1">
      <alignment horizontal="centerContinuous" vertical="center"/>
    </xf>
    <xf numFmtId="0" fontId="14" fillId="0" borderId="68" xfId="0" quotePrefix="1" applyFont="1" applyBorder="1" applyAlignment="1">
      <alignment horizontal="centerContinuous" vertical="center"/>
    </xf>
    <xf numFmtId="1" fontId="14" fillId="0" borderId="36" xfId="0" applyNumberFormat="1" applyFont="1" applyBorder="1" applyAlignment="1">
      <alignment horizontal="center" vertical="center"/>
    </xf>
    <xf numFmtId="0" fontId="61" fillId="13" borderId="72" xfId="0" applyFont="1" applyFill="1" applyBorder="1" applyAlignment="1">
      <alignment horizontal="center" vertical="center" shrinkToFit="1"/>
    </xf>
    <xf numFmtId="0" fontId="61" fillId="13" borderId="40" xfId="0" quotePrefix="1" applyFont="1" applyFill="1" applyBorder="1" applyAlignment="1">
      <alignment horizontal="center" vertical="center"/>
    </xf>
    <xf numFmtId="9" fontId="61" fillId="13" borderId="40" xfId="0" applyNumberFormat="1" applyFont="1" applyFill="1" applyBorder="1" applyAlignment="1">
      <alignment horizontal="center" vertical="center"/>
    </xf>
    <xf numFmtId="49" fontId="61" fillId="13" borderId="40" xfId="0" applyNumberFormat="1" applyFont="1" applyFill="1" applyBorder="1" applyAlignment="1">
      <alignment horizontal="center" vertical="center"/>
    </xf>
    <xf numFmtId="164" fontId="61" fillId="13" borderId="40" xfId="0" applyNumberFormat="1" applyFont="1" applyFill="1" applyBorder="1" applyAlignment="1">
      <alignment horizontal="center" vertical="center"/>
    </xf>
    <xf numFmtId="164" fontId="61" fillId="13" borderId="82" xfId="0" applyNumberFormat="1" applyFont="1" applyFill="1" applyBorder="1" applyAlignment="1">
      <alignment horizontal="centerContinuous" vertical="center"/>
    </xf>
    <xf numFmtId="164" fontId="61" fillId="13" borderId="67" xfId="0" applyNumberFormat="1" applyFont="1" applyFill="1" applyBorder="1" applyAlignment="1">
      <alignment horizontal="centerContinuous" vertical="center"/>
    </xf>
    <xf numFmtId="0" fontId="61" fillId="13" borderId="68" xfId="0" applyFont="1" applyFill="1" applyBorder="1" applyAlignment="1">
      <alignment horizontal="centerContinuous" vertical="center"/>
    </xf>
    <xf numFmtId="0" fontId="61" fillId="0" borderId="0" xfId="0" applyFont="1" applyAlignment="1">
      <alignment vertical="center"/>
    </xf>
    <xf numFmtId="1" fontId="61" fillId="13" borderId="36" xfId="0" applyNumberFormat="1" applyFont="1" applyFill="1" applyBorder="1" applyAlignment="1">
      <alignment horizontal="center" vertical="center"/>
    </xf>
    <xf numFmtId="0" fontId="14" fillId="0" borderId="73" xfId="0" applyFont="1" applyBorder="1" applyAlignment="1">
      <alignment horizontal="center" vertical="center" shrinkToFit="1"/>
    </xf>
    <xf numFmtId="0" fontId="14" fillId="0" borderId="42" xfId="0" applyFont="1" applyBorder="1" applyAlignment="1">
      <alignment horizontal="center" vertical="center"/>
    </xf>
    <xf numFmtId="0" fontId="14" fillId="0" borderId="42" xfId="0" quotePrefix="1" applyFont="1" applyBorder="1" applyAlignment="1">
      <alignment horizontal="center" vertical="center"/>
    </xf>
    <xf numFmtId="9" fontId="14" fillId="0" borderId="42" xfId="0" applyNumberFormat="1" applyFont="1" applyBorder="1" applyAlignment="1">
      <alignment horizontal="center" vertical="center"/>
    </xf>
    <xf numFmtId="164" fontId="14" fillId="0" borderId="42" xfId="0" applyNumberFormat="1" applyFont="1" applyBorder="1" applyAlignment="1">
      <alignment horizontal="center" vertical="center"/>
    </xf>
    <xf numFmtId="164" fontId="14" fillId="0" borderId="81" xfId="0" applyNumberFormat="1" applyFont="1" applyBorder="1" applyAlignment="1">
      <alignment horizontal="centerContinuous" vertical="center"/>
    </xf>
    <xf numFmtId="164" fontId="14" fillId="0" borderId="69" xfId="0" applyNumberFormat="1" applyFont="1" applyBorder="1" applyAlignment="1">
      <alignment horizontal="centerContinuous" vertical="center"/>
    </xf>
    <xf numFmtId="0" fontId="14" fillId="0" borderId="70" xfId="0" quotePrefix="1" applyFont="1" applyBorder="1" applyAlignment="1">
      <alignment horizontal="centerContinuous" vertical="center"/>
    </xf>
    <xf numFmtId="1" fontId="14" fillId="0" borderId="49" xfId="0" applyNumberFormat="1" applyFont="1" applyBorder="1" applyAlignment="1">
      <alignment horizontal="center" vertical="center"/>
    </xf>
    <xf numFmtId="0" fontId="58" fillId="10" borderId="19" xfId="0" applyFont="1" applyFill="1" applyBorder="1" applyAlignment="1">
      <alignment horizontal="centerContinuous" vertical="center"/>
    </xf>
    <xf numFmtId="0" fontId="58" fillId="10" borderId="104" xfId="0" applyFont="1" applyFill="1" applyBorder="1" applyAlignment="1">
      <alignment horizontal="centerContinuous" vertical="center"/>
    </xf>
    <xf numFmtId="1" fontId="58" fillId="10" borderId="32" xfId="0" applyNumberFormat="1" applyFont="1" applyFill="1" applyBorder="1" applyAlignment="1">
      <alignment horizontal="center" vertical="center"/>
    </xf>
    <xf numFmtId="0" fontId="14" fillId="0" borderId="98" xfId="0" applyFont="1" applyBorder="1" applyAlignment="1">
      <alignment horizontal="centerContinuous" vertical="center"/>
    </xf>
    <xf numFmtId="0" fontId="14" fillId="0" borderId="95" xfId="0" applyFont="1" applyBorder="1" applyAlignment="1">
      <alignment horizontal="centerContinuous" vertical="center"/>
    </xf>
    <xf numFmtId="49" fontId="14" fillId="0" borderId="45" xfId="0" applyNumberFormat="1" applyFont="1" applyBorder="1" applyAlignment="1">
      <alignment horizontal="center" vertical="center"/>
    </xf>
    <xf numFmtId="49" fontId="14" fillId="0" borderId="100" xfId="0" applyNumberFormat="1" applyFont="1" applyBorder="1" applyAlignment="1">
      <alignment horizontal="centerContinuous" vertical="center"/>
    </xf>
    <xf numFmtId="49" fontId="14" fillId="0" borderId="97" xfId="0" applyNumberFormat="1" applyFont="1" applyBorder="1" applyAlignment="1">
      <alignment horizontal="centerContinuous" vertical="center"/>
    </xf>
    <xf numFmtId="0" fontId="14" fillId="0" borderId="99" xfId="0" applyFont="1" applyBorder="1" applyAlignment="1">
      <alignment horizontal="centerContinuous" vertical="center"/>
    </xf>
    <xf numFmtId="0" fontId="14" fillId="0" borderId="78" xfId="0" applyFont="1" applyBorder="1" applyAlignment="1">
      <alignment horizontal="centerContinuous" vertical="center"/>
    </xf>
    <xf numFmtId="0" fontId="14" fillId="0" borderId="56" xfId="0" applyFont="1" applyBorder="1" applyAlignment="1">
      <alignment horizontal="centerContinuous" vertical="center"/>
    </xf>
    <xf numFmtId="164" fontId="14" fillId="0" borderId="40" xfId="0" applyNumberFormat="1" applyFont="1" applyBorder="1" applyAlignment="1">
      <alignment horizontal="center" vertical="center"/>
    </xf>
    <xf numFmtId="49" fontId="14" fillId="0" borderId="82" xfId="0" applyNumberFormat="1" applyFont="1" applyBorder="1" applyAlignment="1">
      <alignment horizontal="centerContinuous" vertical="center"/>
    </xf>
    <xf numFmtId="49" fontId="14" fillId="0" borderId="67" xfId="0" applyNumberFormat="1" applyFont="1" applyBorder="1" applyAlignment="1">
      <alignment horizontal="centerContinuous" vertical="center"/>
    </xf>
    <xf numFmtId="0" fontId="14" fillId="0" borderId="68" xfId="0" applyFont="1" applyBorder="1" applyAlignment="1">
      <alignment horizontal="centerContinuous" vertical="center"/>
    </xf>
    <xf numFmtId="0" fontId="14" fillId="0" borderId="79" xfId="0" applyFont="1" applyBorder="1" applyAlignment="1">
      <alignment horizontal="centerContinuous" vertical="center"/>
    </xf>
    <xf numFmtId="0" fontId="14" fillId="0" borderId="61" xfId="0" applyFont="1" applyBorder="1" applyAlignment="1">
      <alignment horizontal="centerContinuous" vertical="center"/>
    </xf>
    <xf numFmtId="49" fontId="14" fillId="0" borderId="42" xfId="0" applyNumberFormat="1" applyFont="1" applyBorder="1" applyAlignment="1">
      <alignment horizontal="center" vertical="center"/>
    </xf>
    <xf numFmtId="49" fontId="14" fillId="0" borderId="81" xfId="0" applyNumberFormat="1" applyFont="1" applyBorder="1" applyAlignment="1">
      <alignment horizontal="centerContinuous" vertical="center"/>
    </xf>
    <xf numFmtId="49" fontId="14" fillId="0" borderId="69" xfId="0" applyNumberFormat="1" applyFont="1" applyBorder="1" applyAlignment="1">
      <alignment horizontal="centerContinuous" vertical="center"/>
    </xf>
    <xf numFmtId="0" fontId="14" fillId="0" borderId="70" xfId="0" applyFont="1" applyBorder="1" applyAlignment="1">
      <alignment horizontal="centerContinuous" vertical="center"/>
    </xf>
    <xf numFmtId="0" fontId="58" fillId="10" borderId="93" xfId="0" applyFont="1" applyFill="1" applyBorder="1" applyAlignment="1">
      <alignment horizontal="center" vertical="center"/>
    </xf>
    <xf numFmtId="0" fontId="14" fillId="0" borderId="78" xfId="0" applyFont="1" applyBorder="1" applyAlignment="1">
      <alignment horizontal="centerContinuous" vertical="center" shrinkToFit="1"/>
    </xf>
    <xf numFmtId="0" fontId="58" fillId="0" borderId="67" xfId="0" applyFont="1" applyBorder="1" applyAlignment="1">
      <alignment horizontal="centerContinuous" vertical="center"/>
    </xf>
    <xf numFmtId="0" fontId="58" fillId="0" borderId="56" xfId="0" applyFont="1" applyBorder="1" applyAlignment="1">
      <alignment horizontal="centerContinuous" vertical="center"/>
    </xf>
    <xf numFmtId="0" fontId="14" fillId="0" borderId="82" xfId="0" applyFont="1" applyBorder="1" applyAlignment="1">
      <alignment horizontal="center" vertical="center"/>
    </xf>
    <xf numFmtId="0" fontId="14" fillId="0" borderId="79" xfId="0" applyFont="1" applyBorder="1" applyAlignment="1">
      <alignment horizontal="centerContinuous" vertical="center" shrinkToFit="1"/>
    </xf>
    <xf numFmtId="0" fontId="14" fillId="0" borderId="69" xfId="0" applyFont="1" applyBorder="1" applyAlignment="1">
      <alignment horizontal="centerContinuous" vertical="center"/>
    </xf>
    <xf numFmtId="49" fontId="14" fillId="0" borderId="81" xfId="0" applyNumberFormat="1" applyFont="1" applyBorder="1" applyAlignment="1">
      <alignment horizontal="center" vertical="center"/>
    </xf>
    <xf numFmtId="164" fontId="29" fillId="0" borderId="0" xfId="0" applyNumberFormat="1" applyFont="1" applyAlignment="1">
      <alignment horizontal="centerContinuous" vertical="center"/>
    </xf>
    <xf numFmtId="0" fontId="58" fillId="3" borderId="37" xfId="0" applyFont="1" applyFill="1" applyBorder="1" applyAlignment="1">
      <alignment horizontal="center" vertical="center"/>
    </xf>
    <xf numFmtId="164" fontId="58" fillId="3" borderId="38" xfId="0" applyNumberFormat="1" applyFont="1" applyFill="1" applyBorder="1" applyAlignment="1">
      <alignment horizontal="center" vertical="center"/>
    </xf>
    <xf numFmtId="0" fontId="58" fillId="3" borderId="37" xfId="0" applyFont="1" applyFill="1" applyBorder="1" applyAlignment="1">
      <alignment horizontal="right" vertical="center"/>
    </xf>
    <xf numFmtId="0" fontId="58" fillId="3" borderId="39" xfId="0" applyFont="1" applyFill="1" applyBorder="1" applyAlignment="1">
      <alignment vertical="center"/>
    </xf>
    <xf numFmtId="164" fontId="58" fillId="3" borderId="32" xfId="0" applyNumberFormat="1" applyFont="1" applyFill="1" applyBorder="1" applyAlignment="1">
      <alignment horizontal="center" vertical="center"/>
    </xf>
    <xf numFmtId="164" fontId="14" fillId="0" borderId="75" xfId="0" applyNumberFormat="1" applyFont="1" applyBorder="1" applyAlignment="1">
      <alignment horizontal="center" vertical="center" shrinkToFit="1"/>
    </xf>
    <xf numFmtId="0" fontId="14" fillId="0" borderId="75" xfId="0" applyFont="1" applyBorder="1" applyAlignment="1">
      <alignment horizontal="left" vertical="center"/>
    </xf>
    <xf numFmtId="0" fontId="14" fillId="0" borderId="76" xfId="0" applyFont="1" applyBorder="1" applyAlignment="1">
      <alignment horizontal="left" vertical="center" shrinkToFit="1"/>
    </xf>
    <xf numFmtId="1" fontId="14" fillId="0" borderId="55" xfId="0" applyNumberFormat="1" applyFont="1" applyBorder="1" applyAlignment="1">
      <alignment horizontal="center" vertical="center" shrinkToFit="1"/>
    </xf>
    <xf numFmtId="0" fontId="14" fillId="0" borderId="78" xfId="0" applyFont="1" applyBorder="1" applyAlignment="1">
      <alignment horizontal="center" vertical="center" shrinkToFit="1"/>
    </xf>
    <xf numFmtId="1" fontId="14" fillId="0" borderId="40" xfId="0" applyNumberFormat="1" applyFont="1" applyBorder="1" applyAlignment="1">
      <alignment horizontal="center" vertical="center" shrinkToFit="1"/>
    </xf>
    <xf numFmtId="164" fontId="14" fillId="0" borderId="40" xfId="0" applyNumberFormat="1" applyFont="1" applyBorder="1" applyAlignment="1">
      <alignment horizontal="center" vertical="center" shrinkToFit="1"/>
    </xf>
    <xf numFmtId="0" fontId="14" fillId="0" borderId="82" xfId="0" applyFont="1" applyBorder="1" applyAlignment="1">
      <alignment horizontal="left" vertical="center"/>
    </xf>
    <xf numFmtId="0" fontId="14" fillId="0" borderId="41" xfId="0" applyFont="1" applyBorder="1" applyAlignment="1">
      <alignment horizontal="left" vertical="center" shrinkToFit="1"/>
    </xf>
    <xf numFmtId="0" fontId="14" fillId="0" borderId="0" xfId="0" applyFont="1"/>
    <xf numFmtId="1" fontId="14" fillId="0" borderId="36" xfId="0" applyNumberFormat="1" applyFont="1" applyBorder="1" applyAlignment="1">
      <alignment horizontal="center" vertical="center" shrinkToFit="1"/>
    </xf>
    <xf numFmtId="0" fontId="14" fillId="0" borderId="42" xfId="0" applyFont="1" applyBorder="1" applyAlignment="1">
      <alignment horizontal="center" vertical="center" shrinkToFit="1"/>
    </xf>
    <xf numFmtId="164" fontId="14" fillId="0" borderId="42" xfId="0" applyNumberFormat="1" applyFont="1" applyBorder="1" applyAlignment="1">
      <alignment horizontal="center" vertical="center" shrinkToFit="1"/>
    </xf>
    <xf numFmtId="0" fontId="14" fillId="0" borderId="42" xfId="0" applyFont="1" applyBorder="1" applyAlignment="1">
      <alignment horizontal="left" vertical="center"/>
    </xf>
    <xf numFmtId="0" fontId="14" fillId="0" borderId="43" xfId="0" applyFont="1" applyBorder="1" applyAlignment="1">
      <alignment horizontal="left" vertical="center" shrinkToFit="1"/>
    </xf>
    <xf numFmtId="1" fontId="14" fillId="0" borderId="49" xfId="0" applyNumberFormat="1" applyFont="1" applyBorder="1" applyAlignment="1">
      <alignment horizontal="center" vertical="center" shrinkToFit="1"/>
    </xf>
    <xf numFmtId="164" fontId="29" fillId="0" borderId="0" xfId="0" applyNumberFormat="1" applyFont="1" applyAlignment="1">
      <alignment horizontal="centerContinuous" vertical="center" shrinkToFit="1"/>
    </xf>
    <xf numFmtId="0" fontId="29" fillId="0" borderId="0" xfId="0" applyFont="1" applyAlignment="1">
      <alignment horizontal="centerContinuous" vertical="center" shrinkToFit="1"/>
    </xf>
    <xf numFmtId="1" fontId="14" fillId="0" borderId="0" xfId="0" applyNumberFormat="1" applyFont="1" applyAlignment="1">
      <alignment vertical="center"/>
    </xf>
    <xf numFmtId="1" fontId="58" fillId="3" borderId="32" xfId="0" applyNumberFormat="1" applyFont="1" applyFill="1" applyBorder="1" applyAlignment="1">
      <alignment horizontal="center" vertical="center"/>
    </xf>
    <xf numFmtId="0" fontId="14" fillId="0" borderId="72" xfId="0" applyFont="1" applyBorder="1" applyAlignment="1">
      <alignment horizontal="center" vertical="center" shrinkToFit="1"/>
    </xf>
    <xf numFmtId="0" fontId="14" fillId="0" borderId="40" xfId="0" applyFont="1" applyBorder="1" applyAlignment="1">
      <alignment horizontal="center" vertical="center" shrinkToFit="1"/>
    </xf>
    <xf numFmtId="2" fontId="14" fillId="0" borderId="40" xfId="0" applyNumberFormat="1" applyFont="1" applyBorder="1" applyAlignment="1">
      <alignment horizontal="center" vertical="center" shrinkToFit="1"/>
    </xf>
    <xf numFmtId="0" fontId="14" fillId="0" borderId="40" xfId="0" applyFont="1" applyBorder="1" applyAlignment="1">
      <alignment horizontal="left" vertical="center"/>
    </xf>
    <xf numFmtId="0" fontId="14" fillId="0" borderId="0" xfId="0" applyFont="1" applyAlignment="1">
      <alignment horizontal="center" vertical="center" shrinkToFit="1"/>
    </xf>
    <xf numFmtId="0" fontId="62" fillId="0" borderId="0" xfId="0" applyFont="1" applyAlignment="1">
      <alignment vertical="center"/>
    </xf>
    <xf numFmtId="165" fontId="14" fillId="0" borderId="0" xfId="0" applyNumberFormat="1" applyFont="1" applyAlignment="1">
      <alignment horizontal="left" vertical="center" shrinkToFit="1"/>
    </xf>
    <xf numFmtId="0" fontId="14" fillId="0" borderId="94" xfId="0" applyFont="1" applyBorder="1" applyAlignment="1">
      <alignment horizontal="left" vertical="center"/>
    </xf>
    <xf numFmtId="0" fontId="14" fillId="0" borderId="85" xfId="0" applyFont="1" applyBorder="1" applyAlignment="1">
      <alignment horizontal="left" vertical="center" shrinkToFit="1"/>
    </xf>
    <xf numFmtId="2" fontId="14" fillId="0" borderId="82" xfId="0" applyNumberFormat="1" applyFont="1" applyBorder="1" applyAlignment="1">
      <alignment horizontal="left" vertical="center"/>
    </xf>
    <xf numFmtId="2" fontId="14" fillId="0" borderId="41" xfId="0" applyNumberFormat="1" applyFont="1" applyBorder="1" applyAlignment="1">
      <alignment horizontal="left" vertical="center" shrinkToFit="1"/>
    </xf>
    <xf numFmtId="2" fontId="14" fillId="0" borderId="0" xfId="0" applyNumberFormat="1" applyFont="1" applyAlignment="1">
      <alignment horizontal="center" vertical="center"/>
    </xf>
    <xf numFmtId="1" fontId="14" fillId="0" borderId="42" xfId="0" applyNumberFormat="1" applyFont="1" applyBorder="1" applyAlignment="1">
      <alignment horizontal="center" vertical="center" shrinkToFit="1"/>
    </xf>
    <xf numFmtId="1" fontId="14" fillId="0" borderId="0" xfId="0" applyNumberFormat="1" applyFont="1" applyAlignment="1">
      <alignment horizontal="center" vertical="center"/>
    </xf>
    <xf numFmtId="165" fontId="14" fillId="0" borderId="0" xfId="0" applyNumberFormat="1" applyFont="1" applyAlignment="1">
      <alignment horizontal="center" vertical="center"/>
    </xf>
    <xf numFmtId="165" fontId="14" fillId="0" borderId="0" xfId="0" applyNumberFormat="1" applyFont="1" applyAlignment="1">
      <alignment vertical="center"/>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5">
    <dxf>
      <fill>
        <patternFill>
          <bgColor rgb="FF99FF99"/>
        </patternFill>
      </fill>
    </dxf>
    <dxf>
      <font>
        <b/>
        <i val="0"/>
      </font>
      <fill>
        <patternFill>
          <bgColor rgb="FF00FF00"/>
        </patternFill>
      </fill>
    </dxf>
    <dxf>
      <fill>
        <patternFill>
          <bgColor rgb="FF99FF99"/>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71806CA3-B876-4E5B-B996-16A54B7ADE4E}"/>
  </tableStyles>
  <colors>
    <mruColors>
      <color rgb="FF9966FF"/>
      <color rgb="FF00FFFF"/>
      <color rgb="FFCCFFCC"/>
      <color rgb="FF9999FF"/>
      <color rgb="FF9900FF"/>
      <color rgb="FF00FF00"/>
      <color rgb="FFFF33CC"/>
      <color rgb="FF0000FF"/>
      <color rgb="FF00CC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xdr:row>
      <xdr:rowOff>60960</xdr:rowOff>
    </xdr:from>
    <xdr:to>
      <xdr:col>6</xdr:col>
      <xdr:colOff>1028700</xdr:colOff>
      <xdr:row>14</xdr:row>
      <xdr:rowOff>146294</xdr:rowOff>
    </xdr:to>
    <xdr:pic>
      <xdr:nvPicPr>
        <xdr:cNvPr id="3" name="Picture 2">
          <a:extLst>
            <a:ext uri="{FF2B5EF4-FFF2-40B4-BE49-F238E27FC236}">
              <a16:creationId xmlns:a16="http://schemas.microsoft.com/office/drawing/2014/main" id="{C53AAB62-DF8E-48B3-BD30-68C60B01F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1960" y="434340"/>
          <a:ext cx="2057400" cy="3003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66674</xdr:rowOff>
    </xdr:from>
    <xdr:to>
      <xdr:col>6</xdr:col>
      <xdr:colOff>982980</xdr:colOff>
      <xdr:row>45</xdr:row>
      <xdr:rowOff>144780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564254"/>
          <a:ext cx="6130290" cy="4993006"/>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t>Early Years in Cormyr</a:t>
          </a:r>
        </a:p>
        <a:p>
          <a:pPr algn="just"/>
          <a:r>
            <a:rPr lang="en-US" sz="1200"/>
            <a:t>Artemis was born in Cormyr, a land known for its rich history and noble traditions. She grew up in Suzail, the bustling capital city, as the daughter of a renowned historian and a skilled herbalist. From a young age, Artemis was surrounded by books, ancient scrolls, and tales of heroism. Her father, a historian in the Royal Library, often took her to his workplace, where she developed a deep love for knowledge and storytelling. Her mother taught her the ways of nature and healing, skills that would later prove invaluable.</a:t>
          </a:r>
        </a:p>
        <a:p>
          <a:pPr algn="just"/>
          <a:r>
            <a:rPr lang="en-US" sz="1200" b="1"/>
            <a:t>Divine Calling</a:t>
          </a:r>
        </a:p>
        <a:p>
          <a:pPr algn="just"/>
          <a:r>
            <a:rPr lang="en-US" sz="1200"/>
            <a:t>As Artemis grew older, she began to feel a strange connection to Oghma, the god of knowledge. Her dreams were filled with visions of ancient tomes and forgotten lore, and she often heard a guiding voice urging her to seek out and preserve lost knowledge. At the age of fifteen, she experienced a miraculous event that confirmed her divine calling: a glowing symbol of Oghma appeared on her forehead during one of her dreams, and she woke up with an innate ability to channel divine magic.</a:t>
          </a:r>
        </a:p>
        <a:p>
          <a:pPr algn="just"/>
          <a:r>
            <a:rPr lang="en-US" sz="1200" b="1"/>
            <a:t>Training and Journey</a:t>
          </a:r>
        </a:p>
        <a:p>
          <a:pPr algn="just"/>
          <a:r>
            <a:rPr lang="en-US" sz="1200"/>
            <a:t>Recognizing her potential, Artemis's parents sent her to the House of Oghma in Suzail, where she trained under the guidance of wise clerics and scholars. She honed her abilities as a Favored Soul, learning to wield divine magic and mastering the art of oratory. Her storytelling skills grew, and she became known for her captivating tales of Cormyr's history and legends.</a:t>
          </a:r>
        </a:p>
        <a:p>
          <a:pPr algn="just"/>
          <a:r>
            <a:rPr lang="en-US" sz="1200" b="1"/>
            <a:t>The Quest for Knowledge</a:t>
          </a:r>
        </a:p>
        <a:p>
          <a:pPr algn="just"/>
          <a:r>
            <a:rPr lang="en-US" sz="1200"/>
            <a:t>One day, Artemis received a prophetic vision from Oghma, showing her a distant land filled with ancient ruins and untapped secrets. She saw the Sword Coast, a region known for its diverse cultures and hidden mysteries. The vision revealed that a powerful artifact of Oghma's creation lay hidden there, waiting to be discovered and protected. With a heart full of purpose and determination, Artemis set out on a journey to the Sword Coast, leaving behind her family and the comforts of home.</a:t>
          </a:r>
        </a:p>
        <a:p>
          <a:pPr algn="just"/>
          <a:r>
            <a:rPr lang="en-US" sz="1200" b="1"/>
            <a:t>New Beginnings on the Sword Coast</a:t>
          </a:r>
        </a:p>
        <a:p>
          <a:pPr algn="just"/>
          <a:r>
            <a:rPr lang="en-US" sz="1200"/>
            <a:t>Artemis traveled across Faerûn, braving treacherous terrains and encountering various adventurers along the way. Her journey was not without challenges, but her faith in Oghma and her unwavering resolve kept her going. Upon reaching the Sword Coast, she joined a group of like-minded individuals, including Banshee, Eldrin, and Sebenzi, who shared her dedication to Oghma and the pursuit of knowledge.</a:t>
          </a:r>
        </a:p>
        <a:p>
          <a:pPr algn="just"/>
          <a:r>
            <a:rPr lang="en-US" sz="1200"/>
            <a:t>Together, they embarked on quests to uncover the hidden artifact and protect the forgotten lore of the Sword Coast. Artemis's storytelling and divine magic proved invaluable in their adventures, and she quickly became a trusted and cherished member of the group.</a:t>
          </a:r>
        </a:p>
        <a:p>
          <a:pPr algn="just"/>
          <a:endParaRPr lang="en-US" sz="1200"/>
        </a:p>
      </xdr:txBody>
    </xdr:sp>
    <xdr:clientData/>
  </xdr:twoCellAnchor>
  <xdr:twoCellAnchor>
    <xdr:from>
      <xdr:col>5</xdr:col>
      <xdr:colOff>70624</xdr:colOff>
      <xdr:row>12</xdr:row>
      <xdr:rowOff>167640</xdr:rowOff>
    </xdr:from>
    <xdr:to>
      <xdr:col>6</xdr:col>
      <xdr:colOff>1021080</xdr:colOff>
      <xdr:row>14</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84484" y="2926080"/>
          <a:ext cx="2017256" cy="5162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ysClr val="windowText" lastClr="000000"/>
              </a:solidFill>
              <a:latin typeface="Times New Roman"/>
              <a:cs typeface="Times New Roman"/>
            </a:rPr>
            <a:t>Status: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137160</xdr:colOff>
      <xdr:row>1</xdr:row>
      <xdr:rowOff>116205</xdr:rowOff>
    </xdr:from>
    <xdr:to>
      <xdr:col>2</xdr:col>
      <xdr:colOff>184785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zoomScaleNormal="100" workbookViewId="0"/>
  </sheetViews>
  <sheetFormatPr defaultColWidth="13" defaultRowHeight="15.6" x14ac:dyDescent="0.3"/>
  <cols>
    <col min="1" max="1" width="15.59765625" style="61" customWidth="1"/>
    <col min="2" max="2" width="10" style="62" customWidth="1"/>
    <col min="3" max="3" width="5.09765625" style="62" customWidth="1"/>
    <col min="4" max="4" width="13.69921875" style="61" bestFit="1" customWidth="1"/>
    <col min="5" max="5" width="10.8984375" style="62" bestFit="1" customWidth="1"/>
    <col min="6" max="6" width="14" style="61" customWidth="1"/>
    <col min="7" max="7" width="14" style="62" customWidth="1"/>
    <col min="8" max="16384" width="13" style="7"/>
  </cols>
  <sheetData>
    <row r="1" spans="1:7" ht="30" thickTop="1" thickBot="1" x14ac:dyDescent="0.35">
      <c r="A1" s="1" t="s">
        <v>222</v>
      </c>
      <c r="B1" s="2"/>
      <c r="C1" s="3"/>
      <c r="D1" s="4"/>
      <c r="E1" s="5"/>
      <c r="F1" s="4"/>
      <c r="G1" s="6" t="s">
        <v>200</v>
      </c>
    </row>
    <row r="2" spans="1:7" ht="18" thickTop="1" x14ac:dyDescent="0.3">
      <c r="A2" s="8" t="s">
        <v>141</v>
      </c>
      <c r="B2" s="9" t="s">
        <v>198</v>
      </c>
      <c r="C2" s="9"/>
      <c r="D2" s="10" t="s">
        <v>155</v>
      </c>
      <c r="E2" s="11">
        <v>23</v>
      </c>
      <c r="F2" s="7"/>
      <c r="G2" s="12"/>
    </row>
    <row r="3" spans="1:7" ht="17.399999999999999" x14ac:dyDescent="0.3">
      <c r="A3" s="8" t="s">
        <v>142</v>
      </c>
      <c r="B3" s="9" t="s">
        <v>216</v>
      </c>
      <c r="C3" s="9"/>
      <c r="D3" s="10" t="s">
        <v>0</v>
      </c>
      <c r="E3" s="11">
        <v>5</v>
      </c>
      <c r="F3" s="10"/>
      <c r="G3" s="12"/>
    </row>
    <row r="4" spans="1:7" ht="17.399999999999999" x14ac:dyDescent="0.3">
      <c r="A4" s="8" t="s">
        <v>166</v>
      </c>
      <c r="B4" s="9" t="s">
        <v>224</v>
      </c>
      <c r="C4" s="9"/>
      <c r="D4" s="10" t="s">
        <v>143</v>
      </c>
      <c r="E4" s="11" t="s">
        <v>207</v>
      </c>
      <c r="F4" s="10"/>
      <c r="G4" s="12"/>
    </row>
    <row r="5" spans="1:7" ht="17.399999999999999" x14ac:dyDescent="0.3">
      <c r="A5" s="8" t="s">
        <v>167</v>
      </c>
      <c r="B5" s="9" t="s">
        <v>206</v>
      </c>
      <c r="C5" s="9"/>
      <c r="D5" s="10" t="s">
        <v>171</v>
      </c>
      <c r="E5" s="11" t="s">
        <v>231</v>
      </c>
      <c r="F5" s="10"/>
      <c r="G5" s="12"/>
    </row>
    <row r="6" spans="1:7" ht="18" thickBot="1" x14ac:dyDescent="0.35">
      <c r="A6" s="8" t="s">
        <v>168</v>
      </c>
      <c r="B6" s="9" t="s">
        <v>223</v>
      </c>
      <c r="C6" s="9"/>
      <c r="D6" s="10" t="s">
        <v>172</v>
      </c>
      <c r="E6" s="11" t="s">
        <v>232</v>
      </c>
      <c r="F6" s="10"/>
      <c r="G6" s="12"/>
    </row>
    <row r="7" spans="1:7" ht="18" thickTop="1" x14ac:dyDescent="0.3">
      <c r="A7" s="13" t="s">
        <v>169</v>
      </c>
      <c r="B7" s="14">
        <f>ROUNDDOWN(E3*0.75,0)</f>
        <v>3</v>
      </c>
      <c r="C7" s="15"/>
      <c r="D7" s="16" t="s">
        <v>81</v>
      </c>
      <c r="E7" s="17" t="s">
        <v>119</v>
      </c>
      <c r="F7" s="18"/>
      <c r="G7" s="12"/>
    </row>
    <row r="8" spans="1:7" ht="18" thickBot="1" x14ac:dyDescent="0.35">
      <c r="A8" s="19" t="s">
        <v>170</v>
      </c>
      <c r="B8" s="20" t="str">
        <f>C10</f>
        <v>+1</v>
      </c>
      <c r="C8" s="21"/>
      <c r="D8" s="22" t="s">
        <v>186</v>
      </c>
      <c r="E8" s="23">
        <v>10000</v>
      </c>
      <c r="F8" s="18"/>
      <c r="G8" s="12"/>
    </row>
    <row r="9" spans="1:7" ht="18" thickTop="1" x14ac:dyDescent="0.35">
      <c r="A9" s="24" t="s">
        <v>165</v>
      </c>
      <c r="B9" s="25">
        <v>10</v>
      </c>
      <c r="C9" s="26" t="str">
        <f t="shared" ref="C9:C14" si="0">IF(B9&gt;9.9,CONCATENATE("+",ROUNDDOWN((B9-10)/2,0)),ROUNDUP((B9-10)/2,0))</f>
        <v>+0</v>
      </c>
      <c r="D9" s="27" t="s">
        <v>173</v>
      </c>
      <c r="E9" s="28" t="s">
        <v>247</v>
      </c>
      <c r="F9" s="18"/>
      <c r="G9" s="12"/>
    </row>
    <row r="10" spans="1:7" ht="17.399999999999999" x14ac:dyDescent="0.3">
      <c r="A10" s="29" t="s">
        <v>164</v>
      </c>
      <c r="B10" s="30">
        <v>12</v>
      </c>
      <c r="C10" s="31" t="str">
        <f t="shared" si="0"/>
        <v>+1</v>
      </c>
      <c r="D10" s="32" t="s">
        <v>174</v>
      </c>
      <c r="E10" s="33">
        <f>SUM(Martial!G3:G31)+SUM(Equipment!C3:C15)</f>
        <v>39.5</v>
      </c>
      <c r="F10" s="18"/>
      <c r="G10" s="12"/>
    </row>
    <row r="11" spans="1:7" ht="17.399999999999999" x14ac:dyDescent="0.3">
      <c r="A11" s="34" t="s">
        <v>160</v>
      </c>
      <c r="B11" s="30">
        <v>7</v>
      </c>
      <c r="C11" s="35">
        <f t="shared" si="0"/>
        <v>-2</v>
      </c>
      <c r="D11" s="32" t="s">
        <v>175</v>
      </c>
      <c r="E11" s="36">
        <f>ROUNDUP(((E3*8)*0.75)+(E3*C11),0)</f>
        <v>20</v>
      </c>
      <c r="F11" s="18"/>
      <c r="G11" s="12"/>
    </row>
    <row r="12" spans="1:7" ht="17.399999999999999" x14ac:dyDescent="0.3">
      <c r="A12" s="37" t="s">
        <v>162</v>
      </c>
      <c r="B12" s="30">
        <v>12</v>
      </c>
      <c r="C12" s="31" t="str">
        <f t="shared" si="0"/>
        <v>+1</v>
      </c>
      <c r="D12" s="38" t="s">
        <v>176</v>
      </c>
      <c r="E12" s="39">
        <f>10+C10</f>
        <v>11</v>
      </c>
      <c r="F12" s="8"/>
      <c r="G12" s="12"/>
    </row>
    <row r="13" spans="1:7" ht="17.399999999999999" x14ac:dyDescent="0.3">
      <c r="A13" s="40" t="s">
        <v>163</v>
      </c>
      <c r="B13" s="30">
        <v>8</v>
      </c>
      <c r="C13" s="31">
        <f t="shared" si="0"/>
        <v>-1</v>
      </c>
      <c r="D13" s="38" t="s">
        <v>177</v>
      </c>
      <c r="E13" s="39">
        <f>E14-C10</f>
        <v>16</v>
      </c>
      <c r="F13" s="18"/>
      <c r="G13" s="12"/>
    </row>
    <row r="14" spans="1:7" ht="18" thickBot="1" x14ac:dyDescent="0.35">
      <c r="A14" s="41" t="s">
        <v>161</v>
      </c>
      <c r="B14" s="42">
        <v>16</v>
      </c>
      <c r="C14" s="43" t="str">
        <f t="shared" si="0"/>
        <v>+3</v>
      </c>
      <c r="D14" s="44" t="s">
        <v>144</v>
      </c>
      <c r="E14" s="45">
        <f>E12+SUM(Martial!B17:B19)</f>
        <v>17</v>
      </c>
      <c r="F14" s="18"/>
      <c r="G14" s="12"/>
    </row>
    <row r="15" spans="1:7" ht="24.6" thickTop="1" thickBot="1" x14ac:dyDescent="0.35">
      <c r="A15" s="46" t="s">
        <v>18</v>
      </c>
      <c r="B15" s="47"/>
      <c r="C15" s="47"/>
      <c r="D15" s="48"/>
      <c r="E15" s="49"/>
      <c r="F15" s="48"/>
      <c r="G15" s="50"/>
    </row>
    <row r="16" spans="1:7" s="54" customFormat="1" ht="18" thickTop="1" x14ac:dyDescent="0.3">
      <c r="A16" s="51"/>
      <c r="B16" s="52"/>
      <c r="C16" s="52"/>
      <c r="D16" s="52"/>
      <c r="E16" s="52"/>
      <c r="F16" s="52"/>
      <c r="G16" s="53"/>
    </row>
    <row r="17" spans="1:7" s="54" customFormat="1" ht="17.399999999999999" x14ac:dyDescent="0.3">
      <c r="A17" s="55"/>
      <c r="B17" s="56"/>
      <c r="C17" s="56"/>
      <c r="D17" s="56"/>
      <c r="E17" s="56"/>
      <c r="F17" s="56"/>
      <c r="G17" s="57"/>
    </row>
    <row r="18" spans="1:7" s="54" customFormat="1" ht="17.399999999999999" x14ac:dyDescent="0.3">
      <c r="A18" s="55"/>
      <c r="B18" s="56"/>
      <c r="C18" s="56"/>
      <c r="D18" s="56"/>
      <c r="E18" s="56"/>
      <c r="F18" s="56"/>
      <c r="G18" s="57"/>
    </row>
    <row r="19" spans="1:7" s="54" customFormat="1" ht="17.399999999999999" x14ac:dyDescent="0.3">
      <c r="A19" s="55"/>
      <c r="B19" s="56"/>
      <c r="C19" s="56"/>
      <c r="D19" s="56"/>
      <c r="E19" s="56"/>
      <c r="F19" s="56"/>
      <c r="G19" s="57"/>
    </row>
    <row r="20" spans="1:7" s="54" customFormat="1" ht="17.399999999999999" x14ac:dyDescent="0.3">
      <c r="A20" s="55"/>
      <c r="B20" s="56"/>
      <c r="C20" s="56"/>
      <c r="D20" s="56"/>
      <c r="E20" s="56"/>
      <c r="F20" s="56"/>
      <c r="G20" s="57"/>
    </row>
    <row r="21" spans="1:7" s="54" customFormat="1" ht="17.399999999999999" x14ac:dyDescent="0.3">
      <c r="A21" s="55"/>
      <c r="B21" s="56"/>
      <c r="C21" s="56"/>
      <c r="D21" s="56"/>
      <c r="E21" s="56"/>
      <c r="F21" s="56"/>
      <c r="G21" s="57"/>
    </row>
    <row r="22" spans="1:7" s="54" customFormat="1" ht="17.399999999999999" x14ac:dyDescent="0.3">
      <c r="A22" s="55"/>
      <c r="B22" s="56"/>
      <c r="C22" s="56"/>
      <c r="D22" s="56"/>
      <c r="E22" s="56"/>
      <c r="F22" s="56"/>
      <c r="G22" s="57"/>
    </row>
    <row r="23" spans="1:7" s="54" customFormat="1" ht="17.399999999999999" x14ac:dyDescent="0.3">
      <c r="A23" s="55"/>
      <c r="B23" s="56"/>
      <c r="C23" s="56"/>
      <c r="D23" s="56"/>
      <c r="E23" s="56"/>
      <c r="F23" s="56"/>
      <c r="G23" s="57"/>
    </row>
    <row r="24" spans="1:7" ht="17.399999999999999" x14ac:dyDescent="0.3">
      <c r="A24" s="55"/>
      <c r="B24" s="56"/>
      <c r="C24" s="56"/>
      <c r="D24" s="56"/>
      <c r="E24" s="56"/>
      <c r="F24" s="56"/>
      <c r="G24" s="57"/>
    </row>
    <row r="25" spans="1:7" ht="17.399999999999999" x14ac:dyDescent="0.3">
      <c r="A25" s="55"/>
      <c r="B25" s="56"/>
      <c r="C25" s="56"/>
      <c r="D25" s="56"/>
      <c r="E25" s="56"/>
      <c r="F25" s="56"/>
      <c r="G25" s="57"/>
    </row>
    <row r="26" spans="1:7" ht="17.399999999999999" x14ac:dyDescent="0.3">
      <c r="A26" s="55"/>
      <c r="B26" s="56"/>
      <c r="C26" s="56"/>
      <c r="D26" s="56"/>
      <c r="E26" s="56"/>
      <c r="F26" s="56"/>
      <c r="G26" s="57"/>
    </row>
    <row r="27" spans="1:7" ht="17.399999999999999" x14ac:dyDescent="0.3">
      <c r="A27" s="55"/>
      <c r="B27" s="56"/>
      <c r="C27" s="56"/>
      <c r="D27" s="56"/>
      <c r="E27" s="56"/>
      <c r="F27" s="56"/>
      <c r="G27" s="57"/>
    </row>
    <row r="28" spans="1:7" ht="17.399999999999999" x14ac:dyDescent="0.3">
      <c r="A28" s="55"/>
      <c r="B28" s="56"/>
      <c r="C28" s="56"/>
      <c r="D28" s="56"/>
      <c r="E28" s="56"/>
      <c r="F28" s="56"/>
      <c r="G28" s="57"/>
    </row>
    <row r="29" spans="1:7" ht="17.399999999999999" x14ac:dyDescent="0.3">
      <c r="A29" s="55"/>
      <c r="B29" s="56"/>
      <c r="C29" s="56"/>
      <c r="D29" s="56"/>
      <c r="E29" s="56"/>
      <c r="F29" s="56"/>
      <c r="G29" s="57"/>
    </row>
    <row r="30" spans="1:7" ht="17.399999999999999" x14ac:dyDescent="0.3">
      <c r="A30" s="55"/>
      <c r="B30" s="56"/>
      <c r="C30" s="56"/>
      <c r="D30" s="56"/>
      <c r="E30" s="56"/>
      <c r="F30" s="56"/>
      <c r="G30" s="57"/>
    </row>
    <row r="31" spans="1:7" ht="17.399999999999999" x14ac:dyDescent="0.3">
      <c r="A31" s="55"/>
      <c r="B31" s="56"/>
      <c r="C31" s="56"/>
      <c r="D31" s="56"/>
      <c r="E31" s="56"/>
      <c r="F31" s="56"/>
      <c r="G31" s="57"/>
    </row>
    <row r="32" spans="1:7" ht="17.399999999999999" x14ac:dyDescent="0.3">
      <c r="A32" s="55"/>
      <c r="B32" s="56"/>
      <c r="C32" s="56"/>
      <c r="D32" s="56"/>
      <c r="E32" s="56"/>
      <c r="F32" s="56"/>
      <c r="G32" s="57"/>
    </row>
    <row r="33" spans="1:7" ht="17.399999999999999" x14ac:dyDescent="0.3">
      <c r="A33" s="55"/>
      <c r="B33" s="56"/>
      <c r="C33" s="56"/>
      <c r="D33" s="56"/>
      <c r="E33" s="56"/>
      <c r="F33" s="56"/>
      <c r="G33" s="57"/>
    </row>
    <row r="34" spans="1:7" ht="17.399999999999999" x14ac:dyDescent="0.3">
      <c r="A34" s="55"/>
      <c r="B34" s="56"/>
      <c r="C34" s="56"/>
      <c r="D34" s="56"/>
      <c r="E34" s="56"/>
      <c r="F34" s="56"/>
      <c r="G34" s="57"/>
    </row>
    <row r="35" spans="1:7" ht="17.399999999999999" x14ac:dyDescent="0.3">
      <c r="A35" s="55"/>
      <c r="B35" s="56"/>
      <c r="C35" s="56"/>
      <c r="D35" s="56"/>
      <c r="E35" s="56"/>
      <c r="F35" s="56"/>
      <c r="G35" s="57"/>
    </row>
    <row r="36" spans="1:7" ht="17.399999999999999" x14ac:dyDescent="0.3">
      <c r="A36" s="55"/>
      <c r="B36" s="56"/>
      <c r="C36" s="56"/>
      <c r="D36" s="56"/>
      <c r="E36" s="56"/>
      <c r="F36" s="56"/>
      <c r="G36" s="57"/>
    </row>
    <row r="37" spans="1:7" ht="17.399999999999999" x14ac:dyDescent="0.3">
      <c r="A37" s="55"/>
      <c r="B37" s="56"/>
      <c r="C37" s="56"/>
      <c r="D37" s="56"/>
      <c r="E37" s="56"/>
      <c r="F37" s="56"/>
      <c r="G37" s="57"/>
    </row>
    <row r="38" spans="1:7" ht="17.399999999999999" x14ac:dyDescent="0.3">
      <c r="A38" s="55"/>
      <c r="B38" s="56"/>
      <c r="C38" s="56"/>
      <c r="D38" s="56"/>
      <c r="E38" s="56"/>
      <c r="F38" s="56"/>
      <c r="G38" s="57"/>
    </row>
    <row r="39" spans="1:7" ht="17.399999999999999" x14ac:dyDescent="0.3">
      <c r="A39" s="55"/>
      <c r="B39" s="56"/>
      <c r="C39" s="56"/>
      <c r="D39" s="56"/>
      <c r="E39" s="56"/>
      <c r="F39" s="56"/>
      <c r="G39" s="57"/>
    </row>
    <row r="40" spans="1:7" ht="17.399999999999999" x14ac:dyDescent="0.3">
      <c r="A40" s="55"/>
      <c r="B40" s="56"/>
      <c r="C40" s="56"/>
      <c r="D40" s="56"/>
      <c r="E40" s="56"/>
      <c r="F40" s="56"/>
      <c r="G40" s="57"/>
    </row>
    <row r="41" spans="1:7" ht="17.399999999999999" x14ac:dyDescent="0.3">
      <c r="A41" s="55"/>
      <c r="B41" s="56"/>
      <c r="C41" s="56"/>
      <c r="D41" s="56"/>
      <c r="E41" s="56"/>
      <c r="F41" s="56"/>
      <c r="G41" s="57"/>
    </row>
    <row r="42" spans="1:7" ht="17.399999999999999" x14ac:dyDescent="0.3">
      <c r="A42" s="55"/>
      <c r="B42" s="56"/>
      <c r="C42" s="56"/>
      <c r="D42" s="56"/>
      <c r="E42" s="56"/>
      <c r="F42" s="56"/>
      <c r="G42" s="57"/>
    </row>
    <row r="43" spans="1:7" ht="17.399999999999999" x14ac:dyDescent="0.3">
      <c r="A43" s="55"/>
      <c r="B43" s="56"/>
      <c r="C43" s="56"/>
      <c r="D43" s="56"/>
      <c r="E43" s="56"/>
      <c r="F43" s="56"/>
      <c r="G43" s="57"/>
    </row>
    <row r="44" spans="1:7" ht="17.399999999999999" x14ac:dyDescent="0.3">
      <c r="A44" s="55"/>
      <c r="B44" s="56"/>
      <c r="C44" s="56"/>
      <c r="D44" s="56"/>
      <c r="E44" s="56"/>
      <c r="F44" s="56"/>
      <c r="G44" s="57"/>
    </row>
    <row r="45" spans="1:7" ht="17.399999999999999" x14ac:dyDescent="0.3">
      <c r="A45" s="55"/>
      <c r="B45" s="56"/>
      <c r="C45" s="56"/>
      <c r="D45" s="56"/>
      <c r="E45" s="56"/>
      <c r="F45" s="56"/>
      <c r="G45" s="57"/>
    </row>
    <row r="46" spans="1:7" ht="18" thickBot="1" x14ac:dyDescent="0.35">
      <c r="A46" s="58"/>
      <c r="B46" s="59"/>
      <c r="C46" s="59"/>
      <c r="D46" s="59"/>
      <c r="E46" s="59"/>
      <c r="F46" s="59"/>
      <c r="G46" s="60"/>
    </row>
    <row r="47" spans="1:7" ht="16.2" thickTop="1" x14ac:dyDescent="0.3"/>
  </sheetData>
  <phoneticPr fontId="0" type="noConversion"/>
  <conditionalFormatting sqref="E10">
    <cfRule type="cellIs" dxfId="4" priority="1" operator="greaterThan">
      <formula>100</formula>
    </cfRule>
    <cfRule type="cellIs" dxfId="3" priority="2" operator="between">
      <formula>50</formula>
      <formula>100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1" bestFit="1" customWidth="1"/>
    <col min="2" max="2" width="5.8984375" style="61" bestFit="1" customWidth="1"/>
    <col min="3" max="3" width="11.59765625" style="62" hidden="1" customWidth="1"/>
    <col min="4" max="4" width="5.796875" style="62" hidden="1" customWidth="1"/>
    <col min="5" max="5" width="9.19921875" style="62" bestFit="1" customWidth="1"/>
    <col min="6" max="6" width="8.3984375" style="62" customWidth="1"/>
    <col min="7" max="7" width="5.8984375" style="62" bestFit="1" customWidth="1"/>
    <col min="8" max="8" width="4.69921875" style="62" bestFit="1" customWidth="1"/>
    <col min="9" max="9" width="6.8984375" style="62" bestFit="1" customWidth="1"/>
    <col min="10" max="10" width="21.796875" style="61" customWidth="1"/>
    <col min="11" max="16384" width="13" style="7"/>
  </cols>
  <sheetData>
    <row r="1" spans="1:10" ht="24" thickBot="1" x14ac:dyDescent="0.35">
      <c r="A1" s="63" t="s">
        <v>7</v>
      </c>
      <c r="B1" s="64"/>
      <c r="C1" s="64"/>
      <c r="D1" s="64"/>
      <c r="E1" s="64"/>
      <c r="F1" s="64"/>
      <c r="G1" s="64"/>
      <c r="H1" s="64"/>
      <c r="I1" s="64"/>
      <c r="J1" s="64"/>
    </row>
    <row r="2" spans="1:10" s="54" customFormat="1" ht="35.4" thickBot="1" x14ac:dyDescent="0.35">
      <c r="A2" s="65" t="s">
        <v>118</v>
      </c>
      <c r="B2" s="66" t="s">
        <v>23</v>
      </c>
      <c r="C2" s="66" t="s">
        <v>25</v>
      </c>
      <c r="D2" s="66" t="s">
        <v>22</v>
      </c>
      <c r="E2" s="67" t="s">
        <v>50</v>
      </c>
      <c r="F2" s="67" t="s">
        <v>26</v>
      </c>
      <c r="G2" s="66" t="s">
        <v>52</v>
      </c>
      <c r="H2" s="68" t="s">
        <v>117</v>
      </c>
      <c r="I2" s="66" t="s">
        <v>79</v>
      </c>
      <c r="J2" s="69" t="s">
        <v>77</v>
      </c>
    </row>
    <row r="3" spans="1:10" s="54" customFormat="1" ht="17.399999999999999" x14ac:dyDescent="0.3">
      <c r="A3" s="70" t="s">
        <v>55</v>
      </c>
      <c r="B3" s="71">
        <f>4</f>
        <v>4</v>
      </c>
      <c r="C3" s="72" t="s">
        <v>160</v>
      </c>
      <c r="D3" s="73">
        <f>VLOOKUP(C3,'Personal File'!$A$9:$C$14,3,FALSE)</f>
        <v>-2</v>
      </c>
      <c r="E3" s="74" t="str">
        <f t="shared" ref="E3:E41" si="0">CONCATENATE(LEFT(C3,3)," (",D3,")")</f>
        <v>Con (-2)</v>
      </c>
      <c r="F3" s="75">
        <v>1</v>
      </c>
      <c r="G3" s="75">
        <f t="shared" ref="G3:G41" si="1">B3+D3+F3</f>
        <v>3</v>
      </c>
      <c r="H3" s="76">
        <f t="shared" ref="H3:H5" ca="1" si="2">RANDBETWEEN(1,20)</f>
        <v>18</v>
      </c>
      <c r="I3" s="75">
        <f ca="1">SUM(G3:H3)</f>
        <v>21</v>
      </c>
      <c r="J3" s="77"/>
    </row>
    <row r="4" spans="1:10" s="54" customFormat="1" ht="17.399999999999999" x14ac:dyDescent="0.3">
      <c r="A4" s="78" t="s">
        <v>56</v>
      </c>
      <c r="B4" s="71">
        <f>4</f>
        <v>4</v>
      </c>
      <c r="C4" s="79" t="s">
        <v>164</v>
      </c>
      <c r="D4" s="73" t="str">
        <f>VLOOKUP(C4,'Personal File'!$A$9:$C$14,3,FALSE)</f>
        <v>+1</v>
      </c>
      <c r="E4" s="80" t="str">
        <f t="shared" si="0"/>
        <v>Dex (+1)</v>
      </c>
      <c r="F4" s="75">
        <v>1</v>
      </c>
      <c r="G4" s="75">
        <f t="shared" si="1"/>
        <v>6</v>
      </c>
      <c r="H4" s="76">
        <f t="shared" ca="1" si="2"/>
        <v>4</v>
      </c>
      <c r="I4" s="75">
        <f ca="1">SUM(G4:H4)</f>
        <v>10</v>
      </c>
      <c r="J4" s="77"/>
    </row>
    <row r="5" spans="1:10" s="54" customFormat="1" ht="17.399999999999999" x14ac:dyDescent="0.3">
      <c r="A5" s="81" t="s">
        <v>57</v>
      </c>
      <c r="B5" s="82">
        <f>4</f>
        <v>4</v>
      </c>
      <c r="C5" s="83" t="s">
        <v>163</v>
      </c>
      <c r="D5" s="83">
        <f>VLOOKUP(C5,'Personal File'!$A$9:$C$14,3,FALSE)</f>
        <v>-1</v>
      </c>
      <c r="E5" s="84" t="str">
        <f t="shared" si="0"/>
        <v>Wis (-1)</v>
      </c>
      <c r="F5" s="85">
        <v>1</v>
      </c>
      <c r="G5" s="85">
        <f t="shared" si="1"/>
        <v>4</v>
      </c>
      <c r="H5" s="86">
        <f t="shared" ca="1" si="2"/>
        <v>10</v>
      </c>
      <c r="I5" s="85">
        <f ca="1">SUM(G5:H5)</f>
        <v>14</v>
      </c>
      <c r="J5" s="87"/>
    </row>
    <row r="6" spans="1:10" s="94" customFormat="1" ht="17.399999999999999" x14ac:dyDescent="0.3">
      <c r="A6" s="88" t="s">
        <v>27</v>
      </c>
      <c r="B6" s="73">
        <v>0</v>
      </c>
      <c r="C6" s="89" t="s">
        <v>162</v>
      </c>
      <c r="D6" s="90" t="str">
        <f>VLOOKUP(C6,'Personal File'!$A$9:$C$14,3,FALSE)</f>
        <v>+1</v>
      </c>
      <c r="E6" s="91" t="str">
        <f t="shared" si="0"/>
        <v>Int (+1)</v>
      </c>
      <c r="F6" s="92" t="s">
        <v>51</v>
      </c>
      <c r="G6" s="93">
        <f t="shared" si="1"/>
        <v>1</v>
      </c>
      <c r="H6" s="76">
        <f ca="1">RANDBETWEEN(1,20)</f>
        <v>6</v>
      </c>
      <c r="I6" s="93">
        <f t="shared" ref="I6:I41" ca="1" si="3">SUM(G6:H6)</f>
        <v>7</v>
      </c>
      <c r="J6" s="77"/>
    </row>
    <row r="7" spans="1:10" s="98" customFormat="1" ht="17.399999999999999" x14ac:dyDescent="0.3">
      <c r="A7" s="78" t="s">
        <v>28</v>
      </c>
      <c r="B7" s="73">
        <v>0</v>
      </c>
      <c r="C7" s="95" t="s">
        <v>164</v>
      </c>
      <c r="D7" s="96" t="str">
        <f>VLOOKUP(C7,'Personal File'!$A$9:$C$14,3,FALSE)</f>
        <v>+1</v>
      </c>
      <c r="E7" s="97" t="str">
        <f t="shared" si="0"/>
        <v>Dex (+1)</v>
      </c>
      <c r="F7" s="92">
        <f>SUM(Martial!$D$17:$D$19)</f>
        <v>-2</v>
      </c>
      <c r="G7" s="93">
        <f t="shared" si="1"/>
        <v>-1</v>
      </c>
      <c r="H7" s="76">
        <f t="shared" ref="H7:H41" ca="1" si="4">RANDBETWEEN(1,20)</f>
        <v>8</v>
      </c>
      <c r="I7" s="93">
        <f t="shared" ca="1" si="3"/>
        <v>7</v>
      </c>
      <c r="J7" s="77"/>
    </row>
    <row r="8" spans="1:10" s="103" customFormat="1" ht="17.399999999999999" x14ac:dyDescent="0.3">
      <c r="A8" s="99" t="s">
        <v>29</v>
      </c>
      <c r="B8" s="73">
        <v>0</v>
      </c>
      <c r="C8" s="100" t="s">
        <v>161</v>
      </c>
      <c r="D8" s="101" t="str">
        <f>VLOOKUP(C8,'Personal File'!$A$9:$C$14,3,FALSE)</f>
        <v>+3</v>
      </c>
      <c r="E8" s="102" t="str">
        <f t="shared" si="0"/>
        <v>Cha (+3)</v>
      </c>
      <c r="F8" s="93" t="s">
        <v>51</v>
      </c>
      <c r="G8" s="93">
        <f t="shared" si="1"/>
        <v>3</v>
      </c>
      <c r="H8" s="76">
        <f t="shared" ca="1" si="4"/>
        <v>1</v>
      </c>
      <c r="I8" s="93">
        <f t="shared" ca="1" si="3"/>
        <v>4</v>
      </c>
      <c r="J8" s="77"/>
    </row>
    <row r="9" spans="1:10" s="108" customFormat="1" ht="17.399999999999999" x14ac:dyDescent="0.3">
      <c r="A9" s="104" t="s">
        <v>30</v>
      </c>
      <c r="B9" s="73">
        <v>0</v>
      </c>
      <c r="C9" s="105" t="s">
        <v>165</v>
      </c>
      <c r="D9" s="106" t="str">
        <f>VLOOKUP(C9,'Personal File'!$A$9:$C$14,3,FALSE)</f>
        <v>+0</v>
      </c>
      <c r="E9" s="107" t="str">
        <f t="shared" si="0"/>
        <v>Str (+0)</v>
      </c>
      <c r="F9" s="93">
        <f>SUM(Martial!$D$17:$D$19)</f>
        <v>-2</v>
      </c>
      <c r="G9" s="93">
        <f t="shared" si="1"/>
        <v>-2</v>
      </c>
      <c r="H9" s="76">
        <f t="shared" ca="1" si="4"/>
        <v>9</v>
      </c>
      <c r="I9" s="93">
        <f t="shared" ca="1" si="3"/>
        <v>7</v>
      </c>
      <c r="J9" s="77"/>
    </row>
    <row r="10" spans="1:10" s="108" customFormat="1" ht="17.399999999999999" x14ac:dyDescent="0.3">
      <c r="A10" s="109" t="s">
        <v>8</v>
      </c>
      <c r="B10" s="110">
        <v>8</v>
      </c>
      <c r="C10" s="111" t="s">
        <v>160</v>
      </c>
      <c r="D10" s="112">
        <f>VLOOKUP(C10,'Personal File'!$A$9:$C$14,3,FALSE)</f>
        <v>-2</v>
      </c>
      <c r="E10" s="113" t="str">
        <f t="shared" si="0"/>
        <v>Con (-2)</v>
      </c>
      <c r="F10" s="114">
        <f>2+3</f>
        <v>5</v>
      </c>
      <c r="G10" s="115">
        <f t="shared" si="1"/>
        <v>11</v>
      </c>
      <c r="H10" s="76">
        <f t="shared" ca="1" si="4"/>
        <v>18</v>
      </c>
      <c r="I10" s="115">
        <f t="shared" ca="1" si="3"/>
        <v>29</v>
      </c>
      <c r="J10" s="116"/>
    </row>
    <row r="11" spans="1:10" s="94" customFormat="1" ht="17.399999999999999" x14ac:dyDescent="0.3">
      <c r="A11" s="88" t="s">
        <v>159</v>
      </c>
      <c r="B11" s="73">
        <v>1</v>
      </c>
      <c r="C11" s="89" t="s">
        <v>162</v>
      </c>
      <c r="D11" s="90" t="str">
        <f>VLOOKUP(C11,'Personal File'!$A$9:$C$14,3,FALSE)</f>
        <v>+1</v>
      </c>
      <c r="E11" s="91" t="str">
        <f t="shared" si="0"/>
        <v>Int (+1)</v>
      </c>
      <c r="F11" s="93" t="s">
        <v>51</v>
      </c>
      <c r="G11" s="93">
        <f t="shared" si="1"/>
        <v>2</v>
      </c>
      <c r="H11" s="76">
        <f t="shared" ca="1" si="4"/>
        <v>14</v>
      </c>
      <c r="I11" s="93">
        <f t="shared" ca="1" si="3"/>
        <v>16</v>
      </c>
      <c r="J11" s="77"/>
    </row>
    <row r="12" spans="1:10" s="124" customFormat="1" ht="17.399999999999999" x14ac:dyDescent="0.3">
      <c r="A12" s="117" t="s">
        <v>31</v>
      </c>
      <c r="B12" s="118">
        <v>0</v>
      </c>
      <c r="C12" s="119" t="s">
        <v>162</v>
      </c>
      <c r="D12" s="120" t="str">
        <f>VLOOKUP(C12,'Personal File'!$A$9:$C$14,3,FALSE)</f>
        <v>+1</v>
      </c>
      <c r="E12" s="121" t="str">
        <f t="shared" si="0"/>
        <v>Int (+1)</v>
      </c>
      <c r="F12" s="122" t="s">
        <v>51</v>
      </c>
      <c r="G12" s="122">
        <f t="shared" si="1"/>
        <v>1</v>
      </c>
      <c r="H12" s="76">
        <f t="shared" ca="1" si="4"/>
        <v>18</v>
      </c>
      <c r="I12" s="122">
        <f t="shared" ref="I12" ca="1" si="5">SUM(G12:H12)</f>
        <v>19</v>
      </c>
      <c r="J12" s="123"/>
    </row>
    <row r="13" spans="1:10" s="98" customFormat="1" ht="17.399999999999999" x14ac:dyDescent="0.3">
      <c r="A13" s="125" t="s">
        <v>32</v>
      </c>
      <c r="B13" s="126">
        <v>1</v>
      </c>
      <c r="C13" s="127" t="s">
        <v>161</v>
      </c>
      <c r="D13" s="128" t="str">
        <f>VLOOKUP(C13,'Personal File'!$A$9:$C$14,3,FALSE)</f>
        <v>+3</v>
      </c>
      <c r="E13" s="129" t="str">
        <f t="shared" si="0"/>
        <v>Cha (+3)</v>
      </c>
      <c r="F13" s="130" t="s">
        <v>51</v>
      </c>
      <c r="G13" s="130">
        <f t="shared" si="1"/>
        <v>4</v>
      </c>
      <c r="H13" s="76">
        <f t="shared" ca="1" si="4"/>
        <v>9</v>
      </c>
      <c r="I13" s="130">
        <f t="shared" ca="1" si="3"/>
        <v>13</v>
      </c>
      <c r="J13" s="116"/>
    </row>
    <row r="14" spans="1:10" s="98" customFormat="1" ht="17.399999999999999" x14ac:dyDescent="0.3">
      <c r="A14" s="117" t="s">
        <v>33</v>
      </c>
      <c r="B14" s="118">
        <v>0</v>
      </c>
      <c r="C14" s="119" t="s">
        <v>162</v>
      </c>
      <c r="D14" s="120" t="str">
        <f>VLOOKUP(C14,'Personal File'!$A$9:$C$14,3,FALSE)</f>
        <v>+1</v>
      </c>
      <c r="E14" s="121" t="str">
        <f t="shared" si="0"/>
        <v>Int (+1)</v>
      </c>
      <c r="F14" s="122" t="s">
        <v>51</v>
      </c>
      <c r="G14" s="122">
        <f t="shared" si="1"/>
        <v>1</v>
      </c>
      <c r="H14" s="76">
        <f t="shared" ca="1" si="4"/>
        <v>10</v>
      </c>
      <c r="I14" s="122">
        <f t="shared" ref="I14" ca="1" si="6">SUM(G14:H14)</f>
        <v>11</v>
      </c>
      <c r="J14" s="123"/>
    </row>
    <row r="15" spans="1:10" s="98" customFormat="1" ht="17.399999999999999" x14ac:dyDescent="0.3">
      <c r="A15" s="99" t="s">
        <v>34</v>
      </c>
      <c r="B15" s="73">
        <v>0</v>
      </c>
      <c r="C15" s="100" t="s">
        <v>161</v>
      </c>
      <c r="D15" s="101" t="str">
        <f>VLOOKUP(C15,'Personal File'!$A$9:$C$14,3,FALSE)</f>
        <v>+3</v>
      </c>
      <c r="E15" s="102" t="str">
        <f t="shared" si="0"/>
        <v>Cha (+3)</v>
      </c>
      <c r="F15" s="93" t="s">
        <v>51</v>
      </c>
      <c r="G15" s="93">
        <f t="shared" si="1"/>
        <v>3</v>
      </c>
      <c r="H15" s="76">
        <f t="shared" ca="1" si="4"/>
        <v>1</v>
      </c>
      <c r="I15" s="93">
        <f t="shared" ca="1" si="3"/>
        <v>4</v>
      </c>
      <c r="J15" s="77"/>
    </row>
    <row r="16" spans="1:10" s="98" customFormat="1" ht="17.399999999999999" x14ac:dyDescent="0.3">
      <c r="A16" s="78" t="s">
        <v>35</v>
      </c>
      <c r="B16" s="73">
        <v>0</v>
      </c>
      <c r="C16" s="95" t="s">
        <v>164</v>
      </c>
      <c r="D16" s="96" t="str">
        <f>VLOOKUP(C16,'Personal File'!$A$9:$C$14,3,FALSE)</f>
        <v>+1</v>
      </c>
      <c r="E16" s="97" t="str">
        <f t="shared" si="0"/>
        <v>Dex (+1)</v>
      </c>
      <c r="F16" s="92">
        <f>SUM(Martial!$D$17:$D$19)</f>
        <v>-2</v>
      </c>
      <c r="G16" s="93">
        <f t="shared" si="1"/>
        <v>-1</v>
      </c>
      <c r="H16" s="76">
        <f t="shared" ca="1" si="4"/>
        <v>7</v>
      </c>
      <c r="I16" s="93">
        <f t="shared" ca="1" si="3"/>
        <v>6</v>
      </c>
      <c r="J16" s="77"/>
    </row>
    <row r="17" spans="1:10" s="98" customFormat="1" ht="17.399999999999999" x14ac:dyDescent="0.3">
      <c r="A17" s="131" t="s">
        <v>36</v>
      </c>
      <c r="B17" s="132">
        <v>0</v>
      </c>
      <c r="C17" s="133" t="s">
        <v>162</v>
      </c>
      <c r="D17" s="134" t="str">
        <f>VLOOKUP(C17,'Personal File'!$A$9:$C$14,3,FALSE)</f>
        <v>+1</v>
      </c>
      <c r="E17" s="135" t="str">
        <f t="shared" si="0"/>
        <v>Int (+1)</v>
      </c>
      <c r="F17" s="136" t="s">
        <v>51</v>
      </c>
      <c r="G17" s="136">
        <f t="shared" si="1"/>
        <v>1</v>
      </c>
      <c r="H17" s="76">
        <f t="shared" ca="1" si="4"/>
        <v>20</v>
      </c>
      <c r="I17" s="136">
        <f t="shared" ca="1" si="3"/>
        <v>21</v>
      </c>
      <c r="J17" s="137"/>
    </row>
    <row r="18" spans="1:10" s="98" customFormat="1" ht="17.399999999999999" x14ac:dyDescent="0.3">
      <c r="A18" s="99" t="s">
        <v>37</v>
      </c>
      <c r="B18" s="73">
        <v>0</v>
      </c>
      <c r="C18" s="100" t="s">
        <v>161</v>
      </c>
      <c r="D18" s="101" t="str">
        <f>VLOOKUP(C18,'Personal File'!$A$9:$C$14,3,FALSE)</f>
        <v>+3</v>
      </c>
      <c r="E18" s="102" t="str">
        <f t="shared" si="0"/>
        <v>Cha (+3)</v>
      </c>
      <c r="F18" s="93" t="s">
        <v>51</v>
      </c>
      <c r="G18" s="93">
        <f t="shared" si="1"/>
        <v>3</v>
      </c>
      <c r="H18" s="76">
        <f t="shared" ca="1" si="4"/>
        <v>1</v>
      </c>
      <c r="I18" s="93">
        <f t="shared" ca="1" si="3"/>
        <v>4</v>
      </c>
      <c r="J18" s="77"/>
    </row>
    <row r="19" spans="1:10" s="98" customFormat="1" ht="17.399999999999999" x14ac:dyDescent="0.3">
      <c r="A19" s="99" t="s">
        <v>10</v>
      </c>
      <c r="B19" s="73">
        <v>0</v>
      </c>
      <c r="C19" s="100" t="s">
        <v>161</v>
      </c>
      <c r="D19" s="101" t="str">
        <f>VLOOKUP(C19,'Personal File'!$A$9:$C$14,3,FALSE)</f>
        <v>+3</v>
      </c>
      <c r="E19" s="102" t="str">
        <f t="shared" si="0"/>
        <v>Cha (+3)</v>
      </c>
      <c r="F19" s="93" t="s">
        <v>51</v>
      </c>
      <c r="G19" s="93">
        <f t="shared" si="1"/>
        <v>3</v>
      </c>
      <c r="H19" s="76">
        <f t="shared" ca="1" si="4"/>
        <v>14</v>
      </c>
      <c r="I19" s="93">
        <f t="shared" ca="1" si="3"/>
        <v>17</v>
      </c>
      <c r="J19" s="77"/>
    </row>
    <row r="20" spans="1:10" s="98" customFormat="1" ht="17.399999999999999" x14ac:dyDescent="0.3">
      <c r="A20" s="138" t="s">
        <v>38</v>
      </c>
      <c r="B20" s="110">
        <v>1</v>
      </c>
      <c r="C20" s="139" t="s">
        <v>163</v>
      </c>
      <c r="D20" s="140">
        <f>VLOOKUP(C20,'Personal File'!$A$9:$C$14,3,FALSE)</f>
        <v>-1</v>
      </c>
      <c r="E20" s="141" t="str">
        <f t="shared" si="0"/>
        <v>Wis (-1)</v>
      </c>
      <c r="F20" s="130" t="s">
        <v>51</v>
      </c>
      <c r="G20" s="115">
        <f t="shared" si="1"/>
        <v>0</v>
      </c>
      <c r="H20" s="76">
        <f t="shared" ca="1" si="4"/>
        <v>10</v>
      </c>
      <c r="I20" s="115">
        <f t="shared" ca="1" si="3"/>
        <v>10</v>
      </c>
      <c r="J20" s="142"/>
    </row>
    <row r="21" spans="1:10" s="98" customFormat="1" ht="17.399999999999999" x14ac:dyDescent="0.3">
      <c r="A21" s="78" t="s">
        <v>39</v>
      </c>
      <c r="B21" s="73">
        <v>0</v>
      </c>
      <c r="C21" s="95" t="s">
        <v>164</v>
      </c>
      <c r="D21" s="96" t="str">
        <f>VLOOKUP(C21,'Personal File'!$A$9:$C$14,3,FALSE)</f>
        <v>+1</v>
      </c>
      <c r="E21" s="97" t="str">
        <f t="shared" si="0"/>
        <v>Dex (+1)</v>
      </c>
      <c r="F21" s="92">
        <f>SUM(Martial!$D$17:$D$19)</f>
        <v>-2</v>
      </c>
      <c r="G21" s="93">
        <f t="shared" si="1"/>
        <v>-1</v>
      </c>
      <c r="H21" s="76">
        <f t="shared" ca="1" si="4"/>
        <v>5</v>
      </c>
      <c r="I21" s="93">
        <f t="shared" ca="1" si="3"/>
        <v>4</v>
      </c>
      <c r="J21" s="77"/>
    </row>
    <row r="22" spans="1:10" s="98" customFormat="1" ht="17.399999999999999" x14ac:dyDescent="0.3">
      <c r="A22" s="99" t="s">
        <v>40</v>
      </c>
      <c r="B22" s="73">
        <v>0</v>
      </c>
      <c r="C22" s="100" t="s">
        <v>161</v>
      </c>
      <c r="D22" s="101" t="str">
        <f>VLOOKUP(C22,'Personal File'!$A$9:$C$14,3,FALSE)</f>
        <v>+3</v>
      </c>
      <c r="E22" s="102" t="str">
        <f t="shared" si="0"/>
        <v>Cha (+3)</v>
      </c>
      <c r="F22" s="93" t="s">
        <v>51</v>
      </c>
      <c r="G22" s="93">
        <f t="shared" si="1"/>
        <v>3</v>
      </c>
      <c r="H22" s="76">
        <f t="shared" ca="1" si="4"/>
        <v>17</v>
      </c>
      <c r="I22" s="93">
        <f t="shared" ca="1" si="3"/>
        <v>20</v>
      </c>
      <c r="J22" s="77"/>
    </row>
    <row r="23" spans="1:10" s="98" customFormat="1" ht="17.399999999999999" x14ac:dyDescent="0.3">
      <c r="A23" s="104" t="s">
        <v>41</v>
      </c>
      <c r="B23" s="73">
        <v>1</v>
      </c>
      <c r="C23" s="105" t="s">
        <v>165</v>
      </c>
      <c r="D23" s="106" t="str">
        <f>VLOOKUP(C23,'Personal File'!$A$9:$C$14,3,FALSE)</f>
        <v>+0</v>
      </c>
      <c r="E23" s="107" t="str">
        <f t="shared" si="0"/>
        <v>Str (+0)</v>
      </c>
      <c r="F23" s="93">
        <f>SUM(Martial!$D$17:$D$19)</f>
        <v>-2</v>
      </c>
      <c r="G23" s="93">
        <f t="shared" si="1"/>
        <v>-1</v>
      </c>
      <c r="H23" s="76">
        <f t="shared" ca="1" si="4"/>
        <v>17</v>
      </c>
      <c r="I23" s="93">
        <f t="shared" ca="1" si="3"/>
        <v>16</v>
      </c>
      <c r="J23" s="77"/>
    </row>
    <row r="24" spans="1:10" s="98" customFormat="1" ht="17.399999999999999" x14ac:dyDescent="0.3">
      <c r="A24" s="143" t="s">
        <v>127</v>
      </c>
      <c r="B24" s="110">
        <v>8</v>
      </c>
      <c r="C24" s="144" t="s">
        <v>162</v>
      </c>
      <c r="D24" s="145" t="str">
        <f>VLOOKUP(C24,'Personal File'!$A$9:$C$14,3,FALSE)</f>
        <v>+1</v>
      </c>
      <c r="E24" s="146" t="str">
        <f t="shared" si="0"/>
        <v>Int (+1)</v>
      </c>
      <c r="F24" s="130" t="s">
        <v>51</v>
      </c>
      <c r="G24" s="115">
        <f t="shared" si="1"/>
        <v>9</v>
      </c>
      <c r="H24" s="76">
        <f t="shared" ca="1" si="4"/>
        <v>10</v>
      </c>
      <c r="I24" s="115">
        <f t="shared" ca="1" si="3"/>
        <v>19</v>
      </c>
      <c r="J24" s="142"/>
    </row>
    <row r="25" spans="1:10" s="98" customFormat="1" ht="17.399999999999999" x14ac:dyDescent="0.3">
      <c r="A25" s="147" t="s">
        <v>42</v>
      </c>
      <c r="B25" s="73">
        <v>0</v>
      </c>
      <c r="C25" s="148" t="s">
        <v>163</v>
      </c>
      <c r="D25" s="149">
        <f>VLOOKUP(C25,'Personal File'!$A$9:$C$14,3,FALSE)</f>
        <v>-1</v>
      </c>
      <c r="E25" s="150" t="str">
        <f t="shared" si="0"/>
        <v>Wis (-1)</v>
      </c>
      <c r="F25" s="93" t="s">
        <v>51</v>
      </c>
      <c r="G25" s="93">
        <f t="shared" si="1"/>
        <v>-1</v>
      </c>
      <c r="H25" s="76">
        <f t="shared" ca="1" si="4"/>
        <v>2</v>
      </c>
      <c r="I25" s="93">
        <f t="shared" ca="1" si="3"/>
        <v>1</v>
      </c>
      <c r="J25" s="77"/>
    </row>
    <row r="26" spans="1:10" s="98" customFormat="1" ht="17.399999999999999" x14ac:dyDescent="0.3">
      <c r="A26" s="78" t="s">
        <v>11</v>
      </c>
      <c r="B26" s="73">
        <v>0</v>
      </c>
      <c r="C26" s="95" t="s">
        <v>164</v>
      </c>
      <c r="D26" s="96" t="str">
        <f>VLOOKUP(C26,'Personal File'!$A$9:$C$14,3,FALSE)</f>
        <v>+1</v>
      </c>
      <c r="E26" s="97" t="str">
        <f t="shared" si="0"/>
        <v>Dex (+1)</v>
      </c>
      <c r="F26" s="92">
        <f>SUM(Martial!$D$17:$D$19)</f>
        <v>-2</v>
      </c>
      <c r="G26" s="93">
        <f t="shared" si="1"/>
        <v>-1</v>
      </c>
      <c r="H26" s="76">
        <f t="shared" ca="1" si="4"/>
        <v>7</v>
      </c>
      <c r="I26" s="93">
        <f t="shared" ca="1" si="3"/>
        <v>6</v>
      </c>
      <c r="J26" s="77"/>
    </row>
    <row r="27" spans="1:10" s="98" customFormat="1" ht="17.399999999999999" x14ac:dyDescent="0.3">
      <c r="A27" s="151" t="s">
        <v>43</v>
      </c>
      <c r="B27" s="118">
        <v>0</v>
      </c>
      <c r="C27" s="152" t="s">
        <v>164</v>
      </c>
      <c r="D27" s="153" t="str">
        <f>VLOOKUP(C27,'Personal File'!$A$9:$C$14,3,FALSE)</f>
        <v>+1</v>
      </c>
      <c r="E27" s="154" t="str">
        <f t="shared" si="0"/>
        <v>Dex (+1)</v>
      </c>
      <c r="F27" s="122" t="s">
        <v>51</v>
      </c>
      <c r="G27" s="122">
        <f t="shared" si="1"/>
        <v>1</v>
      </c>
      <c r="H27" s="76">
        <f t="shared" ca="1" si="4"/>
        <v>6</v>
      </c>
      <c r="I27" s="122">
        <f t="shared" ca="1" si="3"/>
        <v>7</v>
      </c>
      <c r="J27" s="123"/>
    </row>
    <row r="28" spans="1:10" ht="17.399999999999999" x14ac:dyDescent="0.3">
      <c r="A28" s="125" t="s">
        <v>229</v>
      </c>
      <c r="B28" s="126">
        <v>1</v>
      </c>
      <c r="C28" s="127" t="s">
        <v>161</v>
      </c>
      <c r="D28" s="128" t="str">
        <f>VLOOKUP(C28,'Personal File'!$A$9:$C$14,3,FALSE)</f>
        <v>+3</v>
      </c>
      <c r="E28" s="129" t="str">
        <f t="shared" si="0"/>
        <v>Cha (+3)</v>
      </c>
      <c r="F28" s="130" t="s">
        <v>51</v>
      </c>
      <c r="G28" s="130">
        <f t="shared" si="1"/>
        <v>4</v>
      </c>
      <c r="H28" s="76">
        <f t="shared" ca="1" si="4"/>
        <v>19</v>
      </c>
      <c r="I28" s="130">
        <f t="shared" ca="1" si="3"/>
        <v>23</v>
      </c>
      <c r="J28" s="116"/>
    </row>
    <row r="29" spans="1:10" ht="17.399999999999999" x14ac:dyDescent="0.3">
      <c r="A29" s="125" t="s">
        <v>230</v>
      </c>
      <c r="B29" s="126">
        <v>2</v>
      </c>
      <c r="C29" s="155" t="s">
        <v>163</v>
      </c>
      <c r="D29" s="156">
        <f>VLOOKUP(C29,'Personal File'!$A$9:$C$14,3,FALSE)</f>
        <v>-1</v>
      </c>
      <c r="E29" s="157" t="str">
        <f t="shared" si="0"/>
        <v>Wis (-1)</v>
      </c>
      <c r="F29" s="130" t="s">
        <v>51</v>
      </c>
      <c r="G29" s="158">
        <f t="shared" si="1"/>
        <v>1</v>
      </c>
      <c r="H29" s="76">
        <f t="shared" ca="1" si="4"/>
        <v>19</v>
      </c>
      <c r="I29" s="130">
        <f t="shared" ref="I29" ca="1" si="7">SUM(G29:H29)</f>
        <v>20</v>
      </c>
      <c r="J29" s="116"/>
    </row>
    <row r="30" spans="1:10" ht="17.399999999999999" x14ac:dyDescent="0.3">
      <c r="A30" s="78" t="s">
        <v>12</v>
      </c>
      <c r="B30" s="73">
        <v>0</v>
      </c>
      <c r="C30" s="95" t="s">
        <v>164</v>
      </c>
      <c r="D30" s="96" t="str">
        <f>VLOOKUP(C30,'Personal File'!$A$9:$C$14,3,FALSE)</f>
        <v>+1</v>
      </c>
      <c r="E30" s="97" t="str">
        <f t="shared" si="0"/>
        <v>Dex (+1)</v>
      </c>
      <c r="F30" s="93" t="s">
        <v>51</v>
      </c>
      <c r="G30" s="93">
        <f t="shared" si="1"/>
        <v>1</v>
      </c>
      <c r="H30" s="76">
        <f t="shared" ca="1" si="4"/>
        <v>1</v>
      </c>
      <c r="I30" s="93">
        <f t="shared" ca="1" si="3"/>
        <v>2</v>
      </c>
      <c r="J30" s="77"/>
    </row>
    <row r="31" spans="1:10" ht="17.399999999999999" x14ac:dyDescent="0.3">
      <c r="A31" s="88" t="s">
        <v>13</v>
      </c>
      <c r="B31" s="73">
        <v>0</v>
      </c>
      <c r="C31" s="89" t="s">
        <v>162</v>
      </c>
      <c r="D31" s="90" t="str">
        <f>VLOOKUP(C31,'Personal File'!$A$9:$C$14,3,FALSE)</f>
        <v>+1</v>
      </c>
      <c r="E31" s="91" t="str">
        <f t="shared" si="0"/>
        <v>Int (+1)</v>
      </c>
      <c r="F31" s="93" t="s">
        <v>51</v>
      </c>
      <c r="G31" s="93">
        <f t="shared" si="1"/>
        <v>1</v>
      </c>
      <c r="H31" s="76">
        <f t="shared" ca="1" si="4"/>
        <v>4</v>
      </c>
      <c r="I31" s="93">
        <f t="shared" ca="1" si="3"/>
        <v>5</v>
      </c>
      <c r="J31" s="77"/>
    </row>
    <row r="32" spans="1:10" ht="17.399999999999999" x14ac:dyDescent="0.3">
      <c r="A32" s="147" t="s">
        <v>44</v>
      </c>
      <c r="B32" s="73">
        <v>1</v>
      </c>
      <c r="C32" s="148" t="s">
        <v>163</v>
      </c>
      <c r="D32" s="149">
        <f>VLOOKUP(C32,'Personal File'!$A$9:$C$14,3,FALSE)</f>
        <v>-1</v>
      </c>
      <c r="E32" s="150" t="str">
        <f t="shared" si="0"/>
        <v>Wis (-1)</v>
      </c>
      <c r="F32" s="93" t="s">
        <v>51</v>
      </c>
      <c r="G32" s="93">
        <f t="shared" si="1"/>
        <v>0</v>
      </c>
      <c r="H32" s="76">
        <f t="shared" ca="1" si="4"/>
        <v>19</v>
      </c>
      <c r="I32" s="93">
        <f t="shared" ca="1" si="3"/>
        <v>19</v>
      </c>
      <c r="J32" s="77"/>
    </row>
    <row r="33" spans="1:10" ht="17.399999999999999" x14ac:dyDescent="0.3">
      <c r="A33" s="151" t="s">
        <v>86</v>
      </c>
      <c r="B33" s="118">
        <v>0</v>
      </c>
      <c r="C33" s="152" t="s">
        <v>164</v>
      </c>
      <c r="D33" s="153" t="str">
        <f>VLOOKUP(C33,'Personal File'!$A$9:$C$14,3,FALSE)</f>
        <v>+1</v>
      </c>
      <c r="E33" s="154" t="str">
        <f t="shared" si="0"/>
        <v>Dex (+1)</v>
      </c>
      <c r="F33" s="122">
        <f>SUM(Martial!$D$17:$D$19)</f>
        <v>-2</v>
      </c>
      <c r="G33" s="122">
        <f t="shared" si="1"/>
        <v>-1</v>
      </c>
      <c r="H33" s="76">
        <f t="shared" ca="1" si="4"/>
        <v>4</v>
      </c>
      <c r="I33" s="122">
        <f t="shared" ref="I33:I34" ca="1" si="8">SUM(G33:H33)</f>
        <v>3</v>
      </c>
      <c r="J33" s="123"/>
    </row>
    <row r="34" spans="1:10" ht="17.399999999999999" x14ac:dyDescent="0.3">
      <c r="A34" s="159" t="s">
        <v>83</v>
      </c>
      <c r="B34" s="160">
        <v>0</v>
      </c>
      <c r="C34" s="161" t="s">
        <v>162</v>
      </c>
      <c r="D34" s="162" t="str">
        <f>VLOOKUP(C34,'Personal File'!$A$9:$C$14,3,FALSE)</f>
        <v>+1</v>
      </c>
      <c r="E34" s="163" t="str">
        <f t="shared" si="0"/>
        <v>Int (+1)</v>
      </c>
      <c r="F34" s="164" t="s">
        <v>51</v>
      </c>
      <c r="G34" s="122">
        <f t="shared" si="1"/>
        <v>1</v>
      </c>
      <c r="H34" s="76">
        <f t="shared" ca="1" si="4"/>
        <v>18</v>
      </c>
      <c r="I34" s="122">
        <f t="shared" ca="1" si="8"/>
        <v>19</v>
      </c>
      <c r="J34" s="165"/>
    </row>
    <row r="35" spans="1:10" ht="17.399999999999999" x14ac:dyDescent="0.3">
      <c r="A35" s="166" t="s">
        <v>45</v>
      </c>
      <c r="B35" s="126">
        <v>8</v>
      </c>
      <c r="C35" s="167" t="s">
        <v>162</v>
      </c>
      <c r="D35" s="168" t="str">
        <f>VLOOKUP(C35,'Personal File'!$A$9:$C$14,3,FALSE)</f>
        <v>+1</v>
      </c>
      <c r="E35" s="169" t="str">
        <f t="shared" si="0"/>
        <v>Int (+1)</v>
      </c>
      <c r="F35" s="130" t="s">
        <v>126</v>
      </c>
      <c r="G35" s="130">
        <f t="shared" si="1"/>
        <v>11</v>
      </c>
      <c r="H35" s="76">
        <f t="shared" ca="1" si="4"/>
        <v>7</v>
      </c>
      <c r="I35" s="130">
        <f t="shared" ca="1" si="3"/>
        <v>18</v>
      </c>
      <c r="J35" s="116"/>
    </row>
    <row r="36" spans="1:10" ht="17.399999999999999" x14ac:dyDescent="0.3">
      <c r="A36" s="147" t="s">
        <v>46</v>
      </c>
      <c r="B36" s="73">
        <v>0</v>
      </c>
      <c r="C36" s="148" t="s">
        <v>163</v>
      </c>
      <c r="D36" s="149">
        <f>VLOOKUP(C36,'Personal File'!$A$9:$C$14,3,FALSE)</f>
        <v>-1</v>
      </c>
      <c r="E36" s="150" t="str">
        <f t="shared" si="0"/>
        <v>Wis (-1)</v>
      </c>
      <c r="F36" s="93" t="s">
        <v>51</v>
      </c>
      <c r="G36" s="93">
        <f t="shared" si="1"/>
        <v>-1</v>
      </c>
      <c r="H36" s="76">
        <f t="shared" ca="1" si="4"/>
        <v>12</v>
      </c>
      <c r="I36" s="93">
        <f t="shared" ca="1" si="3"/>
        <v>11</v>
      </c>
      <c r="J36" s="77"/>
    </row>
    <row r="37" spans="1:10" ht="17.399999999999999" x14ac:dyDescent="0.3">
      <c r="A37" s="147" t="s">
        <v>87</v>
      </c>
      <c r="B37" s="73">
        <v>0</v>
      </c>
      <c r="C37" s="148" t="s">
        <v>163</v>
      </c>
      <c r="D37" s="149">
        <f>VLOOKUP(C37,'Personal File'!$A$9:$C$14,3,FALSE)</f>
        <v>-1</v>
      </c>
      <c r="E37" s="150" t="str">
        <f t="shared" si="0"/>
        <v>Wis (-1)</v>
      </c>
      <c r="F37" s="93" t="s">
        <v>51</v>
      </c>
      <c r="G37" s="93">
        <f t="shared" si="1"/>
        <v>-1</v>
      </c>
      <c r="H37" s="76">
        <f t="shared" ca="1" si="4"/>
        <v>3</v>
      </c>
      <c r="I37" s="93">
        <f t="shared" ca="1" si="3"/>
        <v>2</v>
      </c>
      <c r="J37" s="77"/>
    </row>
    <row r="38" spans="1:10" ht="17.399999999999999" x14ac:dyDescent="0.3">
      <c r="A38" s="104" t="s">
        <v>14</v>
      </c>
      <c r="B38" s="73">
        <v>0</v>
      </c>
      <c r="C38" s="105" t="s">
        <v>165</v>
      </c>
      <c r="D38" s="106" t="str">
        <f>VLOOKUP(C38,'Personal File'!$A$9:$C$14,3,FALSE)</f>
        <v>+0</v>
      </c>
      <c r="E38" s="107" t="str">
        <f t="shared" si="0"/>
        <v>Str (+0)</v>
      </c>
      <c r="F38" s="93" t="s">
        <v>51</v>
      </c>
      <c r="G38" s="93">
        <f t="shared" si="1"/>
        <v>0</v>
      </c>
      <c r="H38" s="76">
        <f t="shared" ca="1" si="4"/>
        <v>13</v>
      </c>
      <c r="I38" s="93">
        <f t="shared" ca="1" si="3"/>
        <v>13</v>
      </c>
      <c r="J38" s="77"/>
    </row>
    <row r="39" spans="1:10" ht="17.399999999999999" x14ac:dyDescent="0.3">
      <c r="A39" s="170" t="s">
        <v>47</v>
      </c>
      <c r="B39" s="171">
        <v>0</v>
      </c>
      <c r="C39" s="172" t="s">
        <v>164</v>
      </c>
      <c r="D39" s="173" t="str">
        <f>VLOOKUP(C39,'Personal File'!$A$9:$C$14,3,FALSE)</f>
        <v>+1</v>
      </c>
      <c r="E39" s="174" t="str">
        <f t="shared" si="0"/>
        <v>Dex (+1)</v>
      </c>
      <c r="F39" s="122">
        <f>SUM(Martial!$D$17:$D$19)</f>
        <v>-2</v>
      </c>
      <c r="G39" s="122">
        <f t="shared" si="1"/>
        <v>-1</v>
      </c>
      <c r="H39" s="76">
        <f t="shared" ca="1" si="4"/>
        <v>11</v>
      </c>
      <c r="I39" s="122">
        <f t="shared" ref="I39:I40" ca="1" si="9">SUM(G39:H39)</f>
        <v>10</v>
      </c>
      <c r="J39" s="175"/>
    </row>
    <row r="40" spans="1:10" ht="17.399999999999999" x14ac:dyDescent="0.3">
      <c r="A40" s="176" t="s">
        <v>48</v>
      </c>
      <c r="B40" s="118">
        <v>0</v>
      </c>
      <c r="C40" s="177" t="s">
        <v>161</v>
      </c>
      <c r="D40" s="178" t="str">
        <f>VLOOKUP(C40,'Personal File'!$A$9:$C$14,3,FALSE)</f>
        <v>+3</v>
      </c>
      <c r="E40" s="179" t="str">
        <f t="shared" si="0"/>
        <v>Cha (+3)</v>
      </c>
      <c r="F40" s="122" t="s">
        <v>51</v>
      </c>
      <c r="G40" s="122">
        <f t="shared" si="1"/>
        <v>3</v>
      </c>
      <c r="H40" s="76">
        <f t="shared" ca="1" si="4"/>
        <v>7</v>
      </c>
      <c r="I40" s="122">
        <f t="shared" ca="1" si="9"/>
        <v>10</v>
      </c>
      <c r="J40" s="123"/>
    </row>
    <row r="41" spans="1:10" ht="18" thickBot="1" x14ac:dyDescent="0.35">
      <c r="A41" s="180" t="s">
        <v>49</v>
      </c>
      <c r="B41" s="181">
        <v>0</v>
      </c>
      <c r="C41" s="182" t="s">
        <v>164</v>
      </c>
      <c r="D41" s="183" t="str">
        <f>VLOOKUP(C41,'Personal File'!$A$9:$C$14,3,FALSE)</f>
        <v>+1</v>
      </c>
      <c r="E41" s="184" t="str">
        <f t="shared" si="0"/>
        <v>Dex (+1)</v>
      </c>
      <c r="F41" s="185" t="s">
        <v>51</v>
      </c>
      <c r="G41" s="185">
        <f t="shared" si="1"/>
        <v>1</v>
      </c>
      <c r="H41" s="186">
        <f t="shared" ca="1" si="4"/>
        <v>3</v>
      </c>
      <c r="I41" s="185">
        <f t="shared" ca="1" si="3"/>
        <v>4</v>
      </c>
      <c r="J41" s="187"/>
    </row>
    <row r="42" spans="1:10" ht="16.2" thickTop="1" x14ac:dyDescent="0.3">
      <c r="B42" s="188">
        <f>SUM(B6:B41)</f>
        <v>32</v>
      </c>
      <c r="E42" s="188">
        <f>SUM(E43:E48)</f>
        <v>32</v>
      </c>
      <c r="F42" s="189" t="s">
        <v>52</v>
      </c>
    </row>
    <row r="43" spans="1:10" x14ac:dyDescent="0.3">
      <c r="B43" s="188"/>
      <c r="E43" s="190">
        <f>4*(2+'Personal File'!$C$12)</f>
        <v>12</v>
      </c>
      <c r="F43" s="62" t="s">
        <v>217</v>
      </c>
    </row>
    <row r="44" spans="1:10" x14ac:dyDescent="0.3">
      <c r="E44" s="190">
        <f>2+'Personal File'!$C$12</f>
        <v>3</v>
      </c>
      <c r="F44" s="62" t="s">
        <v>218</v>
      </c>
    </row>
    <row r="45" spans="1:10" x14ac:dyDescent="0.3">
      <c r="E45" s="190">
        <f>2+'Personal File'!$C$12</f>
        <v>3</v>
      </c>
      <c r="F45" s="62" t="s">
        <v>219</v>
      </c>
    </row>
    <row r="46" spans="1:10" x14ac:dyDescent="0.3">
      <c r="E46" s="190">
        <f>2+'Personal File'!$C$12</f>
        <v>3</v>
      </c>
      <c r="F46" s="62" t="s">
        <v>220</v>
      </c>
    </row>
    <row r="47" spans="1:10" x14ac:dyDescent="0.3">
      <c r="E47" s="190">
        <f>2+'Personal File'!$C$12</f>
        <v>3</v>
      </c>
      <c r="F47" s="62" t="s">
        <v>221</v>
      </c>
    </row>
    <row r="48" spans="1:10" x14ac:dyDescent="0.3">
      <c r="E48" s="188">
        <f>3+SUM('Personal File'!$E$3:$E$3)</f>
        <v>8</v>
      </c>
      <c r="F48" s="62" t="s">
        <v>128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2.09765625" style="61" bestFit="1" customWidth="1"/>
    <col min="2" max="2" width="6.19921875" style="61" bestFit="1" customWidth="1"/>
    <col min="3" max="3" width="13.3984375" style="62" bestFit="1" customWidth="1"/>
    <col min="4" max="4" width="12.59765625" style="62" bestFit="1" customWidth="1"/>
    <col min="5" max="5" width="10.59765625" style="62" bestFit="1" customWidth="1"/>
    <col min="6" max="6" width="13" style="62" bestFit="1" customWidth="1"/>
    <col min="7" max="7" width="13.19921875" style="61" bestFit="1" customWidth="1"/>
    <col min="8" max="8" width="23.296875" style="7" bestFit="1" customWidth="1"/>
    <col min="9" max="9" width="5.5" style="7" bestFit="1" customWidth="1"/>
    <col min="10" max="16384" width="13" style="7"/>
  </cols>
  <sheetData>
    <row r="1" spans="1:9" ht="24" thickBot="1" x14ac:dyDescent="0.35">
      <c r="A1" s="191" t="s">
        <v>202</v>
      </c>
      <c r="B1" s="64"/>
      <c r="C1" s="64"/>
      <c r="D1" s="64"/>
      <c r="E1" s="64"/>
      <c r="F1" s="64"/>
      <c r="G1" s="64"/>
      <c r="H1" s="64"/>
    </row>
    <row r="2" spans="1:9" s="54" customFormat="1" ht="17.399999999999999" x14ac:dyDescent="0.3">
      <c r="A2" s="192" t="s">
        <v>68</v>
      </c>
      <c r="B2" s="193" t="s">
        <v>0</v>
      </c>
      <c r="C2" s="193" t="s">
        <v>71</v>
      </c>
      <c r="D2" s="193" t="s">
        <v>90</v>
      </c>
      <c r="E2" s="193" t="s">
        <v>91</v>
      </c>
      <c r="F2" s="193" t="s">
        <v>54</v>
      </c>
      <c r="G2" s="193" t="s">
        <v>17</v>
      </c>
      <c r="H2" s="193" t="s">
        <v>148</v>
      </c>
      <c r="I2" s="194" t="s">
        <v>149</v>
      </c>
    </row>
    <row r="3" spans="1:9" s="54" customFormat="1" ht="17.399999999999999" x14ac:dyDescent="0.3">
      <c r="A3" s="195" t="s">
        <v>101</v>
      </c>
      <c r="B3" s="196">
        <v>0</v>
      </c>
      <c r="C3" s="197" t="s">
        <v>66</v>
      </c>
      <c r="D3" s="198" t="s">
        <v>92</v>
      </c>
      <c r="E3" s="199" t="s">
        <v>93</v>
      </c>
      <c r="F3" s="200" t="s">
        <v>59</v>
      </c>
      <c r="G3" s="200" t="s">
        <v>63</v>
      </c>
      <c r="H3" s="200" t="s">
        <v>146</v>
      </c>
      <c r="I3" s="201">
        <v>216</v>
      </c>
    </row>
    <row r="4" spans="1:9" s="54" customFormat="1" ht="17.399999999999999" x14ac:dyDescent="0.3">
      <c r="A4" s="195" t="s">
        <v>125</v>
      </c>
      <c r="B4" s="196">
        <v>0</v>
      </c>
      <c r="C4" s="197" t="s">
        <v>66</v>
      </c>
      <c r="D4" s="198" t="s">
        <v>92</v>
      </c>
      <c r="E4" s="199" t="s">
        <v>93</v>
      </c>
      <c r="F4" s="200" t="s">
        <v>121</v>
      </c>
      <c r="G4" s="200" t="s">
        <v>67</v>
      </c>
      <c r="H4" s="200" t="s">
        <v>147</v>
      </c>
      <c r="I4" s="201">
        <v>128</v>
      </c>
    </row>
    <row r="5" spans="1:9" s="54" customFormat="1" ht="17.399999999999999" x14ac:dyDescent="0.3">
      <c r="A5" s="195" t="s">
        <v>103</v>
      </c>
      <c r="B5" s="196">
        <v>0</v>
      </c>
      <c r="C5" s="197" t="s">
        <v>84</v>
      </c>
      <c r="D5" s="198" t="s">
        <v>92</v>
      </c>
      <c r="E5" s="199" t="s">
        <v>93</v>
      </c>
      <c r="F5" s="200" t="s">
        <v>59</v>
      </c>
      <c r="G5" s="200" t="s">
        <v>60</v>
      </c>
      <c r="H5" s="200" t="s">
        <v>146</v>
      </c>
      <c r="I5" s="77">
        <v>238</v>
      </c>
    </row>
    <row r="6" spans="1:9" s="54" customFormat="1" ht="17.399999999999999" x14ac:dyDescent="0.3">
      <c r="A6" s="195" t="s">
        <v>151</v>
      </c>
      <c r="B6" s="196">
        <v>0</v>
      </c>
      <c r="C6" s="202" t="s">
        <v>120</v>
      </c>
      <c r="D6" s="203" t="s">
        <v>92</v>
      </c>
      <c r="E6" s="204" t="s">
        <v>93</v>
      </c>
      <c r="F6" s="204" t="s">
        <v>82</v>
      </c>
      <c r="G6" s="204" t="s">
        <v>65</v>
      </c>
      <c r="H6" s="204" t="s">
        <v>145</v>
      </c>
      <c r="I6" s="205">
        <v>9</v>
      </c>
    </row>
    <row r="7" spans="1:9" s="54" customFormat="1" ht="17.399999999999999" x14ac:dyDescent="0.3">
      <c r="A7" s="195" t="s">
        <v>102</v>
      </c>
      <c r="B7" s="196">
        <v>0</v>
      </c>
      <c r="C7" s="206" t="s">
        <v>61</v>
      </c>
      <c r="D7" s="198" t="s">
        <v>92</v>
      </c>
      <c r="E7" s="200" t="s">
        <v>93</v>
      </c>
      <c r="F7" s="200" t="s">
        <v>72</v>
      </c>
      <c r="G7" s="200" t="s">
        <v>62</v>
      </c>
      <c r="H7" s="200" t="s">
        <v>146</v>
      </c>
      <c r="I7" s="201">
        <v>219</v>
      </c>
    </row>
    <row r="8" spans="1:9" s="54" customFormat="1" ht="17.399999999999999" x14ac:dyDescent="0.3">
      <c r="A8" s="207" t="s">
        <v>104</v>
      </c>
      <c r="B8" s="208">
        <v>0</v>
      </c>
      <c r="C8" s="209" t="s">
        <v>61</v>
      </c>
      <c r="D8" s="210" t="s">
        <v>100</v>
      </c>
      <c r="E8" s="211" t="s">
        <v>93</v>
      </c>
      <c r="F8" s="212" t="s">
        <v>64</v>
      </c>
      <c r="G8" s="212" t="s">
        <v>65</v>
      </c>
      <c r="H8" s="212" t="s">
        <v>146</v>
      </c>
      <c r="I8" s="213">
        <v>269</v>
      </c>
    </row>
    <row r="9" spans="1:9" ht="17.399999999999999" x14ac:dyDescent="0.3">
      <c r="A9" s="195" t="s">
        <v>150</v>
      </c>
      <c r="B9" s="196">
        <v>1</v>
      </c>
      <c r="C9" s="197" t="s">
        <v>84</v>
      </c>
      <c r="D9" s="198" t="s">
        <v>97</v>
      </c>
      <c r="E9" s="199" t="s">
        <v>93</v>
      </c>
      <c r="F9" s="200" t="s">
        <v>64</v>
      </c>
      <c r="G9" s="200" t="s">
        <v>65</v>
      </c>
      <c r="H9" s="200" t="s">
        <v>146</v>
      </c>
      <c r="I9" s="201">
        <v>212</v>
      </c>
    </row>
    <row r="10" spans="1:9" ht="17.399999999999999" x14ac:dyDescent="0.3">
      <c r="A10" s="195" t="s">
        <v>233</v>
      </c>
      <c r="B10" s="196">
        <v>1</v>
      </c>
      <c r="C10" s="197" t="s">
        <v>234</v>
      </c>
      <c r="D10" s="198" t="s">
        <v>96</v>
      </c>
      <c r="E10" s="198" t="s">
        <v>93</v>
      </c>
      <c r="F10" s="200" t="s">
        <v>59</v>
      </c>
      <c r="G10" s="200" t="s">
        <v>65</v>
      </c>
      <c r="H10" s="200" t="s">
        <v>145</v>
      </c>
      <c r="I10" s="214">
        <v>52</v>
      </c>
    </row>
    <row r="11" spans="1:9" ht="17.399999999999999" x14ac:dyDescent="0.3">
      <c r="A11" s="195" t="s">
        <v>122</v>
      </c>
      <c r="B11" s="196">
        <v>1</v>
      </c>
      <c r="C11" s="197" t="s">
        <v>84</v>
      </c>
      <c r="D11" s="198" t="s">
        <v>97</v>
      </c>
      <c r="E11" s="199" t="s">
        <v>93</v>
      </c>
      <c r="F11" s="200" t="s">
        <v>152</v>
      </c>
      <c r="G11" s="200" t="s">
        <v>63</v>
      </c>
      <c r="H11" s="200" t="s">
        <v>146</v>
      </c>
      <c r="I11" s="201">
        <v>220</v>
      </c>
    </row>
    <row r="12" spans="1:9" ht="17.399999999999999" x14ac:dyDescent="0.3">
      <c r="A12" s="195" t="s">
        <v>244</v>
      </c>
      <c r="B12" s="196">
        <v>1</v>
      </c>
      <c r="C12" s="197" t="s">
        <v>234</v>
      </c>
      <c r="D12" s="198" t="s">
        <v>96</v>
      </c>
      <c r="E12" s="199" t="s">
        <v>93</v>
      </c>
      <c r="F12" s="200" t="s">
        <v>59</v>
      </c>
      <c r="G12" s="200" t="s">
        <v>62</v>
      </c>
      <c r="H12" s="200" t="s">
        <v>146</v>
      </c>
      <c r="I12" s="215">
        <v>278</v>
      </c>
    </row>
    <row r="13" spans="1:9" ht="17.399999999999999" x14ac:dyDescent="0.3">
      <c r="A13" s="207" t="s">
        <v>85</v>
      </c>
      <c r="B13" s="208">
        <v>1</v>
      </c>
      <c r="C13" s="209" t="s">
        <v>120</v>
      </c>
      <c r="D13" s="216" t="s">
        <v>96</v>
      </c>
      <c r="E13" s="217" t="s">
        <v>93</v>
      </c>
      <c r="F13" s="217" t="s">
        <v>64</v>
      </c>
      <c r="G13" s="217" t="s">
        <v>94</v>
      </c>
      <c r="H13" s="217" t="s">
        <v>146</v>
      </c>
      <c r="I13" s="213">
        <v>249</v>
      </c>
    </row>
    <row r="14" spans="1:9" ht="17.399999999999999" x14ac:dyDescent="0.3">
      <c r="A14" s="195" t="s">
        <v>204</v>
      </c>
      <c r="B14" s="196">
        <v>2</v>
      </c>
      <c r="C14" s="197" t="s">
        <v>84</v>
      </c>
      <c r="D14" s="198" t="s">
        <v>123</v>
      </c>
      <c r="E14" s="199" t="s">
        <v>93</v>
      </c>
      <c r="F14" s="200" t="s">
        <v>72</v>
      </c>
      <c r="G14" s="200" t="s">
        <v>62</v>
      </c>
      <c r="H14" s="200" t="s">
        <v>146</v>
      </c>
      <c r="I14" s="205">
        <v>220</v>
      </c>
    </row>
    <row r="15" spans="1:9" ht="17.399999999999999" x14ac:dyDescent="0.3">
      <c r="A15" s="195" t="s">
        <v>238</v>
      </c>
      <c r="B15" s="196">
        <v>2</v>
      </c>
      <c r="C15" s="197" t="s">
        <v>239</v>
      </c>
      <c r="D15" s="198" t="s">
        <v>95</v>
      </c>
      <c r="E15" s="199" t="s">
        <v>93</v>
      </c>
      <c r="F15" s="200" t="s">
        <v>98</v>
      </c>
      <c r="G15" s="200" t="s">
        <v>67</v>
      </c>
      <c r="H15" s="200" t="s">
        <v>146</v>
      </c>
      <c r="I15" s="205">
        <v>283</v>
      </c>
    </row>
    <row r="16" spans="1:9" ht="18" thickBot="1" x14ac:dyDescent="0.35">
      <c r="A16" s="218" t="s">
        <v>124</v>
      </c>
      <c r="B16" s="219">
        <v>2</v>
      </c>
      <c r="C16" s="220" t="s">
        <v>84</v>
      </c>
      <c r="D16" s="221" t="s">
        <v>92</v>
      </c>
      <c r="E16" s="222" t="s">
        <v>93</v>
      </c>
      <c r="F16" s="223" t="s">
        <v>98</v>
      </c>
      <c r="G16" s="223" t="s">
        <v>62</v>
      </c>
      <c r="H16" s="223" t="s">
        <v>146</v>
      </c>
      <c r="I16" s="224">
        <v>230</v>
      </c>
    </row>
    <row r="17" ht="16.2" thickTop="1" x14ac:dyDescent="0.3"/>
  </sheetData>
  <sortState xmlns:xlrd2="http://schemas.microsoft.com/office/spreadsheetml/2017/richdata2" ref="A3:I16">
    <sortCondition ref="B3:B16"/>
    <sortCondition ref="C3:C16"/>
    <sortCondition ref="A3:A1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
  <sheetViews>
    <sheetView showGridLines="0" workbookViewId="0"/>
  </sheetViews>
  <sheetFormatPr defaultColWidth="13" defaultRowHeight="17.399999999999999" x14ac:dyDescent="0.3"/>
  <cols>
    <col min="1" max="1" width="32.69921875" style="18" bestFit="1" customWidth="1"/>
    <col min="2" max="2" width="2.3984375" style="10" customWidth="1"/>
    <col min="3" max="3" width="33.5" style="56" bestFit="1" customWidth="1"/>
    <col min="4" max="4" width="2.3984375" style="56" customWidth="1"/>
    <col min="5" max="5" width="14.59765625" style="56" bestFit="1" customWidth="1"/>
    <col min="6" max="6" width="3.59765625" style="56" bestFit="1" customWidth="1"/>
    <col min="7" max="7" width="3.3984375" style="56" bestFit="1" customWidth="1"/>
    <col min="8" max="8" width="3.8984375" style="56" bestFit="1" customWidth="1"/>
    <col min="9" max="9" width="3.69921875" style="56" bestFit="1" customWidth="1"/>
    <col min="10" max="13" width="3.59765625" style="56" bestFit="1" customWidth="1"/>
    <col min="14" max="16384" width="13" style="56"/>
  </cols>
  <sheetData>
    <row r="1" spans="1:13" ht="24.6" thickTop="1" thickBot="1" x14ac:dyDescent="0.35">
      <c r="A1" s="225" t="s">
        <v>116</v>
      </c>
      <c r="B1" s="56"/>
      <c r="C1" s="226" t="s">
        <v>240</v>
      </c>
      <c r="E1" s="227"/>
      <c r="F1" s="228" t="s">
        <v>111</v>
      </c>
      <c r="G1" s="229"/>
      <c r="H1" s="229"/>
      <c r="I1" s="230"/>
      <c r="J1" s="229"/>
      <c r="K1" s="229"/>
      <c r="L1" s="229"/>
      <c r="M1" s="230"/>
    </row>
    <row r="2" spans="1:13" ht="18" thickTop="1" x14ac:dyDescent="0.3">
      <c r="A2" s="231" t="s">
        <v>243</v>
      </c>
      <c r="B2" s="56"/>
      <c r="C2" s="232" t="s">
        <v>241</v>
      </c>
      <c r="E2" s="7"/>
      <c r="F2" s="233" t="s">
        <v>112</v>
      </c>
      <c r="G2" s="234"/>
      <c r="H2" s="234"/>
      <c r="I2" s="234"/>
      <c r="J2" s="234"/>
      <c r="K2" s="234"/>
      <c r="L2" s="234"/>
      <c r="M2" s="235"/>
    </row>
    <row r="3" spans="1:13" ht="18" thickBot="1" x14ac:dyDescent="0.35">
      <c r="A3" s="236" t="s">
        <v>227</v>
      </c>
      <c r="B3" s="56"/>
      <c r="C3" s="237" t="s">
        <v>242</v>
      </c>
      <c r="E3" s="7"/>
      <c r="F3" s="238" t="s">
        <v>113</v>
      </c>
      <c r="G3" s="239" t="s">
        <v>105</v>
      </c>
      <c r="H3" s="239" t="s">
        <v>106</v>
      </c>
      <c r="I3" s="239" t="s">
        <v>107</v>
      </c>
      <c r="J3" s="239" t="s">
        <v>108</v>
      </c>
      <c r="K3" s="239" t="s">
        <v>109</v>
      </c>
      <c r="L3" s="239" t="s">
        <v>110</v>
      </c>
      <c r="M3" s="240" t="s">
        <v>114</v>
      </c>
    </row>
    <row r="4" spans="1:13" ht="18.600000000000001" thickTop="1" thickBot="1" x14ac:dyDescent="0.35">
      <c r="A4" s="236" t="s">
        <v>235</v>
      </c>
      <c r="B4" s="56"/>
      <c r="E4" s="241" t="s">
        <v>225</v>
      </c>
      <c r="F4" s="242">
        <v>6</v>
      </c>
      <c r="G4" s="243">
        <v>5</v>
      </c>
      <c r="H4" s="243">
        <v>3</v>
      </c>
      <c r="I4" s="244">
        <v>0</v>
      </c>
      <c r="J4" s="244">
        <v>0</v>
      </c>
      <c r="K4" s="244">
        <v>0</v>
      </c>
      <c r="L4" s="244">
        <v>0</v>
      </c>
      <c r="M4" s="245">
        <v>0</v>
      </c>
    </row>
    <row r="5" spans="1:13" ht="24.6" thickTop="1" thickBot="1" x14ac:dyDescent="0.35">
      <c r="A5" s="246" t="s">
        <v>228</v>
      </c>
      <c r="B5" s="56"/>
      <c r="C5" s="247" t="s">
        <v>70</v>
      </c>
      <c r="E5" s="248" t="s">
        <v>226</v>
      </c>
      <c r="F5" s="249">
        <v>0</v>
      </c>
      <c r="G5" s="250">
        <v>1</v>
      </c>
      <c r="H5" s="250">
        <v>1</v>
      </c>
      <c r="I5" s="251">
        <v>0</v>
      </c>
      <c r="J5" s="251">
        <v>0</v>
      </c>
      <c r="K5" s="251">
        <v>0</v>
      </c>
      <c r="L5" s="251">
        <v>0</v>
      </c>
      <c r="M5" s="252">
        <v>0</v>
      </c>
    </row>
    <row r="6" spans="1:13" ht="18.600000000000001" thickTop="1" thickBot="1" x14ac:dyDescent="0.35">
      <c r="B6" s="56"/>
      <c r="C6" s="253" t="s">
        <v>245</v>
      </c>
      <c r="E6" s="254" t="s">
        <v>115</v>
      </c>
      <c r="F6" s="255">
        <f>SUM(F4:F5)</f>
        <v>6</v>
      </c>
      <c r="G6" s="256">
        <f>SUM(G4:G5)</f>
        <v>6</v>
      </c>
      <c r="H6" s="256">
        <f>SUM(H4:H5)</f>
        <v>4</v>
      </c>
      <c r="I6" s="256">
        <v>0</v>
      </c>
      <c r="J6" s="256">
        <v>0</v>
      </c>
      <c r="K6" s="256">
        <v>0</v>
      </c>
      <c r="L6" s="256">
        <v>0</v>
      </c>
      <c r="M6" s="257">
        <v>0</v>
      </c>
    </row>
    <row r="7" spans="1:13" ht="24.6" thickTop="1" thickBot="1" x14ac:dyDescent="0.35">
      <c r="A7" s="258" t="s">
        <v>88</v>
      </c>
      <c r="B7" s="56"/>
      <c r="C7" s="259" t="s">
        <v>246</v>
      </c>
      <c r="E7" s="260" t="s">
        <v>69</v>
      </c>
      <c r="F7" s="261">
        <v>0</v>
      </c>
      <c r="G7" s="262">
        <v>3</v>
      </c>
      <c r="H7" s="262">
        <v>1</v>
      </c>
      <c r="I7" s="263" t="s">
        <v>134</v>
      </c>
      <c r="J7" s="263" t="s">
        <v>134</v>
      </c>
      <c r="K7" s="263" t="s">
        <v>134</v>
      </c>
      <c r="L7" s="263" t="s">
        <v>134</v>
      </c>
      <c r="M7" s="264" t="s">
        <v>134</v>
      </c>
    </row>
    <row r="8" spans="1:13" x14ac:dyDescent="0.3">
      <c r="A8" s="265" t="s">
        <v>187</v>
      </c>
      <c r="B8" s="56"/>
    </row>
    <row r="9" spans="1:13" ht="18" thickBot="1" x14ac:dyDescent="0.35">
      <c r="A9" s="266" t="s">
        <v>188</v>
      </c>
      <c r="B9" s="56"/>
    </row>
    <row r="10" spans="1:13" ht="18" thickTop="1" x14ac:dyDescent="0.3">
      <c r="B10" s="56"/>
    </row>
    <row r="11" spans="1:13" x14ac:dyDescent="0.3">
      <c r="B11" s="56"/>
    </row>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3"/>
  <sheetViews>
    <sheetView showGridLines="0" workbookViewId="0"/>
  </sheetViews>
  <sheetFormatPr defaultColWidth="13" defaultRowHeight="15.6" x14ac:dyDescent="0.3"/>
  <cols>
    <col min="1" max="1" width="30.69921875" style="309" bestFit="1" customWidth="1"/>
    <col min="2" max="2" width="8.5" style="309" bestFit="1" customWidth="1"/>
    <col min="3" max="3" width="11.5" style="309" bestFit="1" customWidth="1"/>
    <col min="4" max="4" width="6.296875" style="309" bestFit="1" customWidth="1"/>
    <col min="5" max="5" width="8.5" style="309" bestFit="1" customWidth="1"/>
    <col min="6" max="6" width="8.3984375" style="309" bestFit="1" customWidth="1"/>
    <col min="7" max="7" width="6.09765625" style="309" bestFit="1" customWidth="1"/>
    <col min="8" max="8" width="8.796875" style="309" bestFit="1" customWidth="1"/>
    <col min="9" max="9" width="6" style="309" customWidth="1"/>
    <col min="10" max="10" width="6.296875" style="309" bestFit="1" customWidth="1"/>
    <col min="11" max="11" width="20.5" style="309" bestFit="1" customWidth="1"/>
    <col min="12" max="12" width="1.3984375" style="7" customWidth="1"/>
    <col min="13" max="13" width="7.09765625" style="7" bestFit="1" customWidth="1"/>
    <col min="14" max="16384" width="13" style="7"/>
  </cols>
  <sheetData>
    <row r="1" spans="1:13" ht="24" thickBot="1" x14ac:dyDescent="0.35">
      <c r="A1" s="267" t="s">
        <v>15</v>
      </c>
      <c r="B1" s="267"/>
      <c r="C1" s="267"/>
      <c r="D1" s="267"/>
      <c r="E1" s="267"/>
      <c r="F1" s="267"/>
      <c r="G1" s="267"/>
      <c r="H1" s="267"/>
      <c r="I1" s="267"/>
      <c r="J1" s="267"/>
      <c r="K1" s="267"/>
    </row>
    <row r="2" spans="1:13" ht="16.8" thickTop="1" thickBot="1" x14ac:dyDescent="0.35">
      <c r="A2" s="268" t="s">
        <v>1</v>
      </c>
      <c r="B2" s="269" t="s">
        <v>2</v>
      </c>
      <c r="C2" s="269" t="s">
        <v>19</v>
      </c>
      <c r="D2" s="269" t="s">
        <v>20</v>
      </c>
      <c r="E2" s="270" t="s">
        <v>53</v>
      </c>
      <c r="F2" s="269" t="s">
        <v>16</v>
      </c>
      <c r="G2" s="269" t="s">
        <v>21</v>
      </c>
      <c r="H2" s="271" t="s">
        <v>89</v>
      </c>
      <c r="I2" s="272" t="s">
        <v>117</v>
      </c>
      <c r="J2" s="271" t="s">
        <v>79</v>
      </c>
      <c r="K2" s="273" t="s">
        <v>77</v>
      </c>
      <c r="M2" s="274" t="s">
        <v>129</v>
      </c>
    </row>
    <row r="3" spans="1:13" x14ac:dyDescent="0.3">
      <c r="A3" s="275" t="s">
        <v>236</v>
      </c>
      <c r="B3" s="276" t="s">
        <v>203</v>
      </c>
      <c r="C3" s="276" t="str">
        <f>'Personal File'!$C$9</f>
        <v>+0</v>
      </c>
      <c r="D3" s="276">
        <v>1</v>
      </c>
      <c r="E3" s="277" t="s">
        <v>211</v>
      </c>
      <c r="F3" s="276" t="s">
        <v>210</v>
      </c>
      <c r="G3" s="278">
        <v>8</v>
      </c>
      <c r="H3" s="279" t="str">
        <f>CONCATENATE("+",'Personal File'!$B$7+'Personal File'!$C$9+D3+1)</f>
        <v>+5</v>
      </c>
      <c r="I3" s="280">
        <f t="shared" ref="I3:I6" ca="1" si="0">RANDBETWEEN(1,20)</f>
        <v>15</v>
      </c>
      <c r="J3" s="281">
        <f t="shared" ref="J3" ca="1" si="1">I3+H3</f>
        <v>20</v>
      </c>
      <c r="K3" s="282" t="s">
        <v>237</v>
      </c>
      <c r="M3" s="283">
        <v>300</v>
      </c>
    </row>
    <row r="4" spans="1:13" x14ac:dyDescent="0.3">
      <c r="A4" s="284" t="s">
        <v>138</v>
      </c>
      <c r="B4" s="276" t="s">
        <v>139</v>
      </c>
      <c r="C4" s="285" t="str">
        <f>'Personal File'!$C$9</f>
        <v>+0</v>
      </c>
      <c r="D4" s="286" t="s">
        <v>51</v>
      </c>
      <c r="E4" s="286" t="s">
        <v>135</v>
      </c>
      <c r="F4" s="287" t="s">
        <v>140</v>
      </c>
      <c r="G4" s="278">
        <v>0</v>
      </c>
      <c r="H4" s="278" t="str">
        <f>CONCATENATE("+",'Personal File'!$B$7+'Personal File'!$C$9+D4)</f>
        <v>+3</v>
      </c>
      <c r="I4" s="288">
        <f t="shared" ca="1" si="0"/>
        <v>7</v>
      </c>
      <c r="J4" s="289">
        <f t="shared" ref="J4:J6" ca="1" si="2">I4+H4</f>
        <v>10</v>
      </c>
      <c r="K4" s="290"/>
      <c r="M4" s="291" t="s">
        <v>134</v>
      </c>
    </row>
    <row r="5" spans="1:13" x14ac:dyDescent="0.3">
      <c r="A5" s="292" t="s">
        <v>158</v>
      </c>
      <c r="B5" s="293" t="s">
        <v>139</v>
      </c>
      <c r="C5" s="294" t="str">
        <f>'Personal File'!$C$9</f>
        <v>+0</v>
      </c>
      <c r="D5" s="295" t="s">
        <v>51</v>
      </c>
      <c r="E5" s="295" t="s">
        <v>135</v>
      </c>
      <c r="F5" s="296" t="s">
        <v>140</v>
      </c>
      <c r="G5" s="297" t="s">
        <v>134</v>
      </c>
      <c r="H5" s="293" t="str">
        <f>CONCATENATE("+",'Personal File'!$B$7+'Personal File'!$C$9+D5-5)</f>
        <v>+-2</v>
      </c>
      <c r="I5" s="298">
        <f t="shared" ca="1" si="0"/>
        <v>18</v>
      </c>
      <c r="J5" s="299"/>
      <c r="K5" s="300" t="s">
        <v>214</v>
      </c>
      <c r="M5" s="291" t="s">
        <v>134</v>
      </c>
    </row>
    <row r="6" spans="1:13" ht="16.2" thickBot="1" x14ac:dyDescent="0.35">
      <c r="A6" s="301" t="s">
        <v>205</v>
      </c>
      <c r="B6" s="302" t="s">
        <v>130</v>
      </c>
      <c r="C6" s="302">
        <f>ROUNDDOWN(SUM('Personal File'!$E$3:$E$3)/3,0)</f>
        <v>1</v>
      </c>
      <c r="D6" s="302">
        <v>0</v>
      </c>
      <c r="E6" s="303" t="s">
        <v>211</v>
      </c>
      <c r="F6" s="302" t="s">
        <v>210</v>
      </c>
      <c r="G6" s="304" t="s">
        <v>134</v>
      </c>
      <c r="H6" s="302" t="str">
        <f>CONCATENATE("+",'Personal File'!$B$7+'Personal File'!$C$13+D6+1)</f>
        <v>+3</v>
      </c>
      <c r="I6" s="305">
        <f t="shared" ca="1" si="0"/>
        <v>5</v>
      </c>
      <c r="J6" s="306">
        <f t="shared" ca="1" si="2"/>
        <v>8</v>
      </c>
      <c r="K6" s="307" t="s">
        <v>237</v>
      </c>
      <c r="M6" s="308" t="s">
        <v>134</v>
      </c>
    </row>
    <row r="7" spans="1:13" ht="16.8" thickTop="1" thickBot="1" x14ac:dyDescent="0.35"/>
    <row r="8" spans="1:13" ht="16.8" thickTop="1" thickBot="1" x14ac:dyDescent="0.35">
      <c r="A8" s="268" t="s">
        <v>4</v>
      </c>
      <c r="B8" s="269" t="s">
        <v>5</v>
      </c>
      <c r="C8" s="269" t="s">
        <v>19</v>
      </c>
      <c r="D8" s="269" t="s">
        <v>20</v>
      </c>
      <c r="E8" s="270" t="s">
        <v>53</v>
      </c>
      <c r="F8" s="269" t="s">
        <v>6</v>
      </c>
      <c r="G8" s="269" t="s">
        <v>21</v>
      </c>
      <c r="H8" s="271" t="s">
        <v>89</v>
      </c>
      <c r="I8" s="272" t="s">
        <v>117</v>
      </c>
      <c r="J8" s="271" t="s">
        <v>79</v>
      </c>
      <c r="K8" s="273" t="s">
        <v>77</v>
      </c>
      <c r="M8" s="274" t="s">
        <v>129</v>
      </c>
    </row>
    <row r="9" spans="1:13" x14ac:dyDescent="0.3">
      <c r="A9" s="310" t="s">
        <v>153</v>
      </c>
      <c r="B9" s="311" t="s">
        <v>134</v>
      </c>
      <c r="C9" s="311" t="s">
        <v>134</v>
      </c>
      <c r="D9" s="311">
        <v>0</v>
      </c>
      <c r="E9" s="312" t="s">
        <v>134</v>
      </c>
      <c r="F9" s="311" t="s">
        <v>134</v>
      </c>
      <c r="G9" s="311" t="s">
        <v>134</v>
      </c>
      <c r="H9" s="311" t="str">
        <f>CONCATENATE("+",'Personal File'!$E$3+D9)</f>
        <v>+5</v>
      </c>
      <c r="I9" s="313">
        <f ca="1">RANDBETWEEN(1,20)</f>
        <v>12</v>
      </c>
      <c r="J9" s="314">
        <f ca="1">I9+H9</f>
        <v>17</v>
      </c>
      <c r="K9" s="315"/>
      <c r="M9" s="316" t="s">
        <v>134</v>
      </c>
    </row>
    <row r="10" spans="1:13" x14ac:dyDescent="0.3">
      <c r="A10" s="317" t="s">
        <v>99</v>
      </c>
      <c r="B10" s="318" t="s">
        <v>134</v>
      </c>
      <c r="C10" s="318" t="s">
        <v>134</v>
      </c>
      <c r="D10" s="319" t="s">
        <v>51</v>
      </c>
      <c r="E10" s="319" t="s">
        <v>134</v>
      </c>
      <c r="F10" s="318" t="s">
        <v>134</v>
      </c>
      <c r="G10" s="318" t="s">
        <v>134</v>
      </c>
      <c r="H10" s="320" t="str">
        <f>CONCATENATE("+",'Personal File'!$E$3+D10)</f>
        <v>+5</v>
      </c>
      <c r="I10" s="313">
        <f ca="1">RANDBETWEEN(1,20)</f>
        <v>6</v>
      </c>
      <c r="J10" s="314">
        <f ca="1">I10+H10</f>
        <v>11</v>
      </c>
      <c r="K10" s="321"/>
      <c r="M10" s="316" t="s">
        <v>134</v>
      </c>
    </row>
    <row r="11" spans="1:13" x14ac:dyDescent="0.3">
      <c r="A11" s="284" t="s">
        <v>196</v>
      </c>
      <c r="B11" s="276" t="s">
        <v>130</v>
      </c>
      <c r="C11" s="277" t="s">
        <v>189</v>
      </c>
      <c r="D11" s="277" t="s">
        <v>189</v>
      </c>
      <c r="E11" s="276" t="s">
        <v>192</v>
      </c>
      <c r="F11" s="277" t="s">
        <v>191</v>
      </c>
      <c r="G11" s="278">
        <v>3</v>
      </c>
      <c r="H11" s="278" t="str">
        <f>CONCATENATE("+",'Personal File'!$B$7+'Personal File'!$C$10+D11)</f>
        <v>+5</v>
      </c>
      <c r="I11" s="288">
        <f ca="1">RANDBETWEEN(1,20)</f>
        <v>20</v>
      </c>
      <c r="J11" s="289">
        <f ca="1">I11+H11</f>
        <v>25</v>
      </c>
      <c r="K11" s="322"/>
      <c r="M11" s="323">
        <v>2375</v>
      </c>
    </row>
    <row r="12" spans="1:13" x14ac:dyDescent="0.3">
      <c r="A12" s="292" t="s">
        <v>195</v>
      </c>
      <c r="B12" s="293" t="s">
        <v>130</v>
      </c>
      <c r="C12" s="324" t="s">
        <v>189</v>
      </c>
      <c r="D12" s="324" t="s">
        <v>189</v>
      </c>
      <c r="E12" s="293" t="s">
        <v>192</v>
      </c>
      <c r="F12" s="324" t="s">
        <v>191</v>
      </c>
      <c r="G12" s="297" t="s">
        <v>134</v>
      </c>
      <c r="H12" s="297" t="str">
        <f>CONCATENATE("+",'Personal File'!$B$7+'Personal File'!$C$10+D12-5)</f>
        <v>+0</v>
      </c>
      <c r="I12" s="288">
        <f t="shared" ref="I12:I13" ca="1" si="3">RANDBETWEEN(1,20)</f>
        <v>9</v>
      </c>
      <c r="J12" s="299">
        <f t="shared" ref="J12:J13" ca="1" si="4">I12+H12</f>
        <v>9</v>
      </c>
      <c r="K12" s="300" t="s">
        <v>214</v>
      </c>
      <c r="M12" s="325" t="s">
        <v>134</v>
      </c>
    </row>
    <row r="13" spans="1:13" x14ac:dyDescent="0.3">
      <c r="A13" s="284" t="s">
        <v>215</v>
      </c>
      <c r="B13" s="276" t="s">
        <v>193</v>
      </c>
      <c r="C13" s="277" t="s">
        <v>51</v>
      </c>
      <c r="D13" s="277" t="s">
        <v>51</v>
      </c>
      <c r="E13" s="276">
        <v>20</v>
      </c>
      <c r="F13" s="277" t="s">
        <v>73</v>
      </c>
      <c r="G13" s="278" t="str">
        <f>K13</f>
        <v>NOT YET AVAILABLE</v>
      </c>
      <c r="H13" s="278" t="str">
        <f>CONCATENATE("+",'Personal File'!$B$7+'Personal File'!$C$10+D13)</f>
        <v>+4</v>
      </c>
      <c r="I13" s="288">
        <f t="shared" ca="1" si="3"/>
        <v>19</v>
      </c>
      <c r="J13" s="289">
        <f t="shared" ca="1" si="4"/>
        <v>23</v>
      </c>
      <c r="K13" s="290" t="s">
        <v>214</v>
      </c>
      <c r="M13" s="323"/>
    </row>
    <row r="14" spans="1:13" ht="16.2" thickBot="1" x14ac:dyDescent="0.35">
      <c r="A14" s="326" t="s">
        <v>154</v>
      </c>
      <c r="B14" s="327" t="s">
        <v>134</v>
      </c>
      <c r="C14" s="327" t="s">
        <v>134</v>
      </c>
      <c r="D14" s="327">
        <v>0</v>
      </c>
      <c r="E14" s="327" t="s">
        <v>134</v>
      </c>
      <c r="F14" s="327" t="s">
        <v>134</v>
      </c>
      <c r="G14" s="327" t="s">
        <v>134</v>
      </c>
      <c r="H14" s="327" t="str">
        <f>CONCATENATE("+",'Personal File'!$B$7+'Personal File'!$C$10+D14)</f>
        <v>+4</v>
      </c>
      <c r="I14" s="328">
        <f ca="1">RANDBETWEEN(1,20)</f>
        <v>8</v>
      </c>
      <c r="J14" s="329">
        <f ca="1">I14+H14</f>
        <v>12</v>
      </c>
      <c r="K14" s="330"/>
      <c r="M14" s="331" t="s">
        <v>134</v>
      </c>
    </row>
    <row r="15" spans="1:13" ht="16.8" thickTop="1" thickBot="1" x14ac:dyDescent="0.35">
      <c r="D15" s="332"/>
      <c r="E15" s="332"/>
      <c r="G15" s="333"/>
      <c r="H15" s="333"/>
      <c r="I15" s="333"/>
      <c r="J15" s="333"/>
    </row>
    <row r="16" spans="1:13" ht="16.8" thickTop="1" thickBot="1" x14ac:dyDescent="0.35">
      <c r="A16" s="268" t="s">
        <v>58</v>
      </c>
      <c r="B16" s="269" t="s">
        <v>9</v>
      </c>
      <c r="C16" s="269" t="s">
        <v>24</v>
      </c>
      <c r="D16" s="269" t="s">
        <v>79</v>
      </c>
      <c r="E16" s="269" t="s">
        <v>80</v>
      </c>
      <c r="F16" s="269" t="s">
        <v>81</v>
      </c>
      <c r="G16" s="269" t="s">
        <v>21</v>
      </c>
      <c r="H16" s="334" t="s">
        <v>77</v>
      </c>
      <c r="I16" s="335"/>
      <c r="J16" s="335"/>
      <c r="K16" s="336"/>
      <c r="M16" s="274" t="s">
        <v>129</v>
      </c>
    </row>
    <row r="17" spans="1:13" x14ac:dyDescent="0.3">
      <c r="A17" s="337" t="s">
        <v>213</v>
      </c>
      <c r="B17" s="338">
        <v>4</v>
      </c>
      <c r="C17" s="339">
        <v>4</v>
      </c>
      <c r="D17" s="338">
        <v>-2</v>
      </c>
      <c r="E17" s="340">
        <v>0.2</v>
      </c>
      <c r="F17" s="341" t="s">
        <v>119</v>
      </c>
      <c r="G17" s="342">
        <v>25</v>
      </c>
      <c r="H17" s="343"/>
      <c r="I17" s="344"/>
      <c r="J17" s="344"/>
      <c r="K17" s="345"/>
      <c r="M17" s="346">
        <f>100+500</f>
        <v>600</v>
      </c>
    </row>
    <row r="18" spans="1:13" x14ac:dyDescent="0.3">
      <c r="A18" s="347" t="s">
        <v>244</v>
      </c>
      <c r="B18" s="348">
        <v>2</v>
      </c>
      <c r="C18" s="348" t="s">
        <v>134</v>
      </c>
      <c r="D18" s="320" t="s">
        <v>134</v>
      </c>
      <c r="E18" s="349" t="s">
        <v>134</v>
      </c>
      <c r="F18" s="350" t="s">
        <v>134</v>
      </c>
      <c r="G18" s="351" t="s">
        <v>134</v>
      </c>
      <c r="H18" s="352"/>
      <c r="I18" s="353"/>
      <c r="J18" s="353"/>
      <c r="K18" s="354"/>
      <c r="L18" s="355"/>
      <c r="M18" s="356" t="s">
        <v>134</v>
      </c>
    </row>
    <row r="19" spans="1:13" ht="16.2" thickBot="1" x14ac:dyDescent="0.35">
      <c r="A19" s="357"/>
      <c r="B19" s="358"/>
      <c r="C19" s="359"/>
      <c r="D19" s="358"/>
      <c r="E19" s="360"/>
      <c r="F19" s="359"/>
      <c r="G19" s="361"/>
      <c r="H19" s="362"/>
      <c r="I19" s="363"/>
      <c r="J19" s="363"/>
      <c r="K19" s="364"/>
      <c r="M19" s="365"/>
    </row>
    <row r="20" spans="1:13" ht="16.8" thickTop="1" thickBot="1" x14ac:dyDescent="0.35"/>
    <row r="21" spans="1:13" ht="16.8" thickTop="1" thickBot="1" x14ac:dyDescent="0.35">
      <c r="D21" s="366" t="s">
        <v>208</v>
      </c>
      <c r="E21" s="367"/>
      <c r="F21" s="334" t="s">
        <v>3</v>
      </c>
      <c r="G21" s="269" t="s">
        <v>21</v>
      </c>
      <c r="H21" s="271" t="s">
        <v>89</v>
      </c>
      <c r="I21" s="334" t="s">
        <v>77</v>
      </c>
      <c r="J21" s="335"/>
      <c r="K21" s="336"/>
      <c r="M21" s="368" t="s">
        <v>129</v>
      </c>
    </row>
    <row r="22" spans="1:13" x14ac:dyDescent="0.3">
      <c r="D22" s="369" t="s">
        <v>209</v>
      </c>
      <c r="E22" s="370"/>
      <c r="F22" s="338">
        <v>20</v>
      </c>
      <c r="G22" s="342">
        <f>F22/20</f>
        <v>1</v>
      </c>
      <c r="H22" s="371" t="s">
        <v>51</v>
      </c>
      <c r="I22" s="372"/>
      <c r="J22" s="373"/>
      <c r="K22" s="374"/>
      <c r="M22" s="346">
        <f>F22/20</f>
        <v>1</v>
      </c>
    </row>
    <row r="23" spans="1:13" x14ac:dyDescent="0.3">
      <c r="D23" s="375"/>
      <c r="E23" s="376"/>
      <c r="F23" s="250"/>
      <c r="G23" s="377"/>
      <c r="H23" s="341"/>
      <c r="I23" s="378"/>
      <c r="J23" s="379"/>
      <c r="K23" s="380"/>
      <c r="M23" s="346"/>
    </row>
    <row r="24" spans="1:13" ht="16.2" thickBot="1" x14ac:dyDescent="0.35">
      <c r="D24" s="381"/>
      <c r="E24" s="382"/>
      <c r="F24" s="358"/>
      <c r="G24" s="361"/>
      <c r="H24" s="383"/>
      <c r="I24" s="384"/>
      <c r="J24" s="385"/>
      <c r="K24" s="386"/>
      <c r="M24" s="365"/>
    </row>
    <row r="25" spans="1:13" ht="16.8" thickTop="1" thickBot="1" x14ac:dyDescent="0.35"/>
    <row r="26" spans="1:13" ht="16.8" thickTop="1" thickBot="1" x14ac:dyDescent="0.35">
      <c r="D26" s="366" t="s">
        <v>156</v>
      </c>
      <c r="E26" s="335"/>
      <c r="F26" s="335"/>
      <c r="G26" s="335"/>
      <c r="H26" s="387" t="s">
        <v>3</v>
      </c>
      <c r="I26" s="387" t="s">
        <v>0</v>
      </c>
      <c r="J26" s="387" t="s">
        <v>157</v>
      </c>
      <c r="K26" s="336" t="s">
        <v>77</v>
      </c>
      <c r="M26" s="368" t="s">
        <v>129</v>
      </c>
    </row>
    <row r="27" spans="1:13" x14ac:dyDescent="0.3">
      <c r="D27" s="388"/>
      <c r="E27" s="389"/>
      <c r="F27" s="389"/>
      <c r="G27" s="390"/>
      <c r="H27" s="391">
        <v>0</v>
      </c>
      <c r="I27" s="250">
        <v>0</v>
      </c>
      <c r="J27" s="250">
        <v>0</v>
      </c>
      <c r="K27" s="380"/>
      <c r="M27" s="323">
        <f t="shared" ref="M27" si="5">J27*I27*H27*50</f>
        <v>0</v>
      </c>
    </row>
    <row r="28" spans="1:13" ht="16.2" thickBot="1" x14ac:dyDescent="0.35">
      <c r="D28" s="392"/>
      <c r="E28" s="393"/>
      <c r="F28" s="393"/>
      <c r="G28" s="382"/>
      <c r="H28" s="394" t="s">
        <v>51</v>
      </c>
      <c r="I28" s="383" t="s">
        <v>51</v>
      </c>
      <c r="J28" s="383" t="s">
        <v>51</v>
      </c>
      <c r="K28" s="386"/>
      <c r="M28" s="365">
        <f t="shared" ref="M28" si="6">J28*I28*H28*50</f>
        <v>0</v>
      </c>
    </row>
    <row r="29" spans="1:13" ht="16.2" thickTop="1" x14ac:dyDescent="0.3"/>
    <row r="30" spans="1:13" x14ac:dyDescent="0.3">
      <c r="D30" s="7"/>
      <c r="E30" s="7"/>
      <c r="F30" s="7"/>
      <c r="G30" s="7"/>
      <c r="H30" s="7"/>
      <c r="I30" s="7"/>
      <c r="J30" s="7"/>
    </row>
    <row r="31" spans="1:13" x14ac:dyDescent="0.3">
      <c r="D31" s="7"/>
      <c r="E31" s="7"/>
      <c r="F31" s="7"/>
      <c r="G31" s="7"/>
      <c r="H31" s="7"/>
      <c r="I31" s="7"/>
      <c r="J31" s="7"/>
    </row>
    <row r="32" spans="1:13" x14ac:dyDescent="0.3">
      <c r="D32" s="7"/>
      <c r="E32" s="7"/>
      <c r="F32" s="7"/>
      <c r="G32" s="7"/>
      <c r="H32" s="7"/>
      <c r="I32" s="7"/>
      <c r="J32" s="7"/>
    </row>
    <row r="33" spans="4:10" x14ac:dyDescent="0.3">
      <c r="D33" s="7"/>
      <c r="E33" s="7"/>
      <c r="F33" s="7"/>
      <c r="G33" s="7"/>
      <c r="H33" s="7"/>
      <c r="I33" s="7"/>
      <c r="J33" s="7"/>
    </row>
  </sheetData>
  <phoneticPr fontId="0" type="noConversion"/>
  <conditionalFormatting sqref="I3 I5:I6">
    <cfRule type="cellIs" dxfId="2" priority="4" operator="equal">
      <formula>19</formula>
    </cfRule>
  </conditionalFormatting>
  <conditionalFormatting sqref="I3:I6 I9:I14">
    <cfRule type="cellIs" dxfId="1" priority="3" operator="equal">
      <formula>20</formula>
    </cfRule>
  </conditionalFormatting>
  <conditionalFormatting sqref="I11:I13">
    <cfRule type="cellIs" dxfId="0"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
  <sheetViews>
    <sheetView showGridLines="0" workbookViewId="0"/>
  </sheetViews>
  <sheetFormatPr defaultColWidth="7.8984375" defaultRowHeight="15.6" x14ac:dyDescent="0.3"/>
  <cols>
    <col min="1" max="1" width="24.5" style="309" bestFit="1" customWidth="1"/>
    <col min="2" max="2" width="4.5" style="309" bestFit="1" customWidth="1"/>
    <col min="3" max="3" width="4.69921875" style="333" bestFit="1" customWidth="1"/>
    <col min="4" max="5" width="22.8984375" style="7" customWidth="1"/>
    <col min="6" max="6" width="1.19921875" style="309" customWidth="1"/>
    <col min="7" max="7" width="7.296875" style="7" bestFit="1" customWidth="1"/>
    <col min="8" max="16384" width="7.8984375" style="7"/>
  </cols>
  <sheetData>
    <row r="1" spans="1:7" ht="24" thickBot="1" x14ac:dyDescent="0.35">
      <c r="A1" s="267" t="s">
        <v>74</v>
      </c>
      <c r="B1" s="267"/>
      <c r="C1" s="395"/>
      <c r="D1" s="267"/>
      <c r="E1" s="267"/>
    </row>
    <row r="2" spans="1:7" s="309" customFormat="1" ht="16.8" thickTop="1" thickBot="1" x14ac:dyDescent="0.35">
      <c r="A2" s="396" t="s">
        <v>75</v>
      </c>
      <c r="B2" s="396" t="s">
        <v>3</v>
      </c>
      <c r="C2" s="397" t="s">
        <v>21</v>
      </c>
      <c r="D2" s="398" t="s">
        <v>76</v>
      </c>
      <c r="E2" s="399" t="s">
        <v>77</v>
      </c>
      <c r="G2" s="400" t="s">
        <v>129</v>
      </c>
    </row>
    <row r="3" spans="1:7" x14ac:dyDescent="0.3">
      <c r="A3" s="275" t="s">
        <v>201</v>
      </c>
      <c r="B3" s="287">
        <v>1</v>
      </c>
      <c r="C3" s="401">
        <v>0</v>
      </c>
      <c r="D3" s="402"/>
      <c r="E3" s="403"/>
      <c r="G3" s="404">
        <v>25</v>
      </c>
    </row>
    <row r="4" spans="1:7" x14ac:dyDescent="0.3">
      <c r="A4" s="275" t="s">
        <v>136</v>
      </c>
      <c r="B4" s="287">
        <v>1</v>
      </c>
      <c r="C4" s="401" t="s">
        <v>137</v>
      </c>
      <c r="D4" s="402"/>
      <c r="E4" s="403"/>
      <c r="G4" s="404">
        <v>0</v>
      </c>
    </row>
    <row r="5" spans="1:7" x14ac:dyDescent="0.3">
      <c r="A5" s="405" t="s">
        <v>197</v>
      </c>
      <c r="B5" s="406">
        <v>1</v>
      </c>
      <c r="C5" s="407">
        <v>2</v>
      </c>
      <c r="D5" s="408"/>
      <c r="E5" s="409"/>
      <c r="F5" s="410"/>
      <c r="G5" s="411">
        <v>800</v>
      </c>
    </row>
    <row r="6" spans="1:7" x14ac:dyDescent="0.3">
      <c r="A6" s="405" t="s">
        <v>199</v>
      </c>
      <c r="B6" s="406">
        <v>1</v>
      </c>
      <c r="C6" s="407">
        <v>0</v>
      </c>
      <c r="D6" s="408"/>
      <c r="E6" s="409"/>
      <c r="F6" s="410"/>
      <c r="G6" s="411">
        <v>1400</v>
      </c>
    </row>
    <row r="7" spans="1:7" x14ac:dyDescent="0.3">
      <c r="A7" s="405"/>
      <c r="B7" s="406"/>
      <c r="C7" s="407"/>
      <c r="D7" s="408"/>
      <c r="E7" s="409"/>
      <c r="F7" s="410"/>
      <c r="G7" s="411"/>
    </row>
    <row r="8" spans="1:7" x14ac:dyDescent="0.3">
      <c r="A8" s="405"/>
      <c r="B8" s="406"/>
      <c r="C8" s="407"/>
      <c r="D8" s="408"/>
      <c r="E8" s="409"/>
      <c r="F8" s="410"/>
      <c r="G8" s="411"/>
    </row>
    <row r="9" spans="1:7" ht="16.2" thickBot="1" x14ac:dyDescent="0.35">
      <c r="A9" s="357"/>
      <c r="B9" s="412"/>
      <c r="C9" s="413"/>
      <c r="D9" s="414"/>
      <c r="E9" s="415"/>
      <c r="G9" s="416"/>
    </row>
    <row r="10" spans="1:7" ht="24.6" thickTop="1" thickBot="1" x14ac:dyDescent="0.35">
      <c r="A10" s="267" t="s">
        <v>78</v>
      </c>
      <c r="B10" s="267"/>
      <c r="C10" s="417"/>
      <c r="D10" s="267"/>
      <c r="E10" s="418"/>
      <c r="G10" s="419"/>
    </row>
    <row r="11" spans="1:7" ht="16.8" thickTop="1" thickBot="1" x14ac:dyDescent="0.35">
      <c r="A11" s="396" t="s">
        <v>75</v>
      </c>
      <c r="B11" s="396" t="s">
        <v>3</v>
      </c>
      <c r="C11" s="397" t="s">
        <v>21</v>
      </c>
      <c r="D11" s="398" t="s">
        <v>76</v>
      </c>
      <c r="E11" s="399" t="s">
        <v>77</v>
      </c>
      <c r="G11" s="420" t="s">
        <v>129</v>
      </c>
    </row>
    <row r="12" spans="1:7" x14ac:dyDescent="0.3">
      <c r="A12" s="421" t="s">
        <v>131</v>
      </c>
      <c r="B12" s="422">
        <v>1</v>
      </c>
      <c r="C12" s="423">
        <v>0.5</v>
      </c>
      <c r="D12" s="424"/>
      <c r="E12" s="409"/>
      <c r="G12" s="404">
        <v>0</v>
      </c>
    </row>
    <row r="13" spans="1:7" x14ac:dyDescent="0.3">
      <c r="A13" s="275"/>
      <c r="B13" s="287"/>
      <c r="C13" s="401"/>
      <c r="D13" s="402"/>
      <c r="E13" s="403"/>
      <c r="G13" s="404"/>
    </row>
    <row r="14" spans="1:7" x14ac:dyDescent="0.3">
      <c r="A14" s="421"/>
      <c r="B14" s="422"/>
      <c r="C14" s="423"/>
      <c r="D14" s="424"/>
      <c r="E14" s="409"/>
      <c r="G14" s="404"/>
    </row>
    <row r="15" spans="1:7" ht="16.2" thickBot="1" x14ac:dyDescent="0.35">
      <c r="A15" s="357"/>
      <c r="B15" s="412"/>
      <c r="C15" s="413"/>
      <c r="D15" s="414"/>
      <c r="E15" s="415"/>
      <c r="G15" s="416"/>
    </row>
    <row r="16" spans="1:7" ht="23.4" thickTop="1" thickBot="1" x14ac:dyDescent="0.35">
      <c r="A16" s="425"/>
      <c r="B16" s="426" t="s">
        <v>180</v>
      </c>
      <c r="C16" s="425"/>
      <c r="D16" s="426"/>
      <c r="E16" s="427"/>
      <c r="G16" s="309">
        <v>2000</v>
      </c>
    </row>
    <row r="17" spans="1:7" ht="16.8" thickTop="1" thickBot="1" x14ac:dyDescent="0.35">
      <c r="A17" s="396" t="s">
        <v>75</v>
      </c>
      <c r="B17" s="396" t="s">
        <v>3</v>
      </c>
      <c r="C17" s="397" t="s">
        <v>21</v>
      </c>
      <c r="D17" s="398" t="s">
        <v>76</v>
      </c>
      <c r="E17" s="399" t="s">
        <v>77</v>
      </c>
      <c r="G17" s="400" t="s">
        <v>129</v>
      </c>
    </row>
    <row r="18" spans="1:7" x14ac:dyDescent="0.3">
      <c r="A18" s="405" t="s">
        <v>178</v>
      </c>
      <c r="B18" s="406">
        <v>1</v>
      </c>
      <c r="C18" s="407">
        <v>5</v>
      </c>
      <c r="D18" s="428"/>
      <c r="E18" s="429"/>
      <c r="G18" s="404">
        <v>0</v>
      </c>
    </row>
    <row r="19" spans="1:7" x14ac:dyDescent="0.3">
      <c r="A19" s="405" t="s">
        <v>183</v>
      </c>
      <c r="B19" s="406">
        <v>1</v>
      </c>
      <c r="C19" s="407">
        <v>1</v>
      </c>
      <c r="D19" s="428"/>
      <c r="E19" s="429"/>
      <c r="F19" s="410"/>
      <c r="G19" s="404">
        <f>10*B19</f>
        <v>10</v>
      </c>
    </row>
    <row r="20" spans="1:7" x14ac:dyDescent="0.3">
      <c r="A20" s="405" t="s">
        <v>184</v>
      </c>
      <c r="B20" s="406">
        <v>1</v>
      </c>
      <c r="C20" s="407">
        <v>1</v>
      </c>
      <c r="D20" s="428"/>
      <c r="E20" s="429"/>
      <c r="F20" s="410"/>
      <c r="G20" s="404">
        <v>5</v>
      </c>
    </row>
    <row r="21" spans="1:7" x14ac:dyDescent="0.3">
      <c r="A21" s="405" t="s">
        <v>194</v>
      </c>
      <c r="B21" s="406">
        <v>1</v>
      </c>
      <c r="C21" s="407">
        <v>0.5</v>
      </c>
      <c r="D21" s="430"/>
      <c r="E21" s="431"/>
      <c r="F21" s="432"/>
      <c r="G21" s="411">
        <v>200</v>
      </c>
    </row>
    <row r="22" spans="1:7" x14ac:dyDescent="0.3">
      <c r="A22" s="405" t="s">
        <v>181</v>
      </c>
      <c r="B22" s="406">
        <v>1</v>
      </c>
      <c r="C22" s="407">
        <v>2</v>
      </c>
      <c r="D22" s="408"/>
      <c r="E22" s="409"/>
      <c r="F22" s="410"/>
      <c r="G22" s="411">
        <v>350</v>
      </c>
    </row>
    <row r="23" spans="1:7" x14ac:dyDescent="0.3">
      <c r="A23" s="405" t="s">
        <v>212</v>
      </c>
      <c r="B23" s="406">
        <v>1</v>
      </c>
      <c r="C23" s="407">
        <v>0</v>
      </c>
      <c r="D23" s="408"/>
      <c r="E23" s="409"/>
      <c r="F23" s="410"/>
      <c r="G23" s="411">
        <v>1</v>
      </c>
    </row>
    <row r="24" spans="1:7" x14ac:dyDescent="0.3">
      <c r="A24" s="405" t="s">
        <v>190</v>
      </c>
      <c r="B24" s="406">
        <v>0</v>
      </c>
      <c r="C24" s="423">
        <f>B24/100</f>
        <v>0</v>
      </c>
      <c r="D24" s="430"/>
      <c r="E24" s="431"/>
      <c r="F24" s="432"/>
      <c r="G24" s="411">
        <f>B24</f>
        <v>0</v>
      </c>
    </row>
    <row r="25" spans="1:7" x14ac:dyDescent="0.3">
      <c r="A25" s="405" t="s">
        <v>132</v>
      </c>
      <c r="B25" s="406">
        <v>1</v>
      </c>
      <c r="C25" s="407">
        <v>1</v>
      </c>
      <c r="D25" s="408"/>
      <c r="E25" s="409"/>
      <c r="F25" s="410"/>
      <c r="G25" s="411">
        <v>50</v>
      </c>
    </row>
    <row r="26" spans="1:7" x14ac:dyDescent="0.3">
      <c r="A26" s="405" t="s">
        <v>182</v>
      </c>
      <c r="B26" s="422">
        <v>1</v>
      </c>
      <c r="C26" s="407">
        <v>1</v>
      </c>
      <c r="D26" s="408"/>
      <c r="E26" s="409"/>
      <c r="G26" s="411">
        <v>500</v>
      </c>
    </row>
    <row r="27" spans="1:7" ht="16.2" thickBot="1" x14ac:dyDescent="0.35">
      <c r="A27" s="357" t="s">
        <v>179</v>
      </c>
      <c r="B27" s="433">
        <v>1</v>
      </c>
      <c r="C27" s="413">
        <v>5</v>
      </c>
      <c r="D27" s="414"/>
      <c r="E27" s="415"/>
      <c r="F27" s="410"/>
      <c r="G27" s="416">
        <v>0</v>
      </c>
    </row>
    <row r="28" spans="1:7" ht="16.2" thickTop="1" x14ac:dyDescent="0.3">
      <c r="G28" s="434"/>
    </row>
    <row r="29" spans="1:7" x14ac:dyDescent="0.3">
      <c r="E29" s="61" t="s">
        <v>133</v>
      </c>
      <c r="G29" s="435">
        <f>SUM(G3:G27,Martial!M3:M28)</f>
        <v>8617</v>
      </c>
    </row>
    <row r="30" spans="1:7" x14ac:dyDescent="0.3">
      <c r="E30" s="61" t="s">
        <v>185</v>
      </c>
      <c r="G30" s="435">
        <v>9000</v>
      </c>
    </row>
    <row r="31" spans="1:7" x14ac:dyDescent="0.3">
      <c r="G31" s="436"/>
    </row>
    <row r="32" spans="1:7" x14ac:dyDescent="0.3">
      <c r="G32" s="436"/>
    </row>
  </sheetData>
  <sortState xmlns:xlrd2="http://schemas.microsoft.com/office/spreadsheetml/2017/richdata2" ref="A18:G27">
    <sortCondition ref="A18:A2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Oghma</vt:lpstr>
      <vt:lpstr>Feats</vt:lpstr>
      <vt:lpstr>Martial</vt:lpstr>
      <vt:lpstr>Equipment</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2025-03-02T17:41:01Z</dcterms:modified>
</cp:coreProperties>
</file>