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A\Juegos\AI\Oghma\Used\Characters\"/>
    </mc:Choice>
  </mc:AlternateContent>
  <xr:revisionPtr revIDLastSave="0" documentId="13_ncr:1_{E180D5A9-4C3A-4BE1-B526-67DDB8A98D5C}" xr6:coauthVersionLast="47" xr6:coauthVersionMax="47" xr10:uidLastSave="{00000000-0000-0000-0000-000000000000}"/>
  <bookViews>
    <workbookView xWindow="-108" yWindow="-108" windowWidth="23256" windowHeight="13176" xr2:uid="{00000000-000D-0000-FFFF-FFFF00000000}"/>
  </bookViews>
  <sheets>
    <sheet name="Personal File" sheetId="1" r:id="rId1"/>
    <sheet name="Skills" sheetId="2" r:id="rId2"/>
    <sheet name="Prayerbook" sheetId="3" r:id="rId3"/>
    <sheet name="Prayers" sheetId="4" r:id="rId4"/>
    <sheet name="Extra" sheetId="9" r:id="rId5"/>
    <sheet name="Feats" sheetId="5" r:id="rId6"/>
    <sheet name="Martial" sheetId="6" r:id="rId7"/>
    <sheet name="Equipment" sheetId="7" r:id="rId8"/>
    <sheet name="Mount" sheetId="8" r:id="rId9"/>
  </sheets>
  <externalReferences>
    <externalReference r:id="rId10"/>
  </externalReferences>
  <definedNames>
    <definedName name="NoShade">'[1]Spell Sheet'!$FH$1</definedName>
    <definedName name="_xlnm.Print_Area" localSheetId="8">Mount!$A$1:$H$13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6" l="1"/>
  <c r="I5" i="6"/>
  <c r="J5" i="6" s="1"/>
  <c r="H5" i="6"/>
  <c r="E12" i="1"/>
  <c r="J18" i="9" l="1"/>
  <c r="J17" i="9"/>
  <c r="J16" i="9"/>
  <c r="J15" i="9"/>
  <c r="J14" i="9"/>
  <c r="J13" i="9"/>
  <c r="J12" i="9"/>
  <c r="J11" i="9"/>
  <c r="J10" i="9"/>
  <c r="J9" i="9"/>
  <c r="J8" i="9"/>
  <c r="J7" i="9"/>
  <c r="J6" i="9"/>
  <c r="J5" i="9"/>
  <c r="J4" i="9"/>
  <c r="J3" i="9"/>
  <c r="M33" i="6"/>
  <c r="M41" i="6"/>
  <c r="D18" i="9"/>
  <c r="D16" i="9"/>
  <c r="D17" i="9"/>
  <c r="D15" i="9"/>
  <c r="D14" i="9"/>
  <c r="D13" i="9"/>
  <c r="D12" i="9"/>
  <c r="D10" i="9"/>
  <c r="D11" i="9"/>
  <c r="D9" i="9"/>
  <c r="D8" i="9"/>
  <c r="D7" i="9"/>
  <c r="D6" i="9"/>
  <c r="D5" i="9"/>
  <c r="D3" i="9"/>
  <c r="D4" i="9"/>
  <c r="B12" i="1"/>
  <c r="B50" i="2"/>
  <c r="M49" i="6" l="1"/>
  <c r="M50" i="6"/>
  <c r="M48" i="6"/>
  <c r="H18" i="2"/>
  <c r="H40" i="2"/>
  <c r="K6" i="4"/>
  <c r="G23" i="7"/>
  <c r="G21" i="7"/>
  <c r="G20" i="7"/>
  <c r="G19" i="7"/>
  <c r="I15" i="6"/>
  <c r="H15" i="6"/>
  <c r="J15" i="6" l="1"/>
  <c r="H48" i="2"/>
  <c r="H47" i="2"/>
  <c r="H46" i="2"/>
  <c r="H45" i="2"/>
  <c r="H44" i="2"/>
  <c r="H43" i="2"/>
  <c r="H42" i="2"/>
  <c r="H41" i="2"/>
  <c r="H39" i="2"/>
  <c r="H38" i="2"/>
  <c r="H37" i="2"/>
  <c r="H36" i="2"/>
  <c r="H35" i="2"/>
  <c r="H34" i="2"/>
  <c r="H33" i="2"/>
  <c r="H32" i="2"/>
  <c r="H31" i="2"/>
  <c r="H30" i="2"/>
  <c r="H29" i="2"/>
  <c r="H28" i="2"/>
  <c r="H27" i="2"/>
  <c r="H26" i="2"/>
  <c r="H25" i="2"/>
  <c r="H24" i="2"/>
  <c r="H23" i="2"/>
  <c r="H22" i="2"/>
  <c r="H21" i="2"/>
  <c r="H20" i="2"/>
  <c r="H19" i="2"/>
  <c r="G11" i="7"/>
  <c r="C11" i="7"/>
  <c r="O6" i="4"/>
  <c r="N6" i="4"/>
  <c r="M6" i="4"/>
  <c r="L6" i="4"/>
  <c r="B5" i="2"/>
  <c r="B4" i="2"/>
  <c r="B3" i="2"/>
  <c r="B7" i="1"/>
  <c r="G26" i="6"/>
  <c r="M20" i="6"/>
  <c r="M16" i="6"/>
  <c r="B13" i="1"/>
  <c r="B11" i="1"/>
  <c r="B10" i="1"/>
  <c r="B9" i="1"/>
  <c r="C5" i="7" l="1"/>
  <c r="I7" i="6" l="1"/>
  <c r="F21" i="2"/>
  <c r="H12" i="6"/>
  <c r="I12" i="6"/>
  <c r="J12" i="6" l="1"/>
  <c r="I13" i="6"/>
  <c r="M31" i="6"/>
  <c r="M47" i="6" l="1"/>
  <c r="M46" i="6"/>
  <c r="M45" i="6"/>
  <c r="M44" i="6"/>
  <c r="M43" i="6"/>
  <c r="M42" i="6"/>
  <c r="M40" i="6"/>
  <c r="M39" i="6"/>
  <c r="M38" i="6"/>
  <c r="M37" i="6"/>
  <c r="M36" i="6"/>
  <c r="M35" i="6"/>
  <c r="C9" i="8" l="1"/>
  <c r="C8" i="8"/>
  <c r="C7" i="8"/>
  <c r="C6" i="8"/>
  <c r="C5" i="8"/>
  <c r="C4" i="8"/>
  <c r="H14" i="6" l="1"/>
  <c r="C40" i="7" l="1"/>
  <c r="C39" i="7"/>
  <c r="C32" i="7"/>
  <c r="C15" i="7"/>
  <c r="C14" i="7"/>
  <c r="C6" i="7"/>
  <c r="M34" i="6"/>
  <c r="M32" i="6"/>
  <c r="G55" i="7" s="1"/>
  <c r="I17" i="6"/>
  <c r="I16" i="6"/>
  <c r="I14" i="6"/>
  <c r="I11" i="6"/>
  <c r="I8" i="6"/>
  <c r="I3" i="6"/>
  <c r="H6" i="4"/>
  <c r="I6" i="4"/>
  <c r="J6" i="4"/>
  <c r="P6" i="4"/>
  <c r="Q6" i="4"/>
  <c r="H49" i="2"/>
  <c r="H17" i="2"/>
  <c r="H16" i="2"/>
  <c r="H15" i="2"/>
  <c r="H14" i="2"/>
  <c r="H13" i="2"/>
  <c r="H12" i="2"/>
  <c r="H11" i="2"/>
  <c r="H10" i="2"/>
  <c r="H9" i="2"/>
  <c r="H8" i="2"/>
  <c r="H7" i="2"/>
  <c r="H6" i="2"/>
  <c r="H5" i="2"/>
  <c r="H4" i="2"/>
  <c r="H3" i="2"/>
  <c r="C14" i="1"/>
  <c r="C13" i="1"/>
  <c r="C12" i="1"/>
  <c r="C11" i="1"/>
  <c r="C10" i="1"/>
  <c r="C9" i="1"/>
  <c r="D12" i="4" l="1"/>
  <c r="D11" i="4"/>
  <c r="D15" i="4"/>
  <c r="E55" i="2"/>
  <c r="D17" i="4"/>
  <c r="D16" i="4"/>
  <c r="H3" i="6"/>
  <c r="J3" i="6" s="1"/>
  <c r="D8" i="2"/>
  <c r="E8" i="2" s="1"/>
  <c r="D19" i="2"/>
  <c r="E19" i="2" s="1"/>
  <c r="D18" i="2"/>
  <c r="E18" i="2" s="1"/>
  <c r="D13" i="2"/>
  <c r="E13" i="2" s="1"/>
  <c r="D22" i="2"/>
  <c r="E22" i="2" s="1"/>
  <c r="D15" i="2"/>
  <c r="E15" i="2" s="1"/>
  <c r="D36" i="2"/>
  <c r="E36" i="2" s="1"/>
  <c r="D48" i="2"/>
  <c r="E48" i="2" s="1"/>
  <c r="D5" i="2"/>
  <c r="E5" i="2" s="1"/>
  <c r="D33" i="2"/>
  <c r="E33" i="2" s="1"/>
  <c r="D44" i="2"/>
  <c r="E44" i="2" s="1"/>
  <c r="D45" i="2"/>
  <c r="E45" i="2" s="1"/>
  <c r="D20" i="2"/>
  <c r="E20" i="2" s="1"/>
  <c r="D37" i="2"/>
  <c r="E37" i="2" s="1"/>
  <c r="D40" i="2"/>
  <c r="E40" i="2" s="1"/>
  <c r="D12" i="2"/>
  <c r="E12" i="2" s="1"/>
  <c r="D17" i="2"/>
  <c r="E17" i="2" s="1"/>
  <c r="D27" i="2"/>
  <c r="E27" i="2" s="1"/>
  <c r="D31" i="2"/>
  <c r="E31" i="2" s="1"/>
  <c r="D43" i="2"/>
  <c r="E43" i="2" s="1"/>
  <c r="D11" i="2"/>
  <c r="E11" i="2" s="1"/>
  <c r="D26" i="2"/>
  <c r="E26" i="2" s="1"/>
  <c r="D30" i="2"/>
  <c r="E30" i="2" s="1"/>
  <c r="D42" i="2"/>
  <c r="E42" i="2" s="1"/>
  <c r="D6" i="2"/>
  <c r="E6" i="2" s="1"/>
  <c r="D24" i="2"/>
  <c r="E24" i="2" s="1"/>
  <c r="D28" i="2"/>
  <c r="E28" i="2" s="1"/>
  <c r="D32" i="2"/>
  <c r="E32" i="2" s="1"/>
  <c r="D39" i="2"/>
  <c r="E39" i="2" s="1"/>
  <c r="D14" i="2"/>
  <c r="E14" i="2" s="1"/>
  <c r="D25" i="2"/>
  <c r="E25" i="2" s="1"/>
  <c r="D29" i="2"/>
  <c r="E29" i="2" s="1"/>
  <c r="D18" i="4"/>
  <c r="D25" i="4"/>
  <c r="D24" i="4"/>
  <c r="D22" i="4"/>
  <c r="D14" i="4"/>
  <c r="D23" i="4"/>
  <c r="D3" i="2"/>
  <c r="E3" i="2" s="1"/>
  <c r="D10" i="2"/>
  <c r="E10" i="2" s="1"/>
  <c r="E14" i="1"/>
  <c r="E13" i="1" s="1"/>
  <c r="D7" i="2"/>
  <c r="E7" i="2" s="1"/>
  <c r="D16" i="2"/>
  <c r="E16" i="2" s="1"/>
  <c r="D41" i="2"/>
  <c r="E41" i="2" s="1"/>
  <c r="D4" i="2"/>
  <c r="E4" i="2" s="1"/>
  <c r="D21" i="2"/>
  <c r="E21" i="2" s="1"/>
  <c r="D34" i="2"/>
  <c r="E34" i="2" s="1"/>
  <c r="D38" i="2"/>
  <c r="E38" i="2" s="1"/>
  <c r="D47" i="2"/>
  <c r="E47" i="2" s="1"/>
  <c r="D49" i="2"/>
  <c r="E49" i="2" s="1"/>
  <c r="D35" i="2"/>
  <c r="E35" i="2" s="1"/>
  <c r="B8" i="1"/>
  <c r="D23" i="2"/>
  <c r="E23" i="2" s="1"/>
  <c r="D9" i="2"/>
  <c r="E9" i="2" s="1"/>
  <c r="D46" i="2"/>
  <c r="E46" i="2" s="1"/>
  <c r="H4" i="6"/>
  <c r="H17" i="6"/>
  <c r="J17" i="6" s="1"/>
  <c r="H13" i="6"/>
  <c r="J13" i="6" s="1"/>
  <c r="C42" i="7"/>
  <c r="D9" i="4"/>
  <c r="D13" i="4"/>
  <c r="D8" i="4"/>
  <c r="H11" i="6"/>
  <c r="J11" i="6" s="1"/>
  <c r="H16" i="6"/>
  <c r="J16" i="6" s="1"/>
  <c r="E11" i="1"/>
  <c r="D3" i="4"/>
  <c r="D7" i="4"/>
  <c r="D10" i="4"/>
  <c r="D5" i="4"/>
  <c r="E53" i="2"/>
  <c r="E52" i="2"/>
  <c r="D6" i="4"/>
  <c r="E51" i="2"/>
  <c r="D4" i="4"/>
  <c r="E54" i="2"/>
  <c r="H8" i="6"/>
  <c r="J8" i="6" s="1"/>
  <c r="H7" i="6"/>
  <c r="J7" i="6" s="1"/>
  <c r="J14" i="6"/>
  <c r="G37" i="2" l="1"/>
  <c r="I37" i="2" s="1"/>
  <c r="G17" i="2"/>
  <c r="I17" i="2" s="1"/>
  <c r="G15" i="2"/>
  <c r="I15" i="2" s="1"/>
  <c r="G27" i="2"/>
  <c r="I27" i="2" s="1"/>
  <c r="G33" i="2"/>
  <c r="I33" i="2" s="1"/>
  <c r="G44" i="2"/>
  <c r="I44" i="2" s="1"/>
  <c r="G3" i="2"/>
  <c r="I3" i="2" s="1"/>
  <c r="G24" i="2"/>
  <c r="I24" i="2" s="1"/>
  <c r="G40" i="2"/>
  <c r="I40" i="2" s="1"/>
  <c r="G36" i="2"/>
  <c r="I36" i="2" s="1"/>
  <c r="G5" i="2"/>
  <c r="I5" i="2" s="1"/>
  <c r="G20" i="2"/>
  <c r="I20" i="2" s="1"/>
  <c r="G8" i="2"/>
  <c r="I8" i="2" s="1"/>
  <c r="G16" i="2"/>
  <c r="I16" i="2" s="1"/>
  <c r="G48" i="2"/>
  <c r="I48" i="2" s="1"/>
  <c r="G45" i="2"/>
  <c r="I45" i="2" s="1"/>
  <c r="G12" i="2"/>
  <c r="I12" i="2" s="1"/>
  <c r="G13" i="2"/>
  <c r="I13" i="2" s="1"/>
  <c r="G32" i="2"/>
  <c r="I32" i="2" s="1"/>
  <c r="G49" i="2"/>
  <c r="I49" i="2" s="1"/>
  <c r="G29" i="2"/>
  <c r="I29" i="2" s="1"/>
  <c r="G25" i="2"/>
  <c r="I25" i="2" s="1"/>
  <c r="G4" i="2"/>
  <c r="I4" i="2" s="1"/>
  <c r="G28" i="2"/>
  <c r="I28" i="2" s="1"/>
  <c r="G9" i="2"/>
  <c r="I9" i="2" s="1"/>
  <c r="G21" i="2"/>
  <c r="I21" i="2" s="1"/>
  <c r="G7" i="2"/>
  <c r="I7" i="2" s="1"/>
  <c r="G41" i="2"/>
  <c r="I41" i="2" s="1"/>
  <c r="G19" i="2"/>
  <c r="I19" i="2" s="1"/>
  <c r="G11" i="2"/>
  <c r="I11" i="2" s="1"/>
  <c r="G23" i="2"/>
  <c r="I23" i="2" s="1"/>
  <c r="G47" i="2"/>
  <c r="I47" i="2" s="1"/>
  <c r="E50" i="2"/>
  <c r="G46" i="2"/>
  <c r="I46" i="2" s="1"/>
  <c r="G26" i="2"/>
  <c r="I26" i="2" s="1"/>
  <c r="G22" i="2"/>
  <c r="I22" i="2" s="1"/>
  <c r="G43" i="2"/>
  <c r="I43" i="2" s="1"/>
  <c r="G18" i="2"/>
  <c r="I18" i="2" s="1"/>
  <c r="G30" i="2"/>
  <c r="I30" i="2" s="1"/>
  <c r="G31" i="2"/>
  <c r="I31" i="2" s="1"/>
  <c r="G34" i="2"/>
  <c r="I34" i="2" s="1"/>
  <c r="G14" i="2"/>
  <c r="I14" i="2" s="1"/>
  <c r="G6" i="2"/>
  <c r="I6" i="2" s="1"/>
  <c r="G42" i="2"/>
  <c r="I42" i="2" s="1"/>
  <c r="G39" i="2"/>
  <c r="I39" i="2" s="1"/>
  <c r="G10" i="2"/>
  <c r="I10" i="2" s="1"/>
  <c r="G38" i="2"/>
  <c r="I38" i="2" s="1"/>
  <c r="G35" i="2"/>
  <c r="I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2B86DBF7-96BB-43BF-BFEF-DC89ABAC6910}">
      <text>
        <r>
          <rPr>
            <i/>
            <sz val="12"/>
            <color indexed="81"/>
            <rFont val="Times New Roman"/>
            <family val="1"/>
          </rPr>
          <t>Use Boccob when a core deity is referenced in spell descriptons.</t>
        </r>
      </text>
    </comment>
    <comment ref="C7" authorId="0" shapeId="0" xr:uid="{00000000-0006-0000-0000-000001000000}">
      <text>
        <r>
          <rPr>
            <i/>
            <sz val="12"/>
            <color indexed="81"/>
            <rFont val="Times New Roman"/>
            <family val="1"/>
          </rPr>
          <t>aid +1
haste +1</t>
        </r>
      </text>
    </comment>
    <comment ref="E9" authorId="0" shapeId="0" xr:uid="{00000000-0006-0000-0000-000003000000}">
      <text>
        <r>
          <rPr>
            <sz val="12"/>
            <color indexed="81"/>
            <rFont val="Times New Roman"/>
            <family val="1"/>
          </rPr>
          <t>See PHB 162</t>
        </r>
      </text>
    </comment>
    <comment ref="E11" authorId="0" shapeId="0" xr:uid="{00000000-0006-0000-0000-000005000000}">
      <text>
        <r>
          <rPr>
            <sz val="12"/>
            <color indexed="81"/>
            <rFont val="Times New Roman"/>
            <family val="1"/>
          </rPr>
          <t>[(5 * 6 Archivist) * 75%] + (5 * 3 Con)</t>
        </r>
      </text>
    </comment>
    <comment ref="E12" authorId="0" shapeId="0" xr:uid="{00000000-0006-0000-0000-000007000000}">
      <text>
        <r>
          <rPr>
            <sz val="12"/>
            <color indexed="81"/>
            <rFont val="Times New Roman"/>
            <family val="1"/>
          </rPr>
          <t>Shield of Faith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DC15A157-5486-4618-85D7-183558D944D1}">
      <text>
        <r>
          <rPr>
            <sz val="12"/>
            <color indexed="81"/>
            <rFont val="Times New Roman"/>
            <family val="1"/>
          </rPr>
          <t>Cloak of Resistance +1</t>
        </r>
      </text>
    </comment>
    <comment ref="F4" authorId="0" shapeId="0" xr:uid="{9294DEB7-E016-46D5-BEA4-CF5860031A13}">
      <text>
        <r>
          <rPr>
            <sz val="12"/>
            <color indexed="81"/>
            <rFont val="Times New Roman"/>
            <family val="1"/>
          </rPr>
          <t>Cloak of Resistance +1</t>
        </r>
      </text>
    </comment>
    <comment ref="F5" authorId="0" shapeId="0" xr:uid="{437AEBD1-D954-487C-A532-D3976F5728F4}">
      <text>
        <r>
          <rPr>
            <sz val="12"/>
            <color indexed="81"/>
            <rFont val="Times New Roman"/>
            <family val="1"/>
          </rPr>
          <t>Cloak of Resistance +1</t>
        </r>
      </text>
    </comment>
    <comment ref="F18" authorId="0" shapeId="0" xr:uid="{00000000-0006-0000-0100-000006000000}">
      <text>
        <r>
          <rPr>
            <sz val="12"/>
            <color indexed="81"/>
            <rFont val="Times New Roman"/>
            <family val="1"/>
          </rPr>
          <t>K:  Local synergy</t>
        </r>
      </text>
    </comment>
    <comment ref="F21" authorId="0" shapeId="0" xr:uid="{00000000-0006-0000-0100-000007000000}">
      <text>
        <r>
          <rPr>
            <sz val="12"/>
            <color indexed="81"/>
            <rFont val="Times New Roman"/>
            <family val="1"/>
          </rPr>
          <t>Chain Shirt
Gnome (Small) +4</t>
        </r>
      </text>
    </comment>
    <comment ref="F24" authorId="0" shapeId="0" xr:uid="{CFB688D0-7BDF-4D6E-A161-96FD396C2E76}">
      <text>
        <r>
          <rPr>
            <sz val="12"/>
            <color indexed="81"/>
            <rFont val="Times New Roman"/>
            <family val="1"/>
          </rPr>
          <t>Lore Mastery +2</t>
        </r>
      </text>
    </comment>
    <comment ref="F33" authorId="0" shapeId="0" xr:uid="{00000000-0006-0000-0100-00000B000000}">
      <text>
        <r>
          <rPr>
            <sz val="12"/>
            <color indexed="81"/>
            <rFont val="Times New Roman"/>
            <family val="1"/>
          </rPr>
          <t>Gnome +2</t>
        </r>
      </text>
    </comment>
    <comment ref="F39" authorId="0" shapeId="0" xr:uid="{00000000-0006-0000-0100-00000C000000}">
      <text>
        <r>
          <rPr>
            <sz val="12"/>
            <color indexed="81"/>
            <rFont val="Times New Roman"/>
            <family val="1"/>
          </rPr>
          <t>K:  Archit. synergy</t>
        </r>
      </text>
    </comment>
    <comment ref="F43" authorId="0" shapeId="0" xr:uid="{00000000-0006-0000-0100-00000D000000}">
      <text>
        <r>
          <rPr>
            <sz val="12"/>
            <color indexed="81"/>
            <rFont val="Times New Roman"/>
            <family val="1"/>
          </rPr>
          <t>K:  Arcana synergy</t>
        </r>
      </text>
    </comment>
    <comment ref="F45" authorId="0" shapeId="0" xr:uid="{00000000-0006-0000-0100-00000E000000}">
      <text>
        <r>
          <rPr>
            <sz val="12"/>
            <color indexed="81"/>
            <rFont val="Times New Roman"/>
            <family val="1"/>
          </rPr>
          <t>+2 underground (K:  Dungeon synergy)
+2 outside Material Plane (K:  Planes synergy)</t>
        </r>
      </text>
    </comment>
    <comment ref="F48" authorId="0" shapeId="0" xr:uid="{00000000-0006-0000-0100-00000F000000}">
      <text>
        <r>
          <rPr>
            <sz val="12"/>
            <color indexed="81"/>
            <rFont val="Times New Roman"/>
            <family val="1"/>
          </rPr>
          <t>Spellcraft synergy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9" authorId="0" shapeId="0" xr:uid="{00000000-0006-0000-0200-000001000000}">
      <text>
        <r>
          <rPr>
            <sz val="12"/>
            <color indexed="81"/>
            <rFont val="Times New Roman"/>
            <family val="1"/>
          </rPr>
          <t>Phosphorescent moss</t>
        </r>
      </text>
    </comment>
    <comment ref="D13" authorId="0" shapeId="0" xr:uid="{E227DBC3-ED35-470D-A5B6-33C1CFA73420}">
      <text>
        <r>
          <rPr>
            <sz val="12"/>
            <color indexed="81"/>
            <rFont val="Times New Roman"/>
            <family val="1"/>
          </rPr>
          <t>Prism, lens, or monocle</t>
        </r>
      </text>
    </comment>
    <comment ref="D14" authorId="0" shapeId="0" xr:uid="{69BAC4DE-42B1-4741-B177-88F834B9FA3F}">
      <text>
        <r>
          <rPr>
            <sz val="12"/>
            <color indexed="81"/>
            <rFont val="Times New Roman"/>
            <family val="1"/>
          </rPr>
          <t>Miniature cloak</t>
        </r>
      </text>
    </comment>
    <comment ref="D16" authorId="0" shapeId="0" xr:uid="{00000000-0006-0000-0200-000006000000}">
      <text>
        <r>
          <rPr>
            <sz val="12"/>
            <color indexed="81"/>
            <rFont val="Times New Roman"/>
            <family val="1"/>
          </rPr>
          <t>Soot &amp; Salt</t>
        </r>
      </text>
    </comment>
    <comment ref="D20" authorId="0" shapeId="0" xr:uid="{F82CD8B0-BE1D-4752-AECC-D532FB4EF2D6}">
      <text>
        <r>
          <rPr>
            <sz val="12"/>
            <color indexed="81"/>
            <rFont val="Times New Roman"/>
            <family val="1"/>
          </rPr>
          <t>Earth from grave</t>
        </r>
      </text>
    </comment>
    <comment ref="D24" authorId="0" shapeId="0" xr:uid="{40EB8265-F680-47FE-8FF9-391EE255BB0C}">
      <text>
        <r>
          <rPr>
            <sz val="12"/>
            <color indexed="81"/>
            <rFont val="Times New Roman"/>
            <family val="1"/>
          </rPr>
          <t>Powdered silver</t>
        </r>
      </text>
    </comment>
    <comment ref="D26" authorId="0" shapeId="0" xr:uid="{00000000-0006-0000-0200-00000B000000}">
      <text>
        <r>
          <rPr>
            <sz val="12"/>
            <color indexed="81"/>
            <rFont val="Times New Roman"/>
            <family val="1"/>
          </rPr>
          <t>Parchment w/ holy text</t>
        </r>
      </text>
    </comment>
    <comment ref="D34" authorId="0" shapeId="0" xr:uid="{00000000-0006-0000-0200-000012000000}">
      <text>
        <r>
          <rPr>
            <sz val="12"/>
            <color indexed="81"/>
            <rFont val="Times New Roman"/>
            <family val="1"/>
          </rPr>
          <t>phosphorous</t>
        </r>
      </text>
    </comment>
    <comment ref="A35" authorId="0" shapeId="0" xr:uid="{CE4C09F3-8547-4CFC-92AA-36E8E0F4DF0C}">
      <text>
        <r>
          <rPr>
            <i/>
            <sz val="12"/>
            <color indexed="81"/>
            <rFont val="Times New Roman"/>
            <family val="1"/>
          </rPr>
          <t>Boccob: Fly 40’ Perfect</t>
        </r>
      </text>
    </comment>
    <comment ref="D39" authorId="0" shapeId="0" xr:uid="{00000000-0006-0000-0200-000013000000}">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9E4CA654-B5F9-4002-A0AA-6A3FA692E4AA}">
      <text>
        <r>
          <rPr>
            <sz val="12"/>
            <rFont val="Times New Roman"/>
            <family val="1"/>
          </rPr>
          <t xml:space="preserve">Your path to faith is more scholarly than those of other clerics.
</t>
        </r>
        <r>
          <rPr>
            <b/>
            <sz val="12"/>
            <color indexed="81"/>
            <rFont val="Times New Roman"/>
            <family val="1"/>
          </rPr>
          <t xml:space="preserve">Prerequisites:  </t>
        </r>
        <r>
          <rPr>
            <sz val="12"/>
            <rFont val="Times New Roman"/>
            <family val="1"/>
          </rPr>
          <t xml:space="preserve">Intelligence 13+
</t>
        </r>
        <r>
          <rPr>
            <b/>
            <sz val="12"/>
            <color indexed="81"/>
            <rFont val="Times New Roman"/>
            <family val="1"/>
          </rPr>
          <t xml:space="preserve">Benefit:  </t>
        </r>
        <r>
          <rPr>
            <sz val="12"/>
            <rFont val="Times New Roman"/>
            <family val="1"/>
          </rPr>
          <t xml:space="preserve">For the purpose of determining bonus divine spells per day and maximum divine spell level, your primary spellcasting ability is Intelligence.  If you have more than one divine spellcasting class, the bonus applies to only one of those classes.  Your spell save DCs are not affected by this change.
</t>
        </r>
        <r>
          <rPr>
            <b/>
            <sz val="12"/>
            <color indexed="81"/>
            <rFont val="Times New Roman"/>
            <family val="1"/>
          </rPr>
          <t xml:space="preserve">Special:  </t>
        </r>
        <r>
          <rPr>
            <sz val="12"/>
            <rFont val="Times New Roman"/>
            <family val="1"/>
          </rPr>
          <t>You may only take this feat as a 1st-level character.  If you take this feat more than once, it applies to a different divine spellcasting class each time.  You may take this feat even if you have no divine spellcasting classes yet.
Legends of the Twins (Dragonlance)</t>
        </r>
      </text>
    </comment>
    <comment ref="E2" authorId="0" shapeId="0" xr:uid="{00000000-0006-0000-0400-00000B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3" authorId="0" shapeId="0" xr:uid="{DBB9DBE7-EFD6-4548-84D6-3934495223A5}">
      <text>
        <r>
          <rPr>
            <sz val="12"/>
            <color indexed="81"/>
            <rFont val="Times New Roman"/>
            <family val="1"/>
          </rPr>
          <t xml:space="preserve">In addition to your studies of the darkness, you have spent time studying giants and fey.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on giants and fey. You use Knowledge (nature)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only use that class feature on aberrations, elementals, magical beasts, outsiders, and undead.
Heroes of Horror 119</t>
        </r>
      </text>
    </comment>
    <comment ref="E3" authorId="0" shapeId="0" xr:uid="{00000000-0006-0000-0400-000009000000}">
      <text>
        <r>
          <rPr>
            <sz val="12"/>
            <color indexed="81"/>
            <rFont val="Times New Roman"/>
            <family val="1"/>
          </rPr>
          <t>Starting at 8th level, an archivist can direct his allies to attack vital spots of his enemies.  On a successful Knowledge check, he grants them a bonus to weapon damage rolls made against the target creatures equal to 1d6 points of damage.  If the archivist succeeds on his Knowledge check by 10 or more, then this bonus increases to 2d6.  If the archivist succeeds on his Knowledge check by 20 or more, then this bonus increases to 3d6.
Heroes of Horror 83</t>
        </r>
      </text>
    </comment>
    <comment ref="A4" authorId="0" shapeId="0" xr:uid="{F6991E98-99F9-4C3E-8543-4F46E1B650C6}">
      <text>
        <r>
          <rPr>
            <sz val="12"/>
            <color indexed="81"/>
            <rFont val="Times New Roman"/>
            <family val="1"/>
          </rPr>
          <t xml:space="preserve">In addition to your studies of the darkness, you have spent time studying dragons and constructs.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ability on dragons and constructs. You use Knowledge (arcana)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use that class feature only on aberrations, elementals, magical beasts, outsiders, and undead.
Heroes of Horror 122</t>
        </r>
      </text>
    </comment>
    <comment ref="E4" authorId="0" shapeId="0" xr:uid="{00000000-0006-0000-0400-00000F000000}">
      <text>
        <r>
          <rPr>
            <sz val="12"/>
            <color indexed="81"/>
            <rFont val="Times New Roman"/>
            <family val="1"/>
          </rPr>
          <t xml:space="preserve">You can imbue your spells with the raw energy of good.
</t>
        </r>
        <r>
          <rPr>
            <b/>
            <sz val="12"/>
            <color indexed="81"/>
            <rFont val="Times New Roman"/>
            <family val="1"/>
          </rPr>
          <t xml:space="preserve">Prerequisite: </t>
        </r>
        <r>
          <rPr>
            <sz val="12"/>
            <color indexed="81"/>
            <rFont val="Times New Roman"/>
            <family val="1"/>
          </rPr>
          <t xml:space="preserve">Any good alignment.
</t>
        </r>
        <r>
          <rPr>
            <b/>
            <sz val="12"/>
            <color indexed="81"/>
            <rFont val="Times New Roman"/>
            <family val="1"/>
          </rPr>
          <t xml:space="preserve">Benefit: </t>
        </r>
        <r>
          <rPr>
            <sz val="12"/>
            <color indexed="81"/>
            <rFont val="Times New Roman"/>
            <family val="1"/>
          </rPr>
          <t>A spell you modify with this feat gains the good descriptor.  Furthermore, if the spell deals damage, half of the damage (rounded down) results directly from divine power and is therefore not subject to be reduced by resistance or immunity to energy-based attacks.  For example, a consecrated fire storm spell cast by a 16th-level cleric deals 16d6 points of damage, half of which is fire damage and half of which is sheer divine power.  Thus, creatures immune to fire still take damage.  The consecrated spell uses up a spell slot one level higher than the spell’s actual level.
Complete Divine 79</t>
        </r>
      </text>
    </comment>
    <comment ref="E5" authorId="0" shapeId="0" xr:uid="{00000000-0006-0000-0400-000010000000}">
      <text>
        <r>
          <rPr>
            <sz val="12"/>
            <color indexed="81"/>
            <rFont val="Times New Roman"/>
            <family val="1"/>
          </rPr>
          <t>By speaking aloud a dread secret of the target creature, an archivist of 11th level or higher can dazzle a target creature for 1 round.  Unlike other dark knowledge, this ability can be used only against a single creature.  If the archivist succeeds on his Knowledge check by 10 or more, then the target is dazed for 1 round.  If the archivist succeeds on his Knowledge check by 20 or more, then the target is stunned for 1 round (if the target is immune to being stunned but not immune to being dazed, such as most undead, then the archivist can choose to daze the target instead of stunning it).
Heroes of Horror 83</t>
        </r>
      </text>
    </comment>
    <comment ref="E6" authorId="0" shapeId="0" xr:uid="{00000000-0006-0000-0400-00000C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7" authorId="0" shapeId="0" xr:uid="{00000000-0006-0000-0400-000006000000}">
      <text>
        <r>
          <rPr>
            <sz val="12"/>
            <color indexed="81"/>
            <rFont val="Times New Roman"/>
            <family val="1"/>
          </rPr>
          <t>Base Knowledge check is DC is 15.
Heroes of Horror 83</t>
        </r>
      </text>
    </comment>
    <comment ref="A8" authorId="0" shapeId="0" xr:uid="{00000000-0006-0000-0400-000007000000}">
      <text>
        <r>
          <rPr>
            <sz val="12"/>
            <color indexed="81"/>
            <rFont val="Times New Roman"/>
            <family val="1"/>
          </rPr>
          <t>Starting at 5th level, the archivist can use his dark knowledge to help his allies fight off the corrupting influence of other creatures.  Allies within 60 feet of the archivist gain a +1 bonus on saving throws against the affected creature’s abilities.  If the archivist succeeds on his Knowledge check by 10 or more, this bonus increases to +2.  If the archivist succeeds on his Knowledge check by 20 or more, this bonus increases to +3.
Heroes of Horror 83</t>
        </r>
      </text>
    </comment>
    <comment ref="A9" authorId="0" shapeId="0" xr:uid="{00000000-0006-0000-0400-000008000000}">
      <text>
        <r>
          <rPr>
            <b/>
            <sz val="12"/>
            <color indexed="81"/>
            <rFont val="Times New Roman"/>
            <family val="1"/>
          </rPr>
          <t xml:space="preserve">Tactics:  </t>
        </r>
        <r>
          <rPr>
            <sz val="12"/>
            <color indexed="81"/>
            <rFont val="Times New Roman"/>
            <family val="1"/>
          </rPr>
          <t>The archivist knows the general combat behaviors of creatures of that race, granting his allies a +1 bonus to attack rolls made against them.  For example, an archivist confronted by corruption eaters who succeeded on his Knowledge (dungeoneering) check would grant his allies the attack bonus against all the corruption eaters they fought in that encounter.
If the archivist succeeds on his Knowledge check by 10 or more, then this bonus increases to +2.  If the archivist succeeds on his Knowledge check by 20 or more, then this bonus increases to +3.
Heroes of Horror 83</t>
        </r>
      </text>
    </comment>
    <comment ref="E9" authorId="0" shapeId="0" xr:uid="{00000000-0006-0000-0400-000004000000}">
      <text>
        <r>
          <rPr>
            <sz val="12"/>
            <color indexed="81"/>
            <rFont val="Times New Roman"/>
            <family val="1"/>
          </rPr>
          <t xml:space="preserve">You have the ability to dredge up obscure knowledge in appropriate situations.
</t>
        </r>
        <r>
          <rPr>
            <b/>
            <sz val="12"/>
            <color indexed="81"/>
            <rFont val="Times New Roman"/>
            <family val="1"/>
          </rPr>
          <t xml:space="preserve">Prerequisites:  </t>
        </r>
        <r>
          <rPr>
            <sz val="12"/>
            <color indexed="81"/>
            <rFont val="Times New Roman"/>
            <family val="1"/>
          </rPr>
          <t xml:space="preserve">Gnome, Int 13.
</t>
        </r>
        <r>
          <rPr>
            <b/>
            <sz val="12"/>
            <color indexed="81"/>
            <rFont val="Times New Roman"/>
            <family val="1"/>
          </rPr>
          <t xml:space="preserve">Benefit:  </t>
        </r>
        <r>
          <rPr>
            <sz val="12"/>
            <color indexed="81"/>
            <rFont val="Times New Roman"/>
            <family val="1"/>
          </rPr>
          <t>Whenever you make a Knowledge check or a bardic knowledge check, roll twice and use the better of the two results.
Feat Bible 458</t>
        </r>
      </text>
    </comment>
    <comment ref="A10" authorId="0" shapeId="0" xr:uid="{00000000-0006-0000-0400-00000A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E10" authorId="0" shapeId="0" xr:uid="{00000000-0006-0000-04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11" authorId="0" shapeId="0" xr:uid="{17394617-CAF1-4657-9599-B0F340EBF5F1}">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12" authorId="0" shapeId="0" xr:uid="{00000000-0006-0000-0400-00000D00000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A13" authorId="0" shapeId="0" xr:uid="{00000000-0006-0000-0400-00000E000000}">
      <text>
        <r>
          <rPr>
            <b/>
            <sz val="12"/>
            <color indexed="81"/>
            <rFont val="Times New Roman"/>
            <family val="1"/>
          </rPr>
          <t xml:space="preserve">Still Mind (Ex):  </t>
        </r>
        <r>
          <rPr>
            <sz val="12"/>
            <color indexed="81"/>
            <rFont val="Times New Roman"/>
            <family val="1"/>
          </rPr>
          <t>Starting at 4th level, an archivist gains a +2 bonus on saving throws against spells and effects from the school of enchantment, due to his rigorous focus and intense mental discipline.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9" authorId="0" shapeId="0" xr:uid="{00000000-0006-0000-0500-000003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7" authorId="0" shapeId="0" xr:uid="{00000000-0006-0000-0600-000009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<sst xmlns="http://schemas.openxmlformats.org/spreadsheetml/2006/main" count="963" uniqueCount="409">
  <si>
    <t>Eldrin</t>
  </si>
  <si>
    <t>Thistlebrook</t>
  </si>
  <si>
    <t>Race</t>
  </si>
  <si>
    <t>Whisper Gnome</t>
  </si>
  <si>
    <t>Sex</t>
  </si>
  <si>
    <t>Male</t>
  </si>
  <si>
    <t>Class</t>
  </si>
  <si>
    <t>Archivist</t>
  </si>
  <si>
    <t>Level</t>
  </si>
  <si>
    <t>Region</t>
  </si>
  <si>
    <t>Age</t>
  </si>
  <si>
    <t>Deity</t>
  </si>
  <si>
    <t>Oghma</t>
  </si>
  <si>
    <t>Height</t>
  </si>
  <si>
    <t>Alignment</t>
  </si>
  <si>
    <t>Lawful Good</t>
  </si>
  <si>
    <t>Weight</t>
  </si>
  <si>
    <t>43 lbs.</t>
  </si>
  <si>
    <t>Attack Bonus</t>
  </si>
  <si>
    <t>Base Speed</t>
  </si>
  <si>
    <t>30’</t>
  </si>
  <si>
    <t>Initiative</t>
  </si>
  <si>
    <t>XPs</t>
  </si>
  <si>
    <t>Strength</t>
  </si>
  <si>
    <t>Lb. Capacity</t>
  </si>
  <si>
    <r>
      <t>29</t>
    </r>
    <r>
      <rPr>
        <sz val="13"/>
        <rFont val="Times New Roman"/>
        <family val="1"/>
      </rPr>
      <t>/</t>
    </r>
    <r>
      <rPr>
        <sz val="13"/>
        <color indexed="51"/>
        <rFont val="Times New Roman"/>
        <family val="1"/>
      </rPr>
      <t>57</t>
    </r>
    <r>
      <rPr>
        <sz val="13"/>
        <rFont val="Times New Roman"/>
        <family val="1"/>
      </rPr>
      <t>/</t>
    </r>
    <r>
      <rPr>
        <sz val="13"/>
        <color indexed="10"/>
        <rFont val="Times New Roman"/>
        <family val="1"/>
      </rPr>
      <t>86</t>
    </r>
  </si>
  <si>
    <t>Dexterity</t>
  </si>
  <si>
    <t>Lb. Carried</t>
  </si>
  <si>
    <t>Constitution</t>
  </si>
  <si>
    <t>Hit Points</t>
  </si>
  <si>
    <t>Intelligence</t>
  </si>
  <si>
    <t>Touch AC</t>
  </si>
  <si>
    <t>Wisdom</t>
  </si>
  <si>
    <t>FF AC</t>
  </si>
  <si>
    <t>Charisma</t>
  </si>
  <si>
    <t>AC</t>
  </si>
  <si>
    <t>Personality, History, and Notes</t>
  </si>
  <si>
    <t>Skills</t>
  </si>
  <si>
    <t>Skill/Save</t>
  </si>
  <si>
    <t>Rank</t>
  </si>
  <si>
    <t>Ability</t>
  </si>
  <si>
    <t>Mod.</t>
  </si>
  <si>
    <t>Ability &amp; Mod.</t>
  </si>
  <si>
    <t>Misc. Mods.</t>
  </si>
  <si>
    <t>Total</t>
  </si>
  <si>
    <t>Roll</t>
  </si>
  <si>
    <t>Check</t>
  </si>
  <si>
    <t>Notes</t>
  </si>
  <si>
    <t>Fortitude</t>
  </si>
  <si>
    <t>Reflex</t>
  </si>
  <si>
    <t>Will</t>
  </si>
  <si>
    <t>+2 vs. Enchantment &amp; Illusions</t>
  </si>
  <si>
    <t>Appraise</t>
  </si>
  <si>
    <t>0</t>
  </si>
  <si>
    <t>Balance</t>
  </si>
  <si>
    <t>Bluff</t>
  </si>
  <si>
    <t>Climb</t>
  </si>
  <si>
    <t>Concentration</t>
  </si>
  <si>
    <t>Craft:  (type)</t>
  </si>
  <si>
    <t>Decipher Script</t>
  </si>
  <si>
    <t>Diplomacy</t>
  </si>
  <si>
    <t>Disable Device</t>
  </si>
  <si>
    <t>Disguise</t>
  </si>
  <si>
    <t>Escape Artist</t>
  </si>
  <si>
    <t>Forgery</t>
  </si>
  <si>
    <t>Gather Information</t>
  </si>
  <si>
    <t>2</t>
  </si>
  <si>
    <t>Handle Animal</t>
  </si>
  <si>
    <t>Heal</t>
  </si>
  <si>
    <t>Hide</t>
  </si>
  <si>
    <t>Intimidate</t>
  </si>
  <si>
    <t>Jump</t>
  </si>
  <si>
    <t>Knowledge:  Arcana</t>
  </si>
  <si>
    <t>Knowledge:  Archit./Engin.</t>
  </si>
  <si>
    <t>Knowledge:  Dungeoneering</t>
  </si>
  <si>
    <t>Knowledge:  History</t>
  </si>
  <si>
    <t>Knowledge:  Local</t>
  </si>
  <si>
    <t>Knowledge:  Nobility &amp; Royalty</t>
  </si>
  <si>
    <t>Knowledge:  Nature</t>
  </si>
  <si>
    <t>Knowledge:  The Planes</t>
  </si>
  <si>
    <t>Knowledge:  Religion</t>
  </si>
  <si>
    <t>Listen</t>
  </si>
  <si>
    <t>Move Silently</t>
  </si>
  <si>
    <t>Open Lock</t>
  </si>
  <si>
    <t>Perform:  (type)</t>
  </si>
  <si>
    <t>Profession:  (type)</t>
  </si>
  <si>
    <t>Ride</t>
  </si>
  <si>
    <t>Search</t>
  </si>
  <si>
    <t>Sense Motive</t>
  </si>
  <si>
    <t>Sleight of Hand</t>
  </si>
  <si>
    <t>Speak Language</t>
  </si>
  <si>
    <t>Spellcraft</t>
  </si>
  <si>
    <t>Spot</t>
  </si>
  <si>
    <t>Survival</t>
  </si>
  <si>
    <t>Swim</t>
  </si>
  <si>
    <t>Tumble</t>
  </si>
  <si>
    <t>Use Magic Device</t>
  </si>
  <si>
    <t>Use Rope</t>
  </si>
  <si>
    <t>Archivist 1</t>
  </si>
  <si>
    <t>Archivist 2</t>
  </si>
  <si>
    <t>Archivist 3</t>
  </si>
  <si>
    <t>Archivist 4</t>
  </si>
  <si>
    <t>Archivist 5</t>
  </si>
  <si>
    <t>Spells in Prayerbook</t>
  </si>
  <si>
    <t>Spell</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</si>
  <si>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</si>
  <si>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</si>
  <si>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</si>
  <si>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</si>
  <si>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</si>
  <si>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</si>
  <si>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</si>
  <si>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</si>
  <si>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</si>
  <si>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</si>
  <si>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</si>
  <si>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</si>
  <si>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</si>
  <si>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</si>
  <si>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</si>
  <si>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</si>
  <si>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</si>
  <si>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</si>
  <si>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</si>
  <si>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Universal</t>
  </si>
  <si>
    <t>Touch</t>
  </si>
  <si>
    <t>Detect Magic</t>
  </si>
  <si>
    <t>60’</t>
  </si>
  <si>
    <t>1 min/lvl</t>
  </si>
  <si>
    <t>Detect Poison</t>
  </si>
  <si>
    <t>Divination</t>
  </si>
  <si>
    <t>Guidance</t>
  </si>
  <si>
    <t>1 minute</t>
  </si>
  <si>
    <t>Light</t>
  </si>
  <si>
    <t>Evocation</t>
  </si>
  <si>
    <t>V M/DF</t>
  </si>
  <si>
    <t>Mending</t>
  </si>
  <si>
    <t>10’</t>
  </si>
  <si>
    <t>Message</t>
  </si>
  <si>
    <t>V S F</t>
  </si>
  <si>
    <t>100’ + 10’/lvl</t>
  </si>
  <si>
    <t>Purify Food &amp; Drink</t>
  </si>
  <si>
    <t>Read Magic</t>
  </si>
  <si>
    <t>Personal</t>
  </si>
  <si>
    <t>Resistance</t>
  </si>
  <si>
    <t>Abjuration</t>
  </si>
  <si>
    <t>V S M/DF</t>
  </si>
  <si>
    <t>Virtue</t>
  </si>
  <si>
    <t>V S DF</t>
  </si>
  <si>
    <t>Comprehend Languages</t>
  </si>
  <si>
    <t>Cure Light Wounds</t>
  </si>
  <si>
    <t>Detect Undead</t>
  </si>
  <si>
    <t>Divine Favor</t>
  </si>
  <si>
    <t>Hide from Undead</t>
  </si>
  <si>
    <t>Obscuring Mist</t>
  </si>
  <si>
    <t>30’ radius</t>
  </si>
  <si>
    <t>Protection from Evil</t>
  </si>
  <si>
    <t>Sanctuary</t>
  </si>
  <si>
    <t>1 rnd/lvl</t>
  </si>
  <si>
    <t>Shield of Faith</t>
  </si>
  <si>
    <t>V S M</t>
  </si>
  <si>
    <t>Cure Moderate Wounds</t>
  </si>
  <si>
    <t>Hold Person</t>
  </si>
  <si>
    <t>Enchantment</t>
  </si>
  <si>
    <t>V S F/DF</t>
  </si>
  <si>
    <t>Silence</t>
  </si>
  <si>
    <t>Illusion</t>
  </si>
  <si>
    <t>400’ + 40’/lvl</t>
  </si>
  <si>
    <t>Spiritual Weapon</t>
  </si>
  <si>
    <t>Call Lightning</t>
  </si>
  <si>
    <t>Dispel Magic</t>
  </si>
  <si>
    <t>Flame of Faith</t>
  </si>
  <si>
    <t>Defenders of the Faith</t>
  </si>
  <si>
    <t>Footsteps of the Divine</t>
  </si>
  <si>
    <t>Complete Champion</t>
  </si>
  <si>
    <t>Heart’s Ease</t>
  </si>
  <si>
    <t>Permanent</t>
  </si>
  <si>
    <t>Book of Exalted Deeds</t>
  </si>
  <si>
    <t>Inspired Aim</t>
  </si>
  <si>
    <t>V</t>
  </si>
  <si>
    <t>40’</t>
  </si>
  <si>
    <t>Searing Light</t>
  </si>
  <si>
    <t>Stone Shape</t>
  </si>
  <si>
    <t>Summon Nature’s Ally III</t>
  </si>
  <si>
    <t>Prayers per Day</t>
  </si>
  <si>
    <t>Prayer</t>
  </si>
  <si>
    <t>Bonus</t>
  </si>
  <si>
    <t>DC</t>
  </si>
  <si>
    <t>Cast?</t>
  </si>
  <si>
    <t>Daily Spells by Level</t>
  </si>
  <si>
    <t>0th</t>
  </si>
  <si>
    <t>1st</t>
  </si>
  <si>
    <t>2nd</t>
  </si>
  <si>
    <t>3rd</t>
  </si>
  <si>
    <t>4th</t>
  </si>
  <si>
    <t>5th</t>
  </si>
  <si>
    <t>6th</t>
  </si>
  <si>
    <t>7th</t>
  </si>
  <si>
    <t>8th</t>
  </si>
  <si>
    <t>9th</t>
  </si>
  <si>
    <t>q</t>
  </si>
  <si>
    <t>Archivist Spells</t>
  </si>
  <si>
    <t>Intelligence Bonus</t>
  </si>
  <si>
    <t>Total Daily Spells</t>
  </si>
  <si>
    <r>
      <rPr>
        <b/>
        <i/>
        <sz val="16"/>
        <color rgb="FF0000FF"/>
        <rFont val="Times New Roman"/>
        <family val="1"/>
      </rPr>
      <t xml:space="preserve">Minimum </t>
    </r>
    <r>
      <rPr>
        <i/>
        <sz val="16"/>
        <color rgb="FF0000FF"/>
        <rFont val="Times New Roman"/>
        <family val="1"/>
      </rPr>
      <t>Known Prayers</t>
    </r>
  </si>
  <si>
    <t>Archivist Level</t>
  </si>
  <si>
    <t>all</t>
  </si>
  <si>
    <t>Whisper Gnome Spells</t>
  </si>
  <si>
    <t>Illus.</t>
  </si>
  <si>
    <t>Ghost Sound</t>
  </si>
  <si>
    <t>Mage Hand</t>
  </si>
  <si>
    <t>Silence (on self)</t>
  </si>
  <si>
    <t>Feats</t>
  </si>
  <si>
    <t>Languages</t>
  </si>
  <si>
    <t>Future Archivist Features</t>
  </si>
  <si>
    <t>1st: Academic Priest</t>
  </si>
  <si>
    <t xml:space="preserve">Common, Gnomish, </t>
  </si>
  <si>
    <t>@7th: Lore Mastery: Nobility &amp; Royalty</t>
  </si>
  <si>
    <t>Elven, Dwarven, Draconic</t>
  </si>
  <si>
    <t>@8Dark Knowledge (foe)</t>
  </si>
  <si>
    <t>@6th: Draconic Archivist</t>
  </si>
  <si>
    <t>Speak with Burrowing Animals 1/day</t>
  </si>
  <si>
    <t>@10th [Bonus Feat]: Consecrate Spell</t>
  </si>
  <si>
    <t>@9th: Trivial Knowledge</t>
  </si>
  <si>
    <t>@11th: Dark Knowlede: Dread Secret</t>
  </si>
  <si>
    <t>@12th: Weapon Focus: Ranged Spell</t>
  </si>
  <si>
    <t>Racial Abilities</t>
  </si>
  <si>
    <t>@13th: Lore Mastery: Dungeoneering</t>
  </si>
  <si>
    <t>Low-light Vision</t>
  </si>
  <si>
    <t>Archivist Features</t>
  </si>
  <si>
    <t>Darkvision 60’</t>
  </si>
  <si>
    <t>Dark Knowledge 4/day</t>
  </si>
  <si>
    <t>+1 vs. kobolds &amp; goblinoids</t>
  </si>
  <si>
    <t>Dark Knowledge (puissance)</t>
  </si>
  <si>
    <t>+4 dodge vs. Giant type</t>
  </si>
  <si>
    <t>Dark Knowledge (tactics)</t>
  </si>
  <si>
    <t>2nd: Lore Mastery: Arcana</t>
  </si>
  <si>
    <t>Weapon Proficiencies</t>
  </si>
  <si>
    <t>2nd: Lore Mastery: Decipher Script</t>
  </si>
  <si>
    <t>Simple Weapons</t>
  </si>
  <si>
    <t>Scribe Scroll</t>
  </si>
  <si>
    <t>Light and Medium Armor</t>
  </si>
  <si>
    <t>Still Mind</t>
  </si>
  <si>
    <t>Weapons and Armor</t>
  </si>
  <si>
    <t>Melee Weapon</t>
  </si>
  <si>
    <t>Dmg</t>
  </si>
  <si>
    <t>D+</t>
  </si>
  <si>
    <t>TH+</t>
  </si>
  <si>
    <t>Critical</t>
  </si>
  <si>
    <t>Type</t>
  </si>
  <si>
    <t>Wt.</t>
  </si>
  <si>
    <t>Atk</t>
  </si>
  <si>
    <t>Value</t>
  </si>
  <si>
    <t>MW Dagger</t>
  </si>
  <si>
    <t>1d3</t>
  </si>
  <si>
    <t>1</t>
  </si>
  <si>
    <t>19-20, x2</t>
  </si>
  <si>
    <t>Prcg/Slash</t>
  </si>
  <si>
    <t>2nd Attack</t>
  </si>
  <si>
    <t>-</t>
  </si>
  <si>
    <t>Spiritual Longsword</t>
  </si>
  <si>
    <t>1d8</t>
  </si>
  <si>
    <t>Slashing</t>
  </si>
  <si>
    <t>Grapple/Touch Attack</t>
  </si>
  <si>
    <t>varies</t>
  </si>
  <si>
    <t>Ranged Weapon</t>
  </si>
  <si>
    <t>Dmg.</t>
  </si>
  <si>
    <t>Rng.</t>
  </si>
  <si>
    <r>
      <rPr>
        <i/>
        <sz val="12"/>
        <color theme="0"/>
        <rFont val="Times New Roman"/>
        <family val="1"/>
      </rPr>
      <t xml:space="preserve">Call lightning </t>
    </r>
    <r>
      <rPr>
        <sz val="12"/>
        <color theme="0"/>
        <rFont val="Times New Roman"/>
        <family val="1"/>
      </rPr>
      <t>Spell</t>
    </r>
  </si>
  <si>
    <t>7d6</t>
  </si>
  <si>
    <t>X bolts remaining</t>
  </si>
  <si>
    <t>Ranged Touch Spells</t>
  </si>
  <si>
    <t>Bypass Spell Resistance</t>
  </si>
  <si>
    <t>Thrown Weapon</t>
  </si>
  <si>
    <t>50’</t>
  </si>
  <si>
    <t>MW Light Crossbow</t>
  </si>
  <si>
    <t>1d6</t>
  </si>
  <si>
    <t>120’</t>
  </si>
  <si>
    <t>Armor &amp; Shield</t>
  </si>
  <si>
    <t>AC Mod.</t>
  </si>
  <si>
    <t>Dex</t>
  </si>
  <si>
    <t>Arcane</t>
  </si>
  <si>
    <t>Speed</t>
  </si>
  <si>
    <t>Mithral Chain Shirt</t>
  </si>
  <si>
    <t>20’</t>
  </si>
  <si>
    <t>Treated as light armor</t>
  </si>
  <si>
    <t>Barkskin</t>
  </si>
  <si>
    <t>Missiles</t>
  </si>
  <si>
    <t>Qty.</t>
  </si>
  <si>
    <t>Bolts</t>
  </si>
  <si>
    <t>+0</t>
  </si>
  <si>
    <t>Scrolls and Potions</t>
  </si>
  <si>
    <t>CLev</t>
  </si>
  <si>
    <t>Scroll of Detect Poison</t>
  </si>
  <si>
    <t>Scroll of Message</t>
  </si>
  <si>
    <t>Scroll of Resistance</t>
  </si>
  <si>
    <t>Scroll of Comprehend Languages</t>
  </si>
  <si>
    <t>Scroll of Detect Undead</t>
  </si>
  <si>
    <t>Scroll of Divine Favor</t>
  </si>
  <si>
    <t>Scroll of Endure Elements</t>
  </si>
  <si>
    <t>Scroll of Shield of Faith</t>
  </si>
  <si>
    <t>Scroll of Summon Monster I</t>
  </si>
  <si>
    <t>Scroll of Barkskin</t>
  </si>
  <si>
    <t>Scroll of Fire Trap</t>
  </si>
  <si>
    <t>Scroll of Flame Blade</t>
  </si>
  <si>
    <t>Scroll of Flaming Sphere</t>
  </si>
  <si>
    <t>Potion of Cure Light Wounds</t>
  </si>
  <si>
    <t>Equipment Worn</t>
  </si>
  <si>
    <t>Item</t>
  </si>
  <si>
    <t>Effects/</t>
  </si>
  <si>
    <t>Cloak of Resistance +1</t>
  </si>
  <si>
    <t>Cold Weather Outfit</t>
  </si>
  <si>
    <t>seven</t>
  </si>
  <si>
    <t>Fur Clothing</t>
  </si>
  <si>
    <t>Sacks</t>
  </si>
  <si>
    <t>Equipment Carried</t>
  </si>
  <si>
    <t>Rope, 50’ Hemp</t>
  </si>
  <si>
    <t>Cartographer’s Kit</t>
  </si>
  <si>
    <t>Gold Coins</t>
  </si>
  <si>
    <t xml:space="preserve">Spare Notebook </t>
  </si>
  <si>
    <t>Sunrod</t>
  </si>
  <si>
    <t>Trail Rations</t>
  </si>
  <si>
    <t xml:space="preserve">Waterskin </t>
  </si>
  <si>
    <t>Heward’s Handy Haversack</t>
  </si>
  <si>
    <t>Atlases</t>
  </si>
  <si>
    <t>Books on Dark Knowledge</t>
  </si>
  <si>
    <t>Books on Superstition</t>
  </si>
  <si>
    <t>City Watch Documents</t>
  </si>
  <si>
    <t>?</t>
  </si>
  <si>
    <t>Dictionaries, Polyglot</t>
  </si>
  <si>
    <t>Personal Documents</t>
  </si>
  <si>
    <t>*</t>
  </si>
  <si>
    <t>Records of Previous Cases</t>
  </si>
  <si>
    <t>Spare Clothing</t>
  </si>
  <si>
    <t>Bedroll</t>
  </si>
  <si>
    <t>Candles</t>
  </si>
  <si>
    <t>Chalk</t>
  </si>
  <si>
    <t>Crossbow Bolts</t>
  </si>
  <si>
    <t>Everburn Torch</t>
  </si>
  <si>
    <t>Flint &amp; Steel</t>
  </si>
  <si>
    <t>Ink (1 oz. vial)</t>
  </si>
  <si>
    <t>Inkpen</t>
  </si>
  <si>
    <t>Light Military Saddle</t>
  </si>
  <si>
    <t>Oil</t>
  </si>
  <si>
    <t>Paper</t>
  </si>
  <si>
    <t>Saddlebags</t>
  </si>
  <si>
    <t>Dog Encumbrance:</t>
  </si>
  <si>
    <t>Stash:  Shipshape Way</t>
  </si>
  <si>
    <t>Total Equity:</t>
  </si>
  <si>
    <t>Mount</t>
  </si>
  <si>
    <t>Race:</t>
  </si>
  <si>
    <t>Dog</t>
  </si>
  <si>
    <t>Sex:</t>
  </si>
  <si>
    <t>Initiative:</t>
  </si>
  <si>
    <t>+3</t>
  </si>
  <si>
    <t>Moonshae Wolfhound</t>
  </si>
  <si>
    <t>Size:</t>
  </si>
  <si>
    <t>Medium</t>
  </si>
  <si>
    <t>Speed:</t>
  </si>
  <si>
    <t>Strength:</t>
  </si>
  <si>
    <t>Hit Points:</t>
  </si>
  <si>
    <t>Dexterity:</t>
  </si>
  <si>
    <t>AC:</t>
  </si>
  <si>
    <t>12</t>
  </si>
  <si>
    <t>14</t>
  </si>
  <si>
    <t>Constitution:</t>
  </si>
  <si>
    <t>BAB:</t>
  </si>
  <si>
    <t>Light Load:</t>
  </si>
  <si>
    <t>Intelligence:</t>
  </si>
  <si>
    <t>Fort:</t>
  </si>
  <si>
    <t>Up to 100 lbs.</t>
  </si>
  <si>
    <t>Wisdom:</t>
  </si>
  <si>
    <t>Ref:</t>
  </si>
  <si>
    <t>5</t>
  </si>
  <si>
    <t>Charisma:</t>
  </si>
  <si>
    <t>Will:</t>
  </si>
  <si>
    <r>
      <rPr>
        <b/>
        <sz val="13"/>
        <rFont val="Times New Roman"/>
        <family val="1"/>
      </rPr>
      <t xml:space="preserve">Armor:  </t>
    </r>
    <r>
      <rPr>
        <sz val="13"/>
        <rFont val="Times New Roman"/>
        <family val="1"/>
      </rPr>
      <t>Studded Leather</t>
    </r>
  </si>
  <si>
    <r>
      <rPr>
        <b/>
        <sz val="13"/>
        <rFont val="Times New Roman"/>
        <family val="1"/>
      </rPr>
      <t xml:space="preserve">Skills:  </t>
    </r>
    <r>
      <rPr>
        <sz val="13"/>
        <rFont val="Times New Roman"/>
        <family val="1"/>
      </rPr>
      <t>Jump 12, Listen 5, Spot 5, Survival 1, Swim 3</t>
    </r>
  </si>
  <si>
    <t xml:space="preserve">Barding (AC +3 </t>
  </si>
  <si>
    <r>
      <rPr>
        <b/>
        <sz val="13"/>
        <rFont val="Times New Roman"/>
        <family val="1"/>
      </rPr>
      <t xml:space="preserve">Attack:  </t>
    </r>
    <r>
      <rPr>
        <sz val="13"/>
        <rFont val="Times New Roman"/>
        <family val="1"/>
      </rPr>
      <t>Bite +3 melee (1d6+3)</t>
    </r>
  </si>
  <si>
    <t>reflected above).</t>
  </si>
  <si>
    <r>
      <rPr>
        <b/>
        <sz val="13"/>
        <rFont val="Times New Roman"/>
        <family val="1"/>
      </rPr>
      <t xml:space="preserve">Feats:  </t>
    </r>
    <r>
      <rPr>
        <sz val="13"/>
        <rFont val="Times New Roman"/>
        <family val="1"/>
      </rPr>
      <t>Alertness, Track</t>
    </r>
  </si>
  <si>
    <t>Potion of Cure Moderate Wounds</t>
  </si>
  <si>
    <t>Secomber</t>
  </si>
  <si>
    <t>Future Feats</t>
  </si>
  <si>
    <t>Detect Evil</t>
  </si>
  <si>
    <t>Prayers for Rainy Days</t>
  </si>
  <si>
    <t>Soft Equity Ceiling:</t>
  </si>
  <si>
    <t>Scroll of Stone Shape</t>
  </si>
  <si>
    <t>Colonel</t>
  </si>
  <si>
    <t>Curna</t>
  </si>
  <si>
    <t>Female</t>
  </si>
  <si>
    <t>Played by Alexis Álvarez</t>
  </si>
  <si>
    <t>Scroll of Dispel Magic</t>
  </si>
  <si>
    <t>Scroll of Remove Curse</t>
  </si>
  <si>
    <t>Scroll of Lesser Restoration</t>
  </si>
  <si>
    <t>Scroll of Remove Paralysis</t>
  </si>
  <si>
    <t>MW Scroll Case</t>
  </si>
  <si>
    <t>Detect Chaos</t>
  </si>
  <si>
    <t>Prayers for Today</t>
  </si>
  <si>
    <t>Prayers for Tournaments</t>
  </si>
  <si>
    <t>þ</t>
  </si>
  <si>
    <t>MW Sap</t>
  </si>
  <si>
    <t>Bludgeon</t>
  </si>
  <si>
    <t>1d4 nonlethal</t>
  </si>
  <si>
    <t>x2</t>
  </si>
  <si>
    <t>3rd:  Archivist of Nature</t>
  </si>
  <si>
    <t>Mount:  Riding Dog</t>
  </si>
  <si>
    <t>3’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</si>
</sst>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
    <numFmt numFmtId="165" formatCode="#,##0\ [$₲-474]"/>
    <numFmt numFmtId="166" formatCode="_(* #,##0_);_(* \(#,##0\);_(* &quot;-&quot;??_);_(@_)"/>
  </numFmts>
  <fonts count="69" x14ac:knownFonts="1">
    <font>
      <sz val="12"/>
      <color theme="1"/>
      <name val="Times New Roman"/>
      <family val="2"/>
    </font>
    <font>
      <sz val="12"/>
      <color theme="1"/>
      <name val="Times New Roman"/>
      <family val="2"/>
    </font>
    <font>
      <i/>
      <sz val="22"/>
      <color rgb="FFFFC000"/>
      <name val="Times New Roman"/>
      <family val="1"/>
    </font>
    <font>
      <i/>
      <sz val="22"/>
      <color indexed="17"/>
      <name val="Times New Roman"/>
      <family val="1"/>
    </font>
    <font>
      <b/>
      <sz val="12"/>
      <name val="Times New Roman"/>
      <family val="1"/>
    </font>
    <font>
      <sz val="12"/>
      <name val="Times New Roman"/>
      <family val="1"/>
    </font>
    <font>
      <u/>
      <sz val="12"/>
      <color indexed="12"/>
      <name val="Times New Roman"/>
      <family val="1"/>
    </font>
    <font>
      <i/>
      <sz val="12"/>
      <color indexed="42"/>
      <name val="Times New Roman"/>
      <family val="1"/>
    </font>
    <font>
      <b/>
      <sz val="13"/>
      <name val="Times New Roman"/>
      <family val="1"/>
    </font>
    <font>
      <sz val="13"/>
      <name val="Times New Roman"/>
      <family val="1"/>
    </font>
    <font>
      <b/>
      <sz val="13"/>
      <color indexed="10"/>
      <name val="Times New Roman"/>
      <family val="1"/>
    </font>
    <font>
      <sz val="13"/>
      <color indexed="23"/>
      <name val="Times New Roman"/>
      <family val="1"/>
    </font>
    <font>
      <sz val="13"/>
      <color indexed="17"/>
      <name val="Times New Roman"/>
      <family val="1"/>
    </font>
    <font>
      <sz val="13"/>
      <color indexed="51"/>
      <name val="Times New Roman"/>
      <family val="1"/>
    </font>
    <font>
      <sz val="13"/>
      <color indexed="10"/>
      <name val="Times New Roman"/>
      <family val="1"/>
    </font>
    <font>
      <sz val="12"/>
      <color indexed="81"/>
      <name val="Times New Roman"/>
      <family val="1"/>
    </font>
    <font>
      <b/>
      <sz val="13"/>
      <color indexed="46"/>
      <name val="Times New Roman"/>
      <family val="1"/>
    </font>
    <font>
      <b/>
      <sz val="13"/>
      <color indexed="12"/>
      <name val="Times New Roman"/>
      <family val="1"/>
    </font>
    <font>
      <b/>
      <sz val="13"/>
      <color rgb="FF00CC00"/>
      <name val="Times New Roman"/>
      <family val="1"/>
    </font>
    <font>
      <b/>
      <sz val="13"/>
      <color indexed="17"/>
      <name val="Times New Roman"/>
      <family val="1"/>
    </font>
    <font>
      <b/>
      <sz val="13"/>
      <color indexed="51"/>
      <name val="Times New Roman"/>
      <family val="1"/>
    </font>
    <font>
      <b/>
      <sz val="13"/>
      <color indexed="52"/>
      <name val="Times New Roman"/>
      <family val="1"/>
    </font>
    <font>
      <b/>
      <sz val="18"/>
      <name val="Times New Roman"/>
      <family val="1"/>
    </font>
    <font>
      <i/>
      <sz val="18"/>
      <name val="Times New Roman"/>
      <family val="1"/>
    </font>
    <font>
      <sz val="18"/>
      <name val="Times New Roman"/>
      <family val="1"/>
    </font>
    <font>
      <i/>
      <sz val="18"/>
      <color indexed="17"/>
      <name val="Times New Roman"/>
      <family val="1"/>
    </font>
    <font>
      <b/>
      <sz val="13"/>
      <color indexed="9"/>
      <name val="Times New Roman"/>
      <family val="1"/>
    </font>
    <font>
      <b/>
      <sz val="13"/>
      <color rgb="FFFFC000"/>
      <name val="Times New Roman"/>
      <family val="1"/>
    </font>
    <font>
      <b/>
      <sz val="13"/>
      <color rgb="FFFF0000"/>
      <name val="Times New Roman"/>
      <family val="1"/>
    </font>
    <font>
      <b/>
      <sz val="13"/>
      <color rgb="FF0000FF"/>
      <name val="Times New Roman"/>
      <family val="1"/>
    </font>
    <font>
      <sz val="13"/>
      <color rgb="FFFFC000"/>
      <name val="Times New Roman"/>
      <family val="1"/>
    </font>
    <font>
      <sz val="13"/>
      <color indexed="46"/>
      <name val="Times New Roman"/>
      <family val="1"/>
    </font>
    <font>
      <sz val="13"/>
      <color indexed="52"/>
      <name val="Times New Roman"/>
      <family val="1"/>
    </font>
    <font>
      <sz val="13"/>
      <color indexed="12"/>
      <name val="Times New Roman"/>
      <family val="1"/>
    </font>
    <font>
      <i/>
      <sz val="12"/>
      <color indexed="81"/>
      <name val="Times New Roman"/>
      <family val="1"/>
    </font>
    <font>
      <i/>
      <sz val="18"/>
      <color indexed="12"/>
      <name val="Times New Roman"/>
      <family val="1"/>
    </font>
    <font>
      <sz val="10"/>
      <name val="Arial"/>
      <family val="2"/>
    </font>
    <font>
      <sz val="12"/>
      <color theme="1"/>
      <name val="Wingdings"/>
      <charset val="2"/>
    </font>
    <font>
      <i/>
      <sz val="16"/>
      <color rgb="FF0000FF"/>
      <name val="Times New Roman"/>
      <family val="1"/>
    </font>
    <font>
      <i/>
      <sz val="18"/>
      <color rgb="FF7030A0"/>
      <name val="Times New Roman"/>
      <family val="1"/>
    </font>
    <font>
      <b/>
      <sz val="12"/>
      <color theme="0"/>
      <name val="Times New Roman"/>
      <family val="1"/>
    </font>
    <font>
      <i/>
      <sz val="18"/>
      <color rgb="FF0000FF"/>
      <name val="Times New Roman"/>
      <family val="1"/>
    </font>
    <font>
      <b/>
      <sz val="12"/>
      <color theme="1"/>
      <name val="Times New Roman"/>
      <family val="1"/>
    </font>
    <font>
      <b/>
      <sz val="12"/>
      <color rgb="FF0000FF"/>
      <name val="Times New Roman"/>
      <family val="1"/>
    </font>
    <font>
      <i/>
      <sz val="16"/>
      <color indexed="53"/>
      <name val="Times New Roman"/>
      <family val="1"/>
    </font>
    <font>
      <i/>
      <sz val="16"/>
      <color indexed="57"/>
      <name val="Times New Roman"/>
      <family val="1"/>
    </font>
    <font>
      <sz val="13"/>
      <color rgb="FF0000FF"/>
      <name val="Times New Roman"/>
      <family val="1"/>
    </font>
    <font>
      <i/>
      <sz val="16"/>
      <color rgb="FFFFC000"/>
      <name val="Times New Roman"/>
      <family val="1"/>
    </font>
    <font>
      <i/>
      <sz val="16"/>
      <color indexed="10"/>
      <name val="Times New Roman"/>
      <family val="1"/>
    </font>
    <font>
      <b/>
      <sz val="12"/>
      <color indexed="81"/>
      <name val="Times New Roman"/>
      <family val="1"/>
    </font>
    <font>
      <b/>
      <sz val="12"/>
      <color indexed="9"/>
      <name val="Times New Roman"/>
      <family val="1"/>
    </font>
    <font>
      <b/>
      <sz val="12"/>
      <color rgb="FFFFC000"/>
      <name val="Times New Roman"/>
      <family val="1"/>
    </font>
    <font>
      <sz val="12"/>
      <color rgb="FFFFC000"/>
      <name val="Times New Roman"/>
      <family val="1"/>
    </font>
    <font>
      <sz val="12"/>
      <color theme="0"/>
      <name val="Times New Roman"/>
      <family val="1"/>
    </font>
    <font>
      <b/>
      <i/>
      <sz val="16"/>
      <color rgb="FF0000FF"/>
      <name val="Times New Roman"/>
      <family val="1"/>
    </font>
    <font>
      <i/>
      <sz val="12"/>
      <color indexed="9"/>
      <name val="Times New Roman"/>
      <family val="1"/>
    </font>
    <font>
      <i/>
      <sz val="10"/>
      <name val="Times New Roman"/>
      <family val="1"/>
    </font>
    <font>
      <b/>
      <sz val="13"/>
      <color indexed="20"/>
      <name val="Times New Roman"/>
      <family val="1"/>
    </font>
    <font>
      <sz val="12"/>
      <name val="Times New Roman"/>
      <family val="1"/>
      <charset val="1"/>
    </font>
    <font>
      <sz val="13"/>
      <color rgb="FFFF0000"/>
      <name val="Times New Roman"/>
      <family val="1"/>
    </font>
    <font>
      <i/>
      <sz val="17"/>
      <name val="Times New Roman"/>
      <family val="1"/>
    </font>
    <font>
      <b/>
      <sz val="13"/>
      <color rgb="FF00B0F0"/>
      <name val="Times New Roman"/>
      <family val="1"/>
    </font>
    <font>
      <sz val="13"/>
      <color rgb="FF3333FF"/>
      <name val="Times New Roman"/>
      <family val="1"/>
    </font>
    <font>
      <i/>
      <sz val="12"/>
      <color theme="0"/>
      <name val="Times New Roman"/>
      <family val="1"/>
    </font>
    <font>
      <i/>
      <sz val="20"/>
      <color indexed="12"/>
      <name val="Times New Roman"/>
      <family val="1"/>
    </font>
    <font>
      <i/>
      <sz val="20"/>
      <color rgb="FF0000FF"/>
      <name val="Times New Roman"/>
      <family val="1"/>
    </font>
    <font>
      <i/>
      <sz val="20"/>
      <color rgb="FF9966FF"/>
      <name val="Times New Roman"/>
      <family val="1"/>
    </font>
    <font>
      <i/>
      <sz val="22"/>
      <color rgb="FF9966FF"/>
      <name val="Times New Roman"/>
      <family val="1"/>
    </font>
    <font>
      <b/>
      <sz val="13"/>
      <color rgb="FF9999FF"/>
      <name val="Times New Roman"/>
      <family val="1"/>
    </font>
  </fonts>
  <fills count="19">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11"/>
        <bgColor indexed="64"/>
      </patternFill>
    </fill>
    <fill>
      <patternFill patternType="solid">
        <fgColor indexed="17"/>
        <bgColor indexed="64"/>
      </patternFill>
    </fill>
    <fill>
      <patternFill patternType="solid">
        <fgColor rgb="FF7030A0"/>
        <bgColor indexed="64"/>
      </patternFill>
    </fill>
    <fill>
      <patternFill patternType="solid">
        <fgColor rgb="FFCCFFCC"/>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indexed="12"/>
        <bgColor indexed="64"/>
      </patternFill>
    </fill>
    <fill>
      <patternFill patternType="solid">
        <fgColor rgb="FF0000FF"/>
        <bgColor indexed="64"/>
      </patternFill>
    </fill>
    <fill>
      <patternFill patternType="solid">
        <fgColor rgb="FFFF0000"/>
        <bgColor indexed="64"/>
      </patternFill>
    </fill>
    <fill>
      <patternFill patternType="solid">
        <fgColor rgb="FF00FF00"/>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indexed="10"/>
        <bgColor indexed="64"/>
      </patternFill>
    </fill>
    <fill>
      <patternFill patternType="solid">
        <fgColor rgb="FF9966FF"/>
        <bgColor indexed="64"/>
      </patternFill>
    </fill>
    <fill>
      <patternFill patternType="solid">
        <fgColor rgb="FFCCCCFF"/>
        <bgColor indexed="64"/>
      </patternFill>
    </fill>
  </fills>
  <borders count="148">
    <border>
      <left/>
      <right/>
      <top/>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double">
        <color indexed="64"/>
      </right>
      <top style="double">
        <color indexed="64"/>
      </top>
      <bottom style="thick">
        <color rgb="FF009900"/>
      </bottom>
      <diagonal/>
    </border>
    <border>
      <left style="double">
        <color indexed="64"/>
      </left>
      <right/>
      <top/>
      <bottom/>
      <diagonal/>
    </border>
    <border>
      <left/>
      <right style="double">
        <color indexed="64"/>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style="thin">
        <color indexed="64"/>
      </bottom>
      <diagonal/>
    </border>
    <border>
      <left style="thin">
        <color auto="1"/>
      </left>
      <right style="double">
        <color auto="1"/>
      </right>
      <top style="double">
        <color auto="1"/>
      </top>
      <bottom style="thin">
        <color auto="1"/>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bottom style="thin">
        <color indexed="9"/>
      </bottom>
      <diagonal/>
    </border>
    <border>
      <left style="double">
        <color indexed="64"/>
      </left>
      <right style="thin">
        <color indexed="64"/>
      </right>
      <top/>
      <bottom style="double">
        <color indexed="64"/>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top/>
      <bottom style="hair">
        <color indexed="64"/>
      </bottom>
      <diagonal/>
    </border>
    <border>
      <left style="double">
        <color indexed="64"/>
      </left>
      <right/>
      <top style="hair">
        <color indexed="64"/>
      </top>
      <bottom/>
      <diagonal/>
    </border>
    <border>
      <left style="hair">
        <color indexed="64"/>
      </left>
      <right/>
      <top style="hair">
        <color indexed="64"/>
      </top>
      <bottom style="double">
        <color indexed="64"/>
      </bottom>
      <diagonal/>
    </border>
    <border>
      <left style="double">
        <color indexed="64"/>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style="medium">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double">
        <color indexed="64"/>
      </right>
      <top style="thin">
        <color auto="1"/>
      </top>
      <bottom style="medium">
        <color indexed="64"/>
      </bottom>
      <diagonal/>
    </border>
    <border>
      <left style="double">
        <color indexed="64"/>
      </left>
      <right style="thin">
        <color indexed="64"/>
      </right>
      <top style="thin">
        <color indexed="9"/>
      </top>
      <bottom style="thin">
        <color indexed="9"/>
      </bottom>
      <diagonal/>
    </border>
    <border>
      <left style="thin">
        <color indexed="64"/>
      </left>
      <right/>
      <top style="thin">
        <color indexed="64"/>
      </top>
      <bottom style="thin">
        <color indexed="64"/>
      </bottom>
      <diagonal/>
    </border>
    <border>
      <left style="medium">
        <color indexed="64"/>
      </left>
      <right style="thin">
        <color indexed="64"/>
      </right>
      <top style="thin">
        <color indexed="9"/>
      </top>
      <bottom style="thin">
        <color indexed="9"/>
      </bottom>
      <diagonal/>
    </border>
    <border>
      <left/>
      <right style="double">
        <color indexed="64"/>
      </right>
      <top style="thin">
        <color indexed="64"/>
      </top>
      <bottom style="thin">
        <color indexed="64"/>
      </bottom>
      <diagonal/>
    </border>
    <border>
      <left style="medium">
        <color indexed="64"/>
      </left>
      <right style="thin">
        <color indexed="64"/>
      </right>
      <top style="thin">
        <color indexed="9"/>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double">
        <color indexed="64"/>
      </bottom>
      <diagonal/>
    </border>
  </borders>
  <cellStyleXfs count="12">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36" fillId="0" borderId="0" applyFill="0" applyBorder="0"/>
    <xf numFmtId="0" fontId="5" fillId="0" borderId="0"/>
    <xf numFmtId="0" fontId="58" fillId="0" borderId="0"/>
    <xf numFmtId="0" fontId="36" fillId="0" borderId="0"/>
    <xf numFmtId="0" fontId="5" fillId="0" borderId="0"/>
    <xf numFmtId="0" fontId="1" fillId="0" borderId="0"/>
    <xf numFmtId="9" fontId="5" fillId="0" borderId="0" applyFont="0" applyFill="0" applyBorder="0" applyAlignment="0" applyProtection="0"/>
    <xf numFmtId="43" fontId="1" fillId="0" borderId="0" applyFont="0" applyFill="0" applyBorder="0" applyAlignment="0" applyProtection="0"/>
  </cellStyleXfs>
  <cellXfs count="583">
    <xf numFmtId="0" fontId="0" fillId="0" borderId="0" xfId="0"/>
    <xf numFmtId="0" fontId="2" fillId="2" borderId="1" xfId="0" applyFont="1" applyFill="1" applyBorder="1" applyAlignment="1">
      <alignment horizontal="right" vertical="center"/>
    </xf>
    <xf numFmtId="0" fontId="2" fillId="2" borderId="2" xfId="0" applyFont="1" applyFill="1" applyBorder="1" applyAlignment="1">
      <alignment horizontal="left" vertical="center"/>
    </xf>
    <xf numFmtId="0" fontId="3" fillId="2" borderId="2" xfId="0" applyFont="1" applyFill="1" applyBorder="1" applyAlignment="1">
      <alignment horizontal="left" vertical="center"/>
    </xf>
    <xf numFmtId="0" fontId="4" fillId="2" borderId="2"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7" fillId="2" borderId="3" xfId="2" applyFont="1" applyFill="1" applyBorder="1" applyAlignment="1" applyProtection="1">
      <alignment horizontal="right" vertical="center"/>
    </xf>
    <xf numFmtId="0" fontId="8" fillId="0" borderId="4" xfId="0" applyFont="1" applyBorder="1" applyAlignment="1">
      <alignment horizontal="right" vertical="center"/>
    </xf>
    <xf numFmtId="0" fontId="9" fillId="0" borderId="0" xfId="0" applyFont="1" applyAlignment="1">
      <alignment horizontal="centerContinuous" vertical="center"/>
    </xf>
    <xf numFmtId="0" fontId="8" fillId="0" borderId="0" xfId="0" applyFont="1" applyAlignment="1">
      <alignment horizontal="right" vertical="center"/>
    </xf>
    <xf numFmtId="0" fontId="9" fillId="0" borderId="0" xfId="0" applyFont="1" applyAlignment="1">
      <alignment horizontal="center" vertical="center"/>
    </xf>
    <xf numFmtId="0" fontId="0" fillId="0" borderId="0" xfId="0" applyAlignment="1">
      <alignment vertical="center"/>
    </xf>
    <xf numFmtId="0" fontId="9" fillId="0" borderId="5" xfId="0" applyFont="1" applyBorder="1" applyAlignment="1">
      <alignment horizontal="left" vertical="center"/>
    </xf>
    <xf numFmtId="0" fontId="8" fillId="3" borderId="6" xfId="0" applyFont="1" applyFill="1" applyBorder="1" applyAlignment="1">
      <alignment horizontal="right" vertical="center"/>
    </xf>
    <xf numFmtId="0" fontId="8" fillId="3" borderId="9" xfId="0" applyFont="1" applyFill="1" applyBorder="1" applyAlignment="1">
      <alignment horizontal="right" vertical="center"/>
    </xf>
    <xf numFmtId="49" fontId="9" fillId="0" borderId="10" xfId="0" applyNumberFormat="1" applyFont="1" applyBorder="1" applyAlignment="1">
      <alignment horizontal="center" vertical="center"/>
    </xf>
    <xf numFmtId="0" fontId="10" fillId="2" borderId="11" xfId="0" applyFont="1" applyFill="1" applyBorder="1" applyAlignment="1">
      <alignment horizontal="right" vertical="center"/>
    </xf>
    <xf numFmtId="0" fontId="11" fillId="0" borderId="15" xfId="0" applyFont="1" applyBorder="1" applyAlignment="1">
      <alignment horizontal="center" vertical="center"/>
    </xf>
    <xf numFmtId="0" fontId="10" fillId="3" borderId="16" xfId="0" applyFont="1" applyFill="1" applyBorder="1" applyAlignment="1">
      <alignment horizontal="right" vertical="center"/>
    </xf>
    <xf numFmtId="49" fontId="12" fillId="0" borderId="12" xfId="0" applyNumberFormat="1" applyFont="1" applyBorder="1" applyAlignment="1">
      <alignment horizontal="center" shrinkToFit="1"/>
    </xf>
    <xf numFmtId="49" fontId="11" fillId="0" borderId="15" xfId="0" applyNumberFormat="1" applyFont="1" applyBorder="1" applyAlignment="1">
      <alignment horizontal="center" vertical="center"/>
    </xf>
    <xf numFmtId="0" fontId="21" fillId="2" borderId="17" xfId="0" applyFont="1" applyFill="1" applyBorder="1" applyAlignment="1">
      <alignment horizontal="right" vertical="center"/>
    </xf>
    <xf numFmtId="49" fontId="11" fillId="0" borderId="13" xfId="0" applyNumberFormat="1" applyFont="1" applyBorder="1" applyAlignment="1">
      <alignment horizontal="center" vertical="center"/>
    </xf>
    <xf numFmtId="0" fontId="9" fillId="0" borderId="0" xfId="0" applyFont="1" applyAlignment="1">
      <alignment horizontal="left" vertical="center"/>
    </xf>
    <xf numFmtId="0" fontId="22" fillId="0" borderId="0" xfId="0" applyFont="1" applyAlignment="1">
      <alignment vertical="center"/>
    </xf>
    <xf numFmtId="0" fontId="22" fillId="0" borderId="5" xfId="0" applyFont="1" applyBorder="1" applyAlignment="1">
      <alignment vertical="center"/>
    </xf>
    <xf numFmtId="164" fontId="8" fillId="4" borderId="18" xfId="0" applyNumberFormat="1" applyFont="1" applyFill="1" applyBorder="1" applyAlignment="1">
      <alignment horizontal="center" vertical="center"/>
    </xf>
    <xf numFmtId="0" fontId="23" fillId="0" borderId="4" xfId="0" applyFont="1" applyBorder="1" applyAlignment="1">
      <alignment vertical="center"/>
    </xf>
    <xf numFmtId="0" fontId="24" fillId="0" borderId="0" xfId="0" applyFont="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4"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25" fillId="0" borderId="25" xfId="0" applyFont="1" applyBorder="1" applyAlignment="1">
      <alignment horizontal="centerContinuous" vertical="center"/>
    </xf>
    <xf numFmtId="0" fontId="22" fillId="0" borderId="0" xfId="0" applyFont="1" applyAlignment="1">
      <alignment horizontal="centerContinuous" vertical="center"/>
    </xf>
    <xf numFmtId="0" fontId="26" fillId="5" borderId="26" xfId="0" applyFont="1" applyFill="1" applyBorder="1" applyAlignment="1">
      <alignment horizontal="centerContinuous" vertical="center"/>
    </xf>
    <xf numFmtId="0" fontId="26" fillId="5" borderId="27" xfId="0" applyFont="1" applyFill="1" applyBorder="1" applyAlignment="1">
      <alignment horizontal="center" vertical="center"/>
    </xf>
    <xf numFmtId="0" fontId="26" fillId="5" borderId="27" xfId="0" applyFont="1" applyFill="1" applyBorder="1" applyAlignment="1">
      <alignment horizontal="center" vertical="center" wrapText="1"/>
    </xf>
    <xf numFmtId="0" fontId="27" fillId="6" borderId="28" xfId="0" applyFont="1" applyFill="1" applyBorder="1" applyAlignment="1">
      <alignment horizontal="center" vertical="center" wrapText="1"/>
    </xf>
    <xf numFmtId="0" fontId="26" fillId="5" borderId="29" xfId="0" applyFont="1" applyFill="1" applyBorder="1" applyAlignment="1">
      <alignment horizontal="center" vertical="center"/>
    </xf>
    <xf numFmtId="0" fontId="28" fillId="0" borderId="4" xfId="0" applyFont="1" applyBorder="1" applyAlignment="1">
      <alignment vertical="center"/>
    </xf>
    <xf numFmtId="0" fontId="8" fillId="0" borderId="30" xfId="0" applyFont="1" applyBorder="1" applyAlignment="1">
      <alignment horizontal="center" vertical="center"/>
    </xf>
    <xf numFmtId="0" fontId="9" fillId="0" borderId="30" xfId="0" applyFont="1" applyBorder="1" applyAlignment="1">
      <alignment horizontal="center" vertical="center"/>
    </xf>
    <xf numFmtId="0" fontId="29" fillId="0" borderId="30" xfId="0" applyFont="1" applyBorder="1" applyAlignment="1">
      <alignment horizontal="center" vertical="center" wrapText="1"/>
    </xf>
    <xf numFmtId="1" fontId="9" fillId="0" borderId="30" xfId="0" applyNumberFormat="1" applyFont="1" applyBorder="1" applyAlignment="1">
      <alignment horizontal="center" vertical="center" wrapText="1"/>
    </xf>
    <xf numFmtId="0" fontId="30" fillId="6" borderId="31" xfId="0" applyFont="1" applyFill="1" applyBorder="1" applyAlignment="1">
      <alignment horizontal="center" vertical="center"/>
    </xf>
    <xf numFmtId="49" fontId="9" fillId="0" borderId="30" xfId="0" applyNumberFormat="1" applyFont="1" applyBorder="1" applyAlignment="1">
      <alignment horizontal="center" vertical="center" wrapText="1"/>
    </xf>
    <xf numFmtId="0" fontId="9" fillId="0" borderId="5" xfId="0" quotePrefix="1" applyFont="1" applyBorder="1" applyAlignment="1">
      <alignment horizontal="center" vertical="center"/>
    </xf>
    <xf numFmtId="0" fontId="16" fillId="0" borderId="31" xfId="0" applyFont="1" applyBorder="1" applyAlignment="1">
      <alignment horizontal="center" vertical="center"/>
    </xf>
    <xf numFmtId="0" fontId="29" fillId="0" borderId="32" xfId="0" applyFont="1" applyBorder="1" applyAlignment="1">
      <alignment vertical="center"/>
    </xf>
    <xf numFmtId="0" fontId="8" fillId="0" borderId="33" xfId="0" applyFont="1" applyBorder="1" applyAlignment="1">
      <alignment horizontal="center" vertical="center"/>
    </xf>
    <xf numFmtId="0" fontId="9" fillId="0" borderId="33" xfId="0" applyFont="1" applyBorder="1" applyAlignment="1">
      <alignment horizontal="center" vertical="center"/>
    </xf>
    <xf numFmtId="0" fontId="27" fillId="0" borderId="33" xfId="0" applyFont="1" applyBorder="1" applyAlignment="1">
      <alignment horizontal="center" vertical="center" wrapText="1"/>
    </xf>
    <xf numFmtId="1" fontId="9" fillId="0" borderId="33" xfId="0" applyNumberFormat="1" applyFont="1" applyBorder="1" applyAlignment="1">
      <alignment horizontal="center" vertical="center" wrapText="1"/>
    </xf>
    <xf numFmtId="0" fontId="30" fillId="6" borderId="33" xfId="0" applyFont="1" applyFill="1" applyBorder="1" applyAlignment="1">
      <alignment horizontal="center" vertical="center"/>
    </xf>
    <xf numFmtId="49" fontId="9" fillId="0" borderId="33" xfId="0" applyNumberFormat="1" applyFont="1" applyBorder="1" applyAlignment="1">
      <alignment horizontal="center" vertical="center" wrapText="1"/>
    </xf>
    <xf numFmtId="0" fontId="9" fillId="0" borderId="34" xfId="0" quotePrefix="1" applyFont="1" applyBorder="1" applyAlignment="1">
      <alignment horizontal="center" vertical="center"/>
    </xf>
    <xf numFmtId="0" fontId="19" fillId="0" borderId="4" xfId="0" applyFont="1" applyBorder="1" applyAlignment="1">
      <alignment vertical="center"/>
    </xf>
    <xf numFmtId="49" fontId="12" fillId="0" borderId="30" xfId="0" applyNumberFormat="1" applyFont="1" applyBorder="1" applyAlignment="1">
      <alignment horizontal="center" vertical="center"/>
    </xf>
    <xf numFmtId="0" fontId="12" fillId="0" borderId="31" xfId="0" applyFont="1" applyBorder="1" applyAlignment="1">
      <alignment horizontal="center" vertical="center"/>
    </xf>
    <xf numFmtId="0" fontId="19" fillId="0" borderId="31" xfId="0" applyFont="1" applyBorder="1" applyAlignment="1">
      <alignment horizontal="center" vertical="center"/>
    </xf>
    <xf numFmtId="49" fontId="9" fillId="0" borderId="31" xfId="0" applyNumberFormat="1" applyFont="1" applyBorder="1" applyAlignment="1">
      <alignment horizontal="center" vertical="center"/>
    </xf>
    <xf numFmtId="0" fontId="9" fillId="0" borderId="35" xfId="0" applyFont="1" applyBorder="1" applyAlignment="1">
      <alignment horizontal="center" vertical="center"/>
    </xf>
    <xf numFmtId="0" fontId="16" fillId="0" borderId="4" xfId="0" applyFont="1" applyBorder="1" applyAlignment="1">
      <alignment vertical="center"/>
    </xf>
    <xf numFmtId="49" fontId="31" fillId="0" borderId="30" xfId="0" applyNumberFormat="1" applyFont="1" applyBorder="1" applyAlignment="1">
      <alignment horizontal="center" vertical="center"/>
    </xf>
    <xf numFmtId="0" fontId="31" fillId="0" borderId="31" xfId="0" applyFont="1" applyBorder="1" applyAlignment="1">
      <alignment horizontal="center" vertical="center"/>
    </xf>
    <xf numFmtId="0" fontId="21" fillId="0" borderId="4" xfId="0" applyFont="1" applyBorder="1" applyAlignment="1">
      <alignment vertical="center"/>
    </xf>
    <xf numFmtId="49" fontId="32" fillId="0" borderId="30" xfId="0" applyNumberFormat="1" applyFont="1" applyBorder="1" applyAlignment="1">
      <alignment horizontal="center" vertical="center"/>
    </xf>
    <xf numFmtId="0" fontId="32" fillId="0" borderId="31" xfId="0" applyFont="1" applyBorder="1" applyAlignment="1">
      <alignment horizontal="center" vertical="center"/>
    </xf>
    <xf numFmtId="0" fontId="21" fillId="0" borderId="31" xfId="0" applyFont="1" applyBorder="1" applyAlignment="1">
      <alignment horizontal="center" vertical="center"/>
    </xf>
    <xf numFmtId="0" fontId="10" fillId="0" borderId="4" xfId="0" applyFont="1" applyBorder="1" applyAlignment="1">
      <alignment vertical="center"/>
    </xf>
    <xf numFmtId="49" fontId="14" fillId="0" borderId="30" xfId="0" applyNumberFormat="1" applyFont="1" applyBorder="1" applyAlignment="1">
      <alignment horizontal="center" vertical="center"/>
    </xf>
    <xf numFmtId="0" fontId="14" fillId="0" borderId="31" xfId="0" applyFont="1" applyBorder="1" applyAlignment="1">
      <alignment horizontal="center" vertical="center"/>
    </xf>
    <xf numFmtId="0" fontId="10" fillId="0" borderId="31" xfId="0" applyFont="1" applyBorder="1" applyAlignment="1">
      <alignment horizontal="center" vertical="center"/>
    </xf>
    <xf numFmtId="0" fontId="17" fillId="7" borderId="4" xfId="0" applyFont="1" applyFill="1" applyBorder="1" applyAlignment="1">
      <alignment vertical="center"/>
    </xf>
    <xf numFmtId="0" fontId="9" fillId="7" borderId="30" xfId="0" applyFont="1" applyFill="1" applyBorder="1" applyAlignment="1">
      <alignment horizontal="center" vertical="center"/>
    </xf>
    <xf numFmtId="49" fontId="33" fillId="7" borderId="30" xfId="0" applyNumberFormat="1" applyFont="1" applyFill="1" applyBorder="1" applyAlignment="1">
      <alignment horizontal="center" vertical="center"/>
    </xf>
    <xf numFmtId="0" fontId="33" fillId="7" borderId="31" xfId="0" applyFont="1" applyFill="1" applyBorder="1" applyAlignment="1">
      <alignment horizontal="center" vertical="center"/>
    </xf>
    <xf numFmtId="0" fontId="17" fillId="7" borderId="31" xfId="0" applyFont="1" applyFill="1" applyBorder="1" applyAlignment="1">
      <alignment horizontal="center" vertical="center"/>
    </xf>
    <xf numFmtId="49" fontId="9" fillId="7" borderId="31" xfId="0" applyNumberFormat="1" applyFont="1" applyFill="1" applyBorder="1" applyAlignment="1">
      <alignment horizontal="center" vertical="center"/>
    </xf>
    <xf numFmtId="0" fontId="9" fillId="7" borderId="35" xfId="0" applyFont="1" applyFill="1" applyBorder="1" applyAlignment="1">
      <alignment horizontal="center" vertical="center"/>
    </xf>
    <xf numFmtId="49" fontId="9" fillId="0" borderId="30" xfId="0" applyNumberFormat="1" applyFont="1" applyBorder="1" applyAlignment="1">
      <alignment horizontal="center" vertical="center"/>
    </xf>
    <xf numFmtId="0" fontId="9" fillId="0" borderId="35" xfId="0" quotePrefix="1" applyFont="1" applyBorder="1" applyAlignment="1">
      <alignment horizontal="center" vertical="center"/>
    </xf>
    <xf numFmtId="0" fontId="19" fillId="7" borderId="4" xfId="0" applyFont="1" applyFill="1" applyBorder="1" applyAlignment="1">
      <alignment vertical="center"/>
    </xf>
    <xf numFmtId="49" fontId="12" fillId="7" borderId="30" xfId="0" applyNumberFormat="1" applyFont="1" applyFill="1" applyBorder="1" applyAlignment="1">
      <alignment horizontal="center" vertical="center"/>
    </xf>
    <xf numFmtId="0" fontId="12" fillId="7" borderId="31" xfId="0" applyFont="1" applyFill="1" applyBorder="1" applyAlignment="1">
      <alignment horizontal="center" vertical="center"/>
    </xf>
    <xf numFmtId="0" fontId="19" fillId="7" borderId="31" xfId="0" applyFont="1" applyFill="1" applyBorder="1" applyAlignment="1">
      <alignment horizontal="center" vertical="center"/>
    </xf>
    <xf numFmtId="0" fontId="19" fillId="8" borderId="4" xfId="0" applyFont="1" applyFill="1" applyBorder="1" applyAlignment="1">
      <alignment vertical="center"/>
    </xf>
    <xf numFmtId="0" fontId="9" fillId="8" borderId="30" xfId="0" applyFont="1" applyFill="1" applyBorder="1" applyAlignment="1">
      <alignment horizontal="center" vertical="center"/>
    </xf>
    <xf numFmtId="49" fontId="12" fillId="8" borderId="30" xfId="0" applyNumberFormat="1" applyFont="1" applyFill="1" applyBorder="1" applyAlignment="1">
      <alignment horizontal="center" vertical="center"/>
    </xf>
    <xf numFmtId="0" fontId="12" fillId="8" borderId="31" xfId="0" applyFont="1" applyFill="1" applyBorder="1" applyAlignment="1">
      <alignment horizontal="center" vertical="center"/>
    </xf>
    <xf numFmtId="0" fontId="19" fillId="8" borderId="31" xfId="0" applyFont="1" applyFill="1" applyBorder="1" applyAlignment="1">
      <alignment horizontal="center" vertical="center"/>
    </xf>
    <xf numFmtId="49" fontId="9" fillId="8" borderId="31" xfId="0" applyNumberFormat="1" applyFont="1" applyFill="1" applyBorder="1" applyAlignment="1">
      <alignment horizontal="center" vertical="center"/>
    </xf>
    <xf numFmtId="0" fontId="9" fillId="8" borderId="35" xfId="0" applyFont="1" applyFill="1" applyBorder="1" applyAlignment="1">
      <alignment horizontal="center" vertical="center"/>
    </xf>
    <xf numFmtId="0" fontId="21" fillId="8" borderId="4" xfId="0" applyFont="1" applyFill="1" applyBorder="1" applyAlignment="1">
      <alignment vertical="center"/>
    </xf>
    <xf numFmtId="49" fontId="32" fillId="8" borderId="30" xfId="0" applyNumberFormat="1" applyFont="1" applyFill="1" applyBorder="1" applyAlignment="1">
      <alignment horizontal="center" vertical="center"/>
    </xf>
    <xf numFmtId="0" fontId="32" fillId="8" borderId="31" xfId="0" applyFont="1" applyFill="1" applyBorder="1" applyAlignment="1">
      <alignment horizontal="center" vertical="center"/>
    </xf>
    <xf numFmtId="0" fontId="21" fillId="8" borderId="31" xfId="0" applyFont="1" applyFill="1" applyBorder="1" applyAlignment="1">
      <alignment horizontal="center" vertical="center"/>
    </xf>
    <xf numFmtId="0" fontId="20" fillId="0" borderId="4" xfId="0" applyFont="1" applyBorder="1" applyAlignment="1">
      <alignment vertical="center"/>
    </xf>
    <xf numFmtId="49" fontId="13" fillId="0" borderId="30" xfId="0" applyNumberFormat="1" applyFont="1" applyBorder="1" applyAlignment="1">
      <alignment horizontal="center" vertical="center"/>
    </xf>
    <xf numFmtId="0" fontId="13" fillId="0" borderId="31" xfId="0" applyFont="1" applyBorder="1" applyAlignment="1">
      <alignment horizontal="center" vertical="center"/>
    </xf>
    <xf numFmtId="0" fontId="20" fillId="0" borderId="31" xfId="0" applyFont="1" applyBorder="1" applyAlignment="1">
      <alignment horizontal="center" vertical="center"/>
    </xf>
    <xf numFmtId="0" fontId="21" fillId="9" borderId="4" xfId="0" applyFont="1" applyFill="1" applyBorder="1" applyAlignment="1">
      <alignment vertical="center"/>
    </xf>
    <xf numFmtId="0" fontId="9" fillId="9" borderId="30" xfId="0" applyFont="1" applyFill="1" applyBorder="1" applyAlignment="1">
      <alignment horizontal="center" vertical="center"/>
    </xf>
    <xf numFmtId="49" fontId="13" fillId="9" borderId="30" xfId="0" applyNumberFormat="1" applyFont="1" applyFill="1" applyBorder="1" applyAlignment="1">
      <alignment horizontal="center" vertical="center"/>
    </xf>
    <xf numFmtId="0" fontId="13" fillId="9" borderId="31" xfId="0" applyFont="1" applyFill="1" applyBorder="1" applyAlignment="1">
      <alignment horizontal="center" vertical="center"/>
    </xf>
    <xf numFmtId="0" fontId="20" fillId="9" borderId="31" xfId="0" applyFont="1" applyFill="1" applyBorder="1" applyAlignment="1">
      <alignment horizontal="center" vertical="center"/>
    </xf>
    <xf numFmtId="49" fontId="9" fillId="9" borderId="31" xfId="0" applyNumberFormat="1" applyFont="1" applyFill="1" applyBorder="1" applyAlignment="1">
      <alignment horizontal="center" vertical="center"/>
    </xf>
    <xf numFmtId="0" fontId="9" fillId="9" borderId="35" xfId="0" applyFont="1" applyFill="1" applyBorder="1" applyAlignment="1">
      <alignment horizontal="center" vertical="center"/>
    </xf>
    <xf numFmtId="0" fontId="16" fillId="8" borderId="4" xfId="0" applyFont="1" applyFill="1" applyBorder="1" applyAlignment="1">
      <alignment vertical="center"/>
    </xf>
    <xf numFmtId="49" fontId="31" fillId="8" borderId="30" xfId="0" applyNumberFormat="1" applyFont="1" applyFill="1" applyBorder="1" applyAlignment="1">
      <alignment horizontal="center" vertical="center"/>
    </xf>
    <xf numFmtId="0" fontId="31" fillId="8" borderId="31" xfId="0" applyFont="1" applyFill="1" applyBorder="1" applyAlignment="1">
      <alignment horizontal="center" vertical="center"/>
    </xf>
    <xf numFmtId="0" fontId="16" fillId="8" borderId="31" xfId="0" applyFont="1" applyFill="1" applyBorder="1" applyAlignment="1">
      <alignment horizontal="center" vertical="center"/>
    </xf>
    <xf numFmtId="0" fontId="9" fillId="8" borderId="35" xfId="0" quotePrefix="1" applyFont="1" applyFill="1" applyBorder="1" applyAlignment="1">
      <alignment horizontal="center" vertical="center"/>
    </xf>
    <xf numFmtId="0" fontId="9" fillId="7" borderId="35" xfId="0" quotePrefix="1" applyFont="1" applyFill="1" applyBorder="1" applyAlignment="1">
      <alignment horizontal="center" vertical="center"/>
    </xf>
    <xf numFmtId="0" fontId="16" fillId="7" borderId="4" xfId="0" applyFont="1" applyFill="1" applyBorder="1" applyAlignment="1">
      <alignment vertical="center"/>
    </xf>
    <xf numFmtId="49" fontId="31" fillId="7" borderId="30" xfId="0" applyNumberFormat="1" applyFont="1" applyFill="1" applyBorder="1" applyAlignment="1">
      <alignment horizontal="center" vertical="center"/>
    </xf>
    <xf numFmtId="0" fontId="31" fillId="7" borderId="31" xfId="0" applyFont="1" applyFill="1" applyBorder="1" applyAlignment="1">
      <alignment horizontal="center" vertical="center"/>
    </xf>
    <xf numFmtId="0" fontId="16" fillId="7" borderId="31" xfId="0" applyFont="1" applyFill="1" applyBorder="1" applyAlignment="1">
      <alignment horizontal="center" vertical="center"/>
    </xf>
    <xf numFmtId="0" fontId="16" fillId="0" borderId="22" xfId="0" applyFont="1" applyBorder="1" applyAlignment="1">
      <alignment vertical="center"/>
    </xf>
    <xf numFmtId="0" fontId="9" fillId="0" borderId="36" xfId="0" applyFont="1" applyBorder="1" applyAlignment="1">
      <alignment horizontal="center" vertical="center"/>
    </xf>
    <xf numFmtId="49" fontId="31" fillId="0" borderId="36" xfId="0" applyNumberFormat="1" applyFont="1" applyBorder="1" applyAlignment="1">
      <alignment horizontal="center" vertical="center"/>
    </xf>
    <xf numFmtId="0" fontId="31" fillId="0" borderId="37" xfId="0" applyFont="1" applyBorder="1" applyAlignment="1">
      <alignment horizontal="center" vertical="center"/>
    </xf>
    <xf numFmtId="0" fontId="16" fillId="0" borderId="37" xfId="0" applyFont="1" applyBorder="1" applyAlignment="1">
      <alignment horizontal="center" vertical="center"/>
    </xf>
    <xf numFmtId="49" fontId="9" fillId="0" borderId="37" xfId="0" applyNumberFormat="1" applyFont="1" applyBorder="1" applyAlignment="1">
      <alignment horizontal="center" vertical="center"/>
    </xf>
    <xf numFmtId="0" fontId="30" fillId="6" borderId="36" xfId="0" applyFont="1" applyFill="1" applyBorder="1" applyAlignment="1">
      <alignment horizontal="center" vertical="center"/>
    </xf>
    <xf numFmtId="0" fontId="9" fillId="0" borderId="38" xfId="0" applyFont="1" applyBorder="1" applyAlignment="1">
      <alignment horizontal="center" vertical="center"/>
    </xf>
    <xf numFmtId="0" fontId="4" fillId="0" borderId="0" xfId="0" applyFont="1" applyAlignment="1">
      <alignment horizontal="right" vertical="center"/>
    </xf>
    <xf numFmtId="1" fontId="4" fillId="0" borderId="0" xfId="0" applyNumberFormat="1" applyFont="1" applyAlignment="1">
      <alignment horizontal="center" vertical="center"/>
    </xf>
    <xf numFmtId="1" fontId="5" fillId="0" borderId="0" xfId="0" applyNumberFormat="1" applyFont="1" applyAlignment="1">
      <alignment horizontal="left" vertical="center"/>
    </xf>
    <xf numFmtId="0" fontId="5" fillId="0" borderId="0" xfId="0" applyFont="1" applyAlignment="1">
      <alignment horizontal="left" vertical="center"/>
    </xf>
    <xf numFmtId="1" fontId="5" fillId="0" borderId="0" xfId="0" applyNumberFormat="1" applyFont="1" applyAlignment="1">
      <alignment horizontal="center" vertical="center"/>
    </xf>
    <xf numFmtId="0" fontId="4" fillId="0" borderId="0" xfId="0" applyFont="1" applyAlignment="1">
      <alignment horizontal="left" vertical="center"/>
    </xf>
    <xf numFmtId="1" fontId="4" fillId="0" borderId="0" xfId="0" applyNumberFormat="1" applyFont="1" applyAlignment="1">
      <alignment horizontal="right" vertical="center"/>
    </xf>
    <xf numFmtId="0" fontId="35" fillId="0" borderId="25" xfId="0" applyFont="1" applyBorder="1" applyAlignment="1">
      <alignment horizontal="centerContinuous" vertical="center" wrapText="1"/>
    </xf>
    <xf numFmtId="0" fontId="22" fillId="0" borderId="0" xfId="0" applyFont="1" applyAlignment="1">
      <alignment horizontal="centerContinuous" vertical="center" wrapText="1"/>
    </xf>
    <xf numFmtId="0" fontId="5" fillId="0" borderId="0" xfId="0" applyFont="1" applyAlignment="1">
      <alignment vertical="center" wrapText="1"/>
    </xf>
    <xf numFmtId="0" fontId="26" fillId="10" borderId="39" xfId="0" applyFont="1" applyFill="1" applyBorder="1" applyAlignment="1">
      <alignment horizontal="centerContinuous" vertical="center" wrapText="1"/>
    </xf>
    <xf numFmtId="0" fontId="26" fillId="10" borderId="40" xfId="0" applyFont="1" applyFill="1" applyBorder="1" applyAlignment="1">
      <alignment horizontal="center" vertical="center" wrapText="1"/>
    </xf>
    <xf numFmtId="0" fontId="26" fillId="11" borderId="40" xfId="0" applyFont="1" applyFill="1" applyBorder="1" applyAlignment="1">
      <alignment horizontal="center" vertical="center" wrapText="1"/>
    </xf>
    <xf numFmtId="0" fontId="26" fillId="11" borderId="41" xfId="0" applyFont="1" applyFill="1" applyBorder="1" applyAlignment="1">
      <alignment horizontal="centerContinuous" vertical="center" wrapText="1"/>
    </xf>
    <xf numFmtId="0" fontId="33" fillId="0" borderId="4" xfId="0" applyFont="1" applyBorder="1" applyAlignment="1">
      <alignment horizontal="center" vertical="center" shrinkToFit="1"/>
    </xf>
    <xf numFmtId="0" fontId="9" fillId="0" borderId="30" xfId="0" applyFont="1" applyBorder="1" applyAlignment="1">
      <alignment horizontal="center" vertical="center" wrapText="1"/>
    </xf>
    <xf numFmtId="9" fontId="9" fillId="0" borderId="30" xfId="1" applyFont="1" applyFill="1" applyBorder="1" applyAlignment="1">
      <alignment horizontal="center" vertical="center" shrinkToFit="1"/>
    </xf>
    <xf numFmtId="9" fontId="9" fillId="0" borderId="31" xfId="1" applyFont="1" applyFill="1" applyBorder="1" applyAlignment="1">
      <alignment horizontal="center" vertical="center" shrinkToFit="1"/>
    </xf>
    <xf numFmtId="0" fontId="9" fillId="0" borderId="31" xfId="0" applyFont="1" applyBorder="1" applyAlignment="1">
      <alignment horizontal="center" vertical="center" shrinkToFit="1"/>
    </xf>
    <xf numFmtId="0" fontId="9" fillId="0" borderId="31" xfId="1" applyNumberFormat="1" applyFont="1" applyFill="1" applyBorder="1" applyAlignment="1">
      <alignment horizontal="center" vertical="center" shrinkToFit="1"/>
    </xf>
    <xf numFmtId="0" fontId="9" fillId="0" borderId="35" xfId="0" applyFont="1" applyBorder="1" applyAlignment="1">
      <alignment horizontal="center" vertical="center" wrapText="1"/>
    </xf>
    <xf numFmtId="0" fontId="9" fillId="0" borderId="30" xfId="0" applyFont="1" applyBorder="1" applyAlignment="1">
      <alignment horizontal="center" vertical="center" shrinkToFit="1"/>
    </xf>
    <xf numFmtId="0" fontId="9" fillId="0" borderId="35" xfId="0" quotePrefix="1" applyFont="1" applyBorder="1" applyAlignment="1">
      <alignment horizontal="center" vertical="center" wrapText="1"/>
    </xf>
    <xf numFmtId="0" fontId="33" fillId="0" borderId="32" xfId="0" applyFont="1" applyBorder="1" applyAlignment="1">
      <alignment horizontal="center" vertical="center" shrinkToFit="1"/>
    </xf>
    <xf numFmtId="0" fontId="9" fillId="0" borderId="33" xfId="0" applyFont="1" applyBorder="1" applyAlignment="1">
      <alignment horizontal="center" vertical="center" wrapText="1"/>
    </xf>
    <xf numFmtId="9" fontId="9" fillId="0" borderId="33" xfId="1" applyFont="1" applyBorder="1" applyAlignment="1">
      <alignment horizontal="center" vertical="center" shrinkToFit="1"/>
    </xf>
    <xf numFmtId="9" fontId="9" fillId="0" borderId="15" xfId="1" applyFont="1" applyBorder="1" applyAlignment="1">
      <alignment horizontal="center" vertical="center" shrinkToFit="1"/>
    </xf>
    <xf numFmtId="0" fontId="9" fillId="0" borderId="15" xfId="1" applyNumberFormat="1" applyFont="1" applyBorder="1" applyAlignment="1">
      <alignment horizontal="center" vertical="center" shrinkToFit="1"/>
    </xf>
    <xf numFmtId="49" fontId="9" fillId="0" borderId="12" xfId="0" applyNumberFormat="1" applyFont="1" applyBorder="1" applyAlignment="1">
      <alignment horizontal="center" vertical="center" wrapText="1"/>
    </xf>
    <xf numFmtId="9" fontId="9" fillId="0" borderId="31" xfId="3" applyFont="1" applyFill="1" applyBorder="1" applyAlignment="1">
      <alignment horizontal="center" vertical="center" shrinkToFit="1"/>
    </xf>
    <xf numFmtId="0" fontId="9" fillId="0" borderId="31" xfId="3" applyNumberFormat="1" applyFont="1" applyFill="1" applyBorder="1" applyAlignment="1">
      <alignment horizontal="center" vertical="center" shrinkToFit="1"/>
    </xf>
    <xf numFmtId="9" fontId="9" fillId="0" borderId="30" xfId="1" applyFont="1" applyBorder="1" applyAlignment="1">
      <alignment horizontal="center" vertical="center" shrinkToFit="1"/>
    </xf>
    <xf numFmtId="9" fontId="9" fillId="0" borderId="31" xfId="1" applyFont="1" applyBorder="1" applyAlignment="1">
      <alignment horizontal="center" vertical="center" shrinkToFit="1"/>
    </xf>
    <xf numFmtId="0" fontId="9" fillId="0" borderId="31" xfId="1" applyNumberFormat="1" applyFont="1" applyBorder="1" applyAlignment="1">
      <alignment horizontal="center" vertical="center" shrinkToFit="1"/>
    </xf>
    <xf numFmtId="9" fontId="9" fillId="0" borderId="33" xfId="1" applyFont="1" applyFill="1" applyBorder="1" applyAlignment="1">
      <alignment horizontal="center" vertical="center" shrinkToFit="1"/>
    </xf>
    <xf numFmtId="9" fontId="9" fillId="0" borderId="15" xfId="1" applyFont="1" applyFill="1" applyBorder="1" applyAlignment="1">
      <alignment horizontal="center" vertical="center" shrinkToFit="1"/>
    </xf>
    <xf numFmtId="0" fontId="9" fillId="0" borderId="15" xfId="1" applyNumberFormat="1" applyFont="1" applyFill="1" applyBorder="1" applyAlignment="1">
      <alignment horizontal="center" vertical="center" shrinkToFit="1"/>
    </xf>
    <xf numFmtId="0" fontId="9" fillId="0" borderId="12" xfId="0" applyFont="1" applyBorder="1" applyAlignment="1">
      <alignment horizontal="center" vertical="center" wrapText="1"/>
    </xf>
    <xf numFmtId="49" fontId="9" fillId="0" borderId="12" xfId="0" applyNumberFormat="1" applyFont="1" applyBorder="1" applyAlignment="1">
      <alignment horizontal="center" vertical="center" shrinkToFit="1"/>
    </xf>
    <xf numFmtId="0" fontId="33" fillId="0" borderId="22" xfId="0" applyFont="1" applyBorder="1" applyAlignment="1">
      <alignment horizontal="center" vertical="center" shrinkToFit="1"/>
    </xf>
    <xf numFmtId="0" fontId="9" fillId="0" borderId="36" xfId="0" applyFont="1" applyBorder="1" applyAlignment="1">
      <alignment horizontal="center" vertical="center" wrapText="1"/>
    </xf>
    <xf numFmtId="9" fontId="9" fillId="0" borderId="36" xfId="1" applyFont="1" applyFill="1" applyBorder="1" applyAlignment="1">
      <alignment horizontal="center" vertical="center" shrinkToFit="1"/>
    </xf>
    <xf numFmtId="9" fontId="9" fillId="0" borderId="37" xfId="1" applyFont="1" applyFill="1" applyBorder="1" applyAlignment="1">
      <alignment horizontal="center" vertical="center" shrinkToFit="1"/>
    </xf>
    <xf numFmtId="0" fontId="9" fillId="0" borderId="37" xfId="1" applyNumberFormat="1" applyFont="1" applyFill="1" applyBorder="1" applyAlignment="1">
      <alignment horizontal="center" vertical="center" shrinkToFit="1"/>
    </xf>
    <xf numFmtId="0" fontId="9" fillId="0" borderId="37" xfId="1" applyNumberFormat="1" applyFont="1" applyBorder="1" applyAlignment="1">
      <alignment horizontal="center" vertical="center" shrinkToFit="1"/>
    </xf>
    <xf numFmtId="0" fontId="9" fillId="0" borderId="38" xfId="0" applyFont="1" applyBorder="1" applyAlignment="1">
      <alignment horizontal="center" vertical="center" wrapText="1"/>
    </xf>
    <xf numFmtId="0" fontId="26" fillId="10" borderId="40" xfId="0" applyFont="1" applyFill="1" applyBorder="1" applyAlignment="1">
      <alignment horizontal="center" vertical="center"/>
    </xf>
    <xf numFmtId="0" fontId="26" fillId="10" borderId="32" xfId="0" applyFont="1" applyFill="1" applyBorder="1" applyAlignment="1">
      <alignment horizontal="centerContinuous" vertical="center" wrapText="1"/>
    </xf>
    <xf numFmtId="0" fontId="26" fillId="10" borderId="42" xfId="0" applyFont="1" applyFill="1" applyBorder="1" applyAlignment="1">
      <alignment horizontal="center" vertical="center" wrapText="1"/>
    </xf>
    <xf numFmtId="0" fontId="26" fillId="10" borderId="34" xfId="0" applyFont="1" applyFill="1" applyBorder="1" applyAlignment="1">
      <alignment horizontal="center" vertical="center" wrapText="1"/>
    </xf>
    <xf numFmtId="0" fontId="9" fillId="0" borderId="4" xfId="0" applyFont="1" applyBorder="1" applyAlignment="1">
      <alignment horizontal="center" vertical="center" shrinkToFit="1"/>
    </xf>
    <xf numFmtId="0" fontId="9" fillId="0" borderId="32" xfId="0" applyFont="1" applyBorder="1" applyAlignment="1">
      <alignment horizontal="center" vertical="center" shrinkToFit="1"/>
    </xf>
    <xf numFmtId="49" fontId="9" fillId="0" borderId="33" xfId="0" applyNumberFormat="1" applyFont="1" applyBorder="1" applyAlignment="1">
      <alignment horizontal="center" vertical="center"/>
    </xf>
    <xf numFmtId="0" fontId="9" fillId="0" borderId="22" xfId="0" applyFont="1" applyBorder="1" applyAlignment="1">
      <alignment horizontal="center" vertical="center" shrinkToFit="1"/>
    </xf>
    <xf numFmtId="49" fontId="9" fillId="0" borderId="36" xfId="0" applyNumberFormat="1" applyFont="1" applyBorder="1" applyAlignment="1">
      <alignment horizontal="center" vertical="center"/>
    </xf>
    <xf numFmtId="0" fontId="26" fillId="10" borderId="43"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26" fillId="10" borderId="44" xfId="0" applyFont="1" applyFill="1" applyBorder="1" applyAlignment="1">
      <alignment horizontal="centerContinuous" vertical="center" wrapText="1"/>
    </xf>
    <xf numFmtId="0" fontId="26" fillId="10" borderId="45" xfId="0" applyFont="1" applyFill="1" applyBorder="1" applyAlignment="1">
      <alignment horizontal="center" vertical="center" wrapText="1"/>
    </xf>
    <xf numFmtId="0" fontId="37" fillId="13" borderId="5" xfId="0" applyFont="1" applyFill="1" applyBorder="1" applyAlignment="1">
      <alignment horizontal="center"/>
    </xf>
    <xf numFmtId="0" fontId="37" fillId="13" borderId="12" xfId="0" applyFont="1" applyFill="1" applyBorder="1" applyAlignment="1">
      <alignment horizontal="center"/>
    </xf>
    <xf numFmtId="0" fontId="37" fillId="13" borderId="24" xfId="0" applyFont="1" applyFill="1" applyBorder="1" applyAlignment="1">
      <alignment horizontal="center"/>
    </xf>
    <xf numFmtId="0" fontId="38" fillId="0" borderId="0" xfId="0" applyFont="1" applyAlignment="1">
      <alignment horizontal="centerContinuous" vertical="center" wrapText="1"/>
    </xf>
    <xf numFmtId="0" fontId="39" fillId="0" borderId="0" xfId="0" applyFont="1" applyAlignment="1">
      <alignment horizontal="centerContinuous" vertical="center" wrapText="1"/>
    </xf>
    <xf numFmtId="0" fontId="35" fillId="0" borderId="0" xfId="0" applyFont="1" applyAlignment="1">
      <alignment horizontal="centerContinuous" vertical="center" wrapText="1"/>
    </xf>
    <xf numFmtId="0" fontId="4" fillId="0" borderId="19" xfId="0" applyFont="1" applyBorder="1" applyAlignment="1">
      <alignment horizontal="centerContinuous" vertical="center"/>
    </xf>
    <xf numFmtId="0" fontId="4" fillId="0" borderId="20" xfId="0" applyFont="1" applyBorder="1" applyAlignment="1">
      <alignment horizontal="centerContinuous" vertical="center"/>
    </xf>
    <xf numFmtId="0" fontId="5" fillId="0" borderId="20" xfId="0" applyFont="1" applyBorder="1" applyAlignment="1">
      <alignment horizontal="centerContinuous" vertical="center" wrapText="1"/>
    </xf>
    <xf numFmtId="0" fontId="5" fillId="0" borderId="21" xfId="0" applyFont="1" applyBorder="1" applyAlignment="1">
      <alignment horizontal="centerContinuous"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6" xfId="0" applyFont="1" applyBorder="1" applyAlignment="1">
      <alignment horizontal="right"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8" borderId="48" xfId="0" applyFont="1" applyFill="1" applyBorder="1" applyAlignment="1">
      <alignment horizontal="center" vertical="center" wrapText="1"/>
    </xf>
    <xf numFmtId="0" fontId="5" fillId="8" borderId="49" xfId="0" applyFont="1" applyFill="1" applyBorder="1" applyAlignment="1">
      <alignment horizontal="center" vertical="center" wrapText="1"/>
    </xf>
    <xf numFmtId="0" fontId="4" fillId="0" borderId="50" xfId="0" applyFont="1" applyBorder="1" applyAlignment="1">
      <alignment horizontal="right"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8" borderId="52" xfId="0" applyFont="1" applyFill="1" applyBorder="1" applyAlignment="1">
      <alignment horizontal="center" vertical="center" wrapText="1"/>
    </xf>
    <xf numFmtId="0" fontId="5" fillId="8" borderId="53" xfId="0" applyFont="1" applyFill="1" applyBorder="1" applyAlignment="1">
      <alignment horizontal="center" vertical="center" wrapText="1"/>
    </xf>
    <xf numFmtId="0" fontId="4" fillId="0" borderId="54" xfId="0" applyFont="1" applyBorder="1" applyAlignment="1">
      <alignment horizontal="right" vertical="center"/>
    </xf>
    <xf numFmtId="0" fontId="40" fillId="11" borderId="55" xfId="0" applyFont="1" applyFill="1" applyBorder="1" applyAlignment="1">
      <alignment horizontal="center" vertical="center" wrapText="1"/>
    </xf>
    <xf numFmtId="0" fontId="40" fillId="11" borderId="56" xfId="0" applyFont="1" applyFill="1" applyBorder="1" applyAlignment="1">
      <alignment horizontal="center" vertical="center" wrapText="1"/>
    </xf>
    <xf numFmtId="0" fontId="4" fillId="8" borderId="56" xfId="0" applyFont="1" applyFill="1" applyBorder="1" applyAlignment="1">
      <alignment horizontal="center" vertical="center" wrapText="1"/>
    </xf>
    <xf numFmtId="0" fontId="4" fillId="8" borderId="57" xfId="0" applyFont="1" applyFill="1" applyBorder="1" applyAlignment="1">
      <alignment horizontal="center" vertical="center" wrapText="1"/>
    </xf>
    <xf numFmtId="0" fontId="9" fillId="0" borderId="0" xfId="0" applyFont="1" applyAlignment="1">
      <alignment vertical="center" wrapText="1"/>
    </xf>
    <xf numFmtId="0" fontId="41" fillId="0" borderId="0" xfId="0" applyFont="1" applyAlignment="1">
      <alignment horizontal="centerContinuous" vertical="center" wrapText="1"/>
    </xf>
    <xf numFmtId="0" fontId="42" fillId="0" borderId="58" xfId="0" applyFont="1" applyBorder="1" applyAlignment="1">
      <alignment horizontal="center"/>
    </xf>
    <xf numFmtId="0" fontId="42" fillId="0" borderId="59" xfId="0" applyFont="1" applyBorder="1" applyAlignment="1">
      <alignment horizontal="center"/>
    </xf>
    <xf numFmtId="0" fontId="42" fillId="0" borderId="60" xfId="0" applyFont="1" applyBorder="1" applyAlignment="1">
      <alignment horizontal="center"/>
    </xf>
    <xf numFmtId="0" fontId="42" fillId="0" borderId="61" xfId="0" applyFont="1" applyBorder="1" applyAlignment="1">
      <alignment horizontal="center"/>
    </xf>
    <xf numFmtId="0" fontId="0" fillId="0" borderId="62" xfId="0" applyBorder="1" applyAlignment="1">
      <alignment horizontal="center"/>
    </xf>
    <xf numFmtId="49" fontId="0" fillId="0" borderId="63" xfId="0" applyNumberFormat="1" applyBorder="1" applyAlignment="1">
      <alignment horizontal="center"/>
    </xf>
    <xf numFmtId="0" fontId="0" fillId="8" borderId="64" xfId="0" applyFill="1" applyBorder="1" applyAlignment="1">
      <alignment horizontal="center"/>
    </xf>
    <xf numFmtId="0" fontId="0" fillId="8" borderId="65" xfId="0" applyFill="1" applyBorder="1" applyAlignment="1">
      <alignment horizontal="center"/>
    </xf>
    <xf numFmtId="0" fontId="0" fillId="0" borderId="66" xfId="0" applyBorder="1" applyAlignment="1">
      <alignment horizontal="center"/>
    </xf>
    <xf numFmtId="0" fontId="0" fillId="0" borderId="51" xfId="0" applyBorder="1" applyAlignment="1">
      <alignment horizontal="center"/>
    </xf>
    <xf numFmtId="0" fontId="0" fillId="8" borderId="52" xfId="0" applyFill="1" applyBorder="1" applyAlignment="1">
      <alignment horizontal="center"/>
    </xf>
    <xf numFmtId="0" fontId="0" fillId="8" borderId="53" xfId="0" applyFill="1" applyBorder="1" applyAlignment="1">
      <alignment horizontal="center"/>
    </xf>
    <xf numFmtId="0" fontId="0" fillId="0" borderId="52" xfId="0" applyBorder="1" applyAlignment="1">
      <alignment horizontal="center"/>
    </xf>
    <xf numFmtId="0" fontId="43" fillId="0" borderId="66" xfId="0" applyFont="1" applyBorder="1" applyAlignment="1">
      <alignment horizontal="center"/>
    </xf>
    <xf numFmtId="0" fontId="43" fillId="0" borderId="51" xfId="0" applyFont="1" applyBorder="1" applyAlignment="1">
      <alignment horizontal="center"/>
    </xf>
    <xf numFmtId="0" fontId="43" fillId="0" borderId="52" xfId="0" applyFont="1" applyBorder="1" applyAlignment="1">
      <alignment horizontal="center"/>
    </xf>
    <xf numFmtId="0" fontId="0" fillId="0" borderId="53" xfId="0" applyBorder="1" applyAlignment="1">
      <alignment horizontal="center"/>
    </xf>
    <xf numFmtId="0" fontId="0" fillId="0" borderId="67"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44" fillId="0" borderId="68" xfId="0" applyFont="1" applyBorder="1" applyAlignment="1">
      <alignment horizontal="centerContinuous" vertical="center"/>
    </xf>
    <xf numFmtId="0" fontId="45" fillId="0" borderId="68" xfId="0" applyFont="1" applyBorder="1" applyAlignment="1">
      <alignment horizontal="centerContinuous" vertical="center"/>
    </xf>
    <xf numFmtId="0" fontId="46" fillId="0" borderId="50" xfId="0" applyFont="1" applyBorder="1" applyAlignment="1">
      <alignment horizontal="center" vertical="center"/>
    </xf>
    <xf numFmtId="0" fontId="9" fillId="0" borderId="69" xfId="0" applyFont="1" applyBorder="1" applyAlignment="1">
      <alignment horizontal="centerContinuous" vertical="center"/>
    </xf>
    <xf numFmtId="0" fontId="9" fillId="0" borderId="50" xfId="0" applyFont="1" applyBorder="1" applyAlignment="1">
      <alignment horizontal="centerContinuous" vertical="center"/>
    </xf>
    <xf numFmtId="0" fontId="9" fillId="0" borderId="70" xfId="0" applyFont="1" applyBorder="1" applyAlignment="1">
      <alignment horizontal="centerContinuous" vertical="center"/>
    </xf>
    <xf numFmtId="0" fontId="47" fillId="0" borderId="68" xfId="0" applyFont="1" applyBorder="1" applyAlignment="1">
      <alignment horizontal="centerContinuous" vertical="center"/>
    </xf>
    <xf numFmtId="0" fontId="9" fillId="0" borderId="71" xfId="0" applyFont="1" applyBorder="1" applyAlignment="1">
      <alignment horizontal="centerContinuous" vertical="center"/>
    </xf>
    <xf numFmtId="0" fontId="33" fillId="0" borderId="50" xfId="0" applyFont="1" applyBorder="1" applyAlignment="1">
      <alignment horizontal="centerContinuous" vertical="center"/>
    </xf>
    <xf numFmtId="0" fontId="9" fillId="0" borderId="71" xfId="0" quotePrefix="1" applyFont="1" applyBorder="1" applyAlignment="1">
      <alignment horizontal="centerContinuous" vertical="center"/>
    </xf>
    <xf numFmtId="0" fontId="9" fillId="0" borderId="70" xfId="0" quotePrefix="1" applyFont="1" applyBorder="1" applyAlignment="1">
      <alignment horizontal="centerContinuous" vertical="center"/>
    </xf>
    <xf numFmtId="0" fontId="48" fillId="0" borderId="68" xfId="0" applyFont="1" applyBorder="1" applyAlignment="1">
      <alignment horizontal="centerContinuous" vertical="center"/>
    </xf>
    <xf numFmtId="0" fontId="9" fillId="0" borderId="54" xfId="0" applyFont="1" applyBorder="1" applyAlignment="1">
      <alignment horizontal="centerContinuous" vertical="center"/>
    </xf>
    <xf numFmtId="0" fontId="33" fillId="0" borderId="72" xfId="0" applyFont="1" applyBorder="1" applyAlignment="1">
      <alignment horizontal="centerContinuous" vertical="center"/>
    </xf>
    <xf numFmtId="0" fontId="23" fillId="0" borderId="0" xfId="0" applyFont="1" applyAlignment="1">
      <alignment horizontal="centerContinuous" vertical="center"/>
    </xf>
    <xf numFmtId="0" fontId="5" fillId="0" borderId="0" xfId="0" applyFont="1" applyAlignment="1">
      <alignment vertical="center"/>
    </xf>
    <xf numFmtId="0" fontId="50" fillId="12" borderId="58" xfId="0" applyFont="1" applyFill="1" applyBorder="1" applyAlignment="1">
      <alignment horizontal="center" vertical="center"/>
    </xf>
    <xf numFmtId="0" fontId="50" fillId="12" borderId="73" xfId="0" applyFont="1" applyFill="1" applyBorder="1" applyAlignment="1">
      <alignment horizontal="center" vertical="center"/>
    </xf>
    <xf numFmtId="49" fontId="50" fillId="12" borderId="73" xfId="0" applyNumberFormat="1" applyFont="1" applyFill="1" applyBorder="1" applyAlignment="1">
      <alignment horizontal="center" vertical="center"/>
    </xf>
    <xf numFmtId="0" fontId="50" fillId="12" borderId="74" xfId="0" applyFont="1" applyFill="1" applyBorder="1" applyAlignment="1">
      <alignment horizontal="center" vertical="center"/>
    </xf>
    <xf numFmtId="0" fontId="51" fillId="6" borderId="74" xfId="0" applyFont="1" applyFill="1" applyBorder="1" applyAlignment="1">
      <alignment horizontal="center" vertical="center"/>
    </xf>
    <xf numFmtId="0" fontId="50" fillId="12" borderId="75" xfId="0" applyFont="1" applyFill="1" applyBorder="1" applyAlignment="1">
      <alignment horizontal="center" vertical="center"/>
    </xf>
    <xf numFmtId="0" fontId="50" fillId="12" borderId="68" xfId="0" applyFont="1" applyFill="1" applyBorder="1" applyAlignment="1">
      <alignment horizontal="center" vertical="center"/>
    </xf>
    <xf numFmtId="1" fontId="5" fillId="0" borderId="50" xfId="0" applyNumberFormat="1" applyFont="1" applyBorder="1" applyAlignment="1">
      <alignment horizontal="center" vertical="center"/>
    </xf>
    <xf numFmtId="0" fontId="5" fillId="0" borderId="77" xfId="0" applyFont="1" applyBorder="1" applyAlignment="1">
      <alignment horizontal="center" vertical="center"/>
    </xf>
    <xf numFmtId="164" fontId="5" fillId="0" borderId="77" xfId="0" applyNumberFormat="1" applyFont="1" applyBorder="1" applyAlignment="1">
      <alignment horizontal="center" vertical="center"/>
    </xf>
    <xf numFmtId="1" fontId="52" fillId="6" borderId="78" xfId="0" applyNumberFormat="1" applyFont="1" applyFill="1" applyBorder="1" applyAlignment="1">
      <alignment horizontal="center" vertical="center"/>
    </xf>
    <xf numFmtId="1" fontId="5" fillId="0" borderId="80" xfId="0" applyNumberFormat="1" applyFont="1" applyBorder="1" applyAlignment="1">
      <alignment horizontal="center" vertical="center"/>
    </xf>
    <xf numFmtId="1" fontId="52" fillId="6" borderId="37" xfId="0" applyNumberFormat="1" applyFont="1" applyFill="1" applyBorder="1" applyAlignment="1">
      <alignment horizontal="center" vertical="center"/>
    </xf>
    <xf numFmtId="0" fontId="5" fillId="0" borderId="0" xfId="0" applyFont="1" applyAlignment="1">
      <alignment horizontal="center" vertical="center"/>
    </xf>
    <xf numFmtId="1" fontId="5" fillId="0" borderId="54" xfId="0" applyNumberFormat="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50" fillId="12" borderId="74" xfId="0" applyFont="1" applyFill="1" applyBorder="1" applyAlignment="1">
      <alignment horizontal="centerContinuous" vertical="center"/>
    </xf>
    <xf numFmtId="0" fontId="50" fillId="12" borderId="84" xfId="0" applyFont="1" applyFill="1" applyBorder="1" applyAlignment="1">
      <alignment horizontal="centerContinuous" vertical="center"/>
    </xf>
    <xf numFmtId="0" fontId="50" fillId="12" borderId="85" xfId="0" applyFont="1" applyFill="1" applyBorder="1" applyAlignment="1">
      <alignment horizontal="centerContinuous" vertical="center"/>
    </xf>
    <xf numFmtId="0" fontId="5" fillId="0" borderId="81" xfId="0" applyFont="1" applyBorder="1" applyAlignment="1">
      <alignment horizontal="center" vertical="center" shrinkToFit="1"/>
    </xf>
    <xf numFmtId="0" fontId="5" fillId="0" borderId="82" xfId="0" applyFont="1" applyBorder="1" applyAlignment="1">
      <alignment horizontal="center" vertical="center"/>
    </xf>
    <xf numFmtId="0" fontId="5" fillId="0" borderId="82" xfId="0" quotePrefix="1" applyFont="1" applyBorder="1" applyAlignment="1">
      <alignment horizontal="center" vertical="center"/>
    </xf>
    <xf numFmtId="9" fontId="5" fillId="0" borderId="82" xfId="0" applyNumberFormat="1" applyFont="1" applyBorder="1" applyAlignment="1">
      <alignment horizontal="center" vertical="center"/>
    </xf>
    <xf numFmtId="49" fontId="5" fillId="0" borderId="82" xfId="0" quotePrefix="1" applyNumberFormat="1" applyFont="1" applyBorder="1" applyAlignment="1">
      <alignment horizontal="center" vertical="center"/>
    </xf>
    <xf numFmtId="164" fontId="5" fillId="0" borderId="82" xfId="0" applyNumberFormat="1" applyFont="1" applyBorder="1" applyAlignment="1">
      <alignment horizontal="center" vertical="center"/>
    </xf>
    <xf numFmtId="164" fontId="5" fillId="0" borderId="83" xfId="0" applyNumberFormat="1" applyFont="1" applyBorder="1" applyAlignment="1">
      <alignment horizontal="centerContinuous" vertical="center"/>
    </xf>
    <xf numFmtId="164" fontId="5" fillId="0" borderId="86" xfId="0" applyNumberFormat="1" applyFont="1" applyBorder="1" applyAlignment="1">
      <alignment horizontal="centerContinuous" vertical="center"/>
    </xf>
    <xf numFmtId="0" fontId="5" fillId="0" borderId="87" xfId="0" quotePrefix="1" applyFont="1" applyBorder="1" applyAlignment="1">
      <alignment horizontal="centerContinuous" vertical="center"/>
    </xf>
    <xf numFmtId="1" fontId="5" fillId="0" borderId="88" xfId="0" applyNumberFormat="1" applyFont="1" applyBorder="1" applyAlignment="1">
      <alignment horizontal="center" vertical="center"/>
    </xf>
    <xf numFmtId="0" fontId="5" fillId="0" borderId="76" xfId="0" applyFont="1" applyBorder="1" applyAlignment="1">
      <alignment horizontal="center" vertical="center" shrinkToFit="1"/>
    </xf>
    <xf numFmtId="0" fontId="5" fillId="0" borderId="77" xfId="0" quotePrefix="1" applyFont="1" applyBorder="1" applyAlignment="1">
      <alignment horizontal="center" vertical="center"/>
    </xf>
    <xf numFmtId="9" fontId="5" fillId="0" borderId="77" xfId="0" applyNumberFormat="1" applyFont="1" applyBorder="1" applyAlignment="1">
      <alignment horizontal="center" vertical="center"/>
    </xf>
    <xf numFmtId="49" fontId="5" fillId="0" borderId="77" xfId="0" quotePrefix="1" applyNumberFormat="1" applyFont="1" applyBorder="1" applyAlignment="1">
      <alignment horizontal="center" vertical="center"/>
    </xf>
    <xf numFmtId="164" fontId="5" fillId="0" borderId="78" xfId="0" applyNumberFormat="1" applyFont="1" applyBorder="1" applyAlignment="1">
      <alignment horizontal="centerContinuous" vertical="center"/>
    </xf>
    <xf numFmtId="164" fontId="5" fillId="0" borderId="89" xfId="0" applyNumberFormat="1" applyFont="1" applyBorder="1" applyAlignment="1">
      <alignment horizontal="centerContinuous" vertical="center"/>
    </xf>
    <xf numFmtId="0" fontId="5" fillId="0" borderId="90" xfId="0" quotePrefix="1" applyFont="1" applyBorder="1" applyAlignment="1">
      <alignment horizontal="centerContinuous" vertical="center"/>
    </xf>
    <xf numFmtId="0" fontId="53" fillId="14" borderId="91" xfId="0" applyFont="1" applyFill="1" applyBorder="1" applyAlignment="1">
      <alignment horizontal="center" vertical="center"/>
    </xf>
    <xf numFmtId="0" fontId="53" fillId="14" borderId="92" xfId="0" applyFont="1" applyFill="1" applyBorder="1" applyAlignment="1">
      <alignment horizontal="center" vertical="center"/>
    </xf>
    <xf numFmtId="0" fontId="53" fillId="14" borderId="92" xfId="0" quotePrefix="1" applyFont="1" applyFill="1" applyBorder="1" applyAlignment="1">
      <alignment horizontal="center" vertical="center"/>
    </xf>
    <xf numFmtId="9" fontId="53" fillId="14" borderId="92" xfId="0" applyNumberFormat="1" applyFont="1" applyFill="1" applyBorder="1" applyAlignment="1">
      <alignment horizontal="center" vertical="center"/>
    </xf>
    <xf numFmtId="164" fontId="53" fillId="14" borderId="92" xfId="0" applyNumberFormat="1" applyFont="1" applyFill="1" applyBorder="1" applyAlignment="1">
      <alignment horizontal="center" vertical="center"/>
    </xf>
    <xf numFmtId="164" fontId="53" fillId="14" borderId="93" xfId="0" applyNumberFormat="1" applyFont="1" applyFill="1" applyBorder="1" applyAlignment="1">
      <alignment horizontal="centerContinuous" vertical="center"/>
    </xf>
    <xf numFmtId="164" fontId="53" fillId="14" borderId="94" xfId="0" applyNumberFormat="1" applyFont="1" applyFill="1" applyBorder="1" applyAlignment="1">
      <alignment horizontal="centerContinuous" vertical="center"/>
    </xf>
    <xf numFmtId="0" fontId="53" fillId="14" borderId="95" xfId="0" applyFont="1" applyFill="1" applyBorder="1" applyAlignment="1">
      <alignment horizontal="centerContinuous" vertical="center"/>
    </xf>
    <xf numFmtId="1" fontId="53" fillId="14" borderId="54" xfId="0" applyNumberFormat="1" applyFont="1" applyFill="1" applyBorder="1" applyAlignment="1">
      <alignment horizontal="center" vertical="center"/>
    </xf>
    <xf numFmtId="0" fontId="50" fillId="12" borderId="96" xfId="0" applyFont="1" applyFill="1" applyBorder="1" applyAlignment="1">
      <alignment horizontal="centerContinuous" vertical="center"/>
    </xf>
    <xf numFmtId="0" fontId="50" fillId="12" borderId="97" xfId="0" applyFont="1" applyFill="1" applyBorder="1" applyAlignment="1">
      <alignment horizontal="centerContinuous" vertical="center"/>
    </xf>
    <xf numFmtId="0" fontId="5" fillId="0" borderId="99" xfId="0" applyFont="1" applyBorder="1" applyAlignment="1">
      <alignment horizontal="centerContinuous" vertical="center"/>
    </xf>
    <xf numFmtId="0" fontId="5" fillId="0" borderId="78" xfId="0" applyFont="1" applyBorder="1" applyAlignment="1">
      <alignment horizontal="centerContinuous" vertical="center"/>
    </xf>
    <xf numFmtId="49" fontId="5" fillId="0" borderId="78" xfId="0" applyNumberFormat="1" applyFont="1" applyBorder="1" applyAlignment="1">
      <alignment horizontal="center" vertical="center"/>
    </xf>
    <xf numFmtId="49" fontId="5" fillId="0" borderId="78" xfId="0" applyNumberFormat="1" applyFont="1" applyBorder="1" applyAlignment="1">
      <alignment horizontal="centerContinuous" vertical="center"/>
    </xf>
    <xf numFmtId="49" fontId="5" fillId="0" borderId="89" xfId="0" applyNumberFormat="1" applyFont="1" applyBorder="1" applyAlignment="1">
      <alignment horizontal="centerContinuous" vertical="center"/>
    </xf>
    <xf numFmtId="0" fontId="5" fillId="0" borderId="90" xfId="0" applyFont="1" applyBorder="1" applyAlignment="1">
      <alignment horizontal="centerContinuous" vertical="center"/>
    </xf>
    <xf numFmtId="0" fontId="5" fillId="0" borderId="98" xfId="0" applyFont="1" applyBorder="1" applyAlignment="1">
      <alignment horizontal="centerContinuous" vertical="center"/>
    </xf>
    <xf numFmtId="0" fontId="5" fillId="0" borderId="100" xfId="0" applyFont="1" applyBorder="1" applyAlignment="1">
      <alignment horizontal="centerContinuous" vertical="center"/>
    </xf>
    <xf numFmtId="0" fontId="5" fillId="0" borderId="101" xfId="0" applyFont="1" applyBorder="1" applyAlignment="1">
      <alignment horizontal="centerContinuous" vertical="center"/>
    </xf>
    <xf numFmtId="0" fontId="5" fillId="0" borderId="93" xfId="0" applyFont="1" applyBorder="1" applyAlignment="1">
      <alignment horizontal="centerContinuous" vertical="center"/>
    </xf>
    <xf numFmtId="164" fontId="5" fillId="0" borderId="92" xfId="0" applyNumberFormat="1" applyFont="1" applyBorder="1" applyAlignment="1">
      <alignment horizontal="center" vertical="center"/>
    </xf>
    <xf numFmtId="49" fontId="5" fillId="0" borderId="92" xfId="0" applyNumberFormat="1" applyFont="1" applyBorder="1" applyAlignment="1">
      <alignment horizontal="center" vertical="center"/>
    </xf>
    <xf numFmtId="49" fontId="5" fillId="0" borderId="93" xfId="0" applyNumberFormat="1" applyFont="1" applyBorder="1" applyAlignment="1">
      <alignment horizontal="centerContinuous" vertical="center"/>
    </xf>
    <xf numFmtId="49" fontId="5" fillId="0" borderId="94" xfId="0" applyNumberFormat="1" applyFont="1" applyBorder="1" applyAlignment="1">
      <alignment horizontal="centerContinuous" vertical="center"/>
    </xf>
    <xf numFmtId="0" fontId="5" fillId="0" borderId="95" xfId="0" applyFont="1" applyBorder="1" applyAlignment="1">
      <alignment horizontal="centerContinuous" vertical="center"/>
    </xf>
    <xf numFmtId="0" fontId="50" fillId="12" borderId="102" xfId="0" applyFont="1" applyFill="1" applyBorder="1" applyAlignment="1">
      <alignment horizontal="center" vertical="center"/>
    </xf>
    <xf numFmtId="0" fontId="50" fillId="12" borderId="103" xfId="0" applyFont="1" applyFill="1" applyBorder="1" applyAlignment="1">
      <alignment horizontal="centerContinuous" vertical="center"/>
    </xf>
    <xf numFmtId="0" fontId="5" fillId="0" borderId="98" xfId="0" applyFont="1" applyBorder="1" applyAlignment="1">
      <alignment horizontal="centerContinuous" vertical="center" shrinkToFit="1"/>
    </xf>
    <xf numFmtId="0" fontId="50" fillId="0" borderId="89" xfId="0" applyFont="1" applyBorder="1" applyAlignment="1">
      <alignment horizontal="centerContinuous" vertical="center"/>
    </xf>
    <xf numFmtId="0" fontId="5" fillId="0" borderId="100" xfId="0" applyFont="1" applyBorder="1" applyAlignment="1">
      <alignment horizontal="centerContinuous" vertical="center" shrinkToFit="1"/>
    </xf>
    <xf numFmtId="0" fontId="50" fillId="0" borderId="94" xfId="0" applyFont="1" applyBorder="1" applyAlignment="1">
      <alignment horizontal="centerContinuous" vertical="center"/>
    </xf>
    <xf numFmtId="0" fontId="5" fillId="0" borderId="92" xfId="0" applyFont="1" applyBorder="1" applyAlignment="1">
      <alignment horizontal="center" vertical="center"/>
    </xf>
    <xf numFmtId="165" fontId="5" fillId="0" borderId="0" xfId="0" applyNumberFormat="1" applyFont="1" applyAlignment="1">
      <alignment horizontal="center" vertical="center"/>
    </xf>
    <xf numFmtId="164" fontId="23" fillId="0" borderId="0" xfId="0" applyNumberFormat="1" applyFont="1" applyAlignment="1">
      <alignment horizontal="centerContinuous" vertical="center"/>
    </xf>
    <xf numFmtId="0" fontId="50" fillId="5" borderId="28" xfId="0" applyFont="1" applyFill="1" applyBorder="1" applyAlignment="1">
      <alignment horizontal="center" vertical="center"/>
    </xf>
    <xf numFmtId="164" fontId="50" fillId="5" borderId="27" xfId="0" applyNumberFormat="1" applyFont="1" applyFill="1" applyBorder="1" applyAlignment="1">
      <alignment horizontal="center" vertical="center"/>
    </xf>
    <xf numFmtId="0" fontId="50" fillId="5" borderId="28" xfId="0" applyFont="1" applyFill="1" applyBorder="1" applyAlignment="1">
      <alignment horizontal="right" vertical="center"/>
    </xf>
    <xf numFmtId="0" fontId="50" fillId="5" borderId="104" xfId="0" applyFont="1" applyFill="1" applyBorder="1" applyAlignment="1">
      <alignment vertical="center"/>
    </xf>
    <xf numFmtId="164" fontId="50" fillId="5" borderId="68" xfId="0" applyNumberFormat="1" applyFont="1" applyFill="1" applyBorder="1" applyAlignment="1">
      <alignment horizontal="center" vertical="center"/>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164" fontId="5" fillId="0" borderId="107" xfId="0" applyNumberFormat="1" applyFont="1" applyBorder="1" applyAlignment="1">
      <alignment horizontal="center" vertical="center" shrinkToFit="1"/>
    </xf>
    <xf numFmtId="0" fontId="5" fillId="0" borderId="107" xfId="0" applyFont="1" applyBorder="1" applyAlignment="1">
      <alignment horizontal="left" vertical="center"/>
    </xf>
    <xf numFmtId="0" fontId="5" fillId="0" borderId="108" xfId="0" applyFont="1" applyBorder="1" applyAlignment="1">
      <alignment horizontal="left" vertical="center" shrinkToFit="1"/>
    </xf>
    <xf numFmtId="1" fontId="5" fillId="15" borderId="69" xfId="0" applyNumberFormat="1" applyFont="1" applyFill="1" applyBorder="1" applyAlignment="1">
      <alignment horizontal="center" vertical="center" shrinkToFit="1"/>
    </xf>
    <xf numFmtId="0" fontId="5" fillId="0" borderId="109" xfId="0" applyFont="1" applyBorder="1" applyAlignment="1">
      <alignment horizontal="center" vertical="center" shrinkToFit="1"/>
    </xf>
    <xf numFmtId="0" fontId="5" fillId="0" borderId="51" xfId="0" applyFont="1" applyBorder="1" applyAlignment="1">
      <alignment horizontal="center" vertical="center" shrinkToFit="1"/>
    </xf>
    <xf numFmtId="164" fontId="5" fillId="0" borderId="52" xfId="0" applyNumberFormat="1" applyFont="1" applyBorder="1" applyAlignment="1">
      <alignment horizontal="center" vertical="center" shrinkToFit="1"/>
    </xf>
    <xf numFmtId="0" fontId="5" fillId="0" borderId="52" xfId="0" applyFont="1" applyBorder="1" applyAlignment="1">
      <alignment horizontal="left" vertical="center"/>
    </xf>
    <xf numFmtId="0" fontId="5" fillId="0" borderId="53" xfId="0" applyFont="1" applyBorder="1" applyAlignment="1">
      <alignment horizontal="left" vertical="center" shrinkToFit="1"/>
    </xf>
    <xf numFmtId="1" fontId="5" fillId="0" borderId="71" xfId="0" applyNumberFormat="1" applyFont="1" applyBorder="1" applyAlignment="1">
      <alignment horizontal="center" vertical="center" shrinkToFit="1"/>
    </xf>
    <xf numFmtId="1" fontId="5" fillId="15" borderId="50" xfId="0" applyNumberFormat="1" applyFont="1" applyFill="1" applyBorder="1" applyAlignment="1">
      <alignment horizontal="center" vertical="center" shrinkToFit="1"/>
    </xf>
    <xf numFmtId="0" fontId="5" fillId="0" borderId="110" xfId="0" applyFont="1" applyBorder="1" applyAlignment="1">
      <alignment horizontal="center" vertical="center" shrinkToFit="1"/>
    </xf>
    <xf numFmtId="0" fontId="5" fillId="0" borderId="55" xfId="0" applyFont="1" applyBorder="1" applyAlignment="1">
      <alignment horizontal="center" vertical="center" shrinkToFit="1"/>
    </xf>
    <xf numFmtId="164" fontId="5" fillId="0" borderId="56" xfId="0" applyNumberFormat="1" applyFont="1" applyBorder="1" applyAlignment="1">
      <alignment horizontal="center" vertical="center" shrinkToFit="1"/>
    </xf>
    <xf numFmtId="0" fontId="5" fillId="0" borderId="56" xfId="0" applyFont="1" applyBorder="1" applyAlignment="1">
      <alignment horizontal="left" vertical="center"/>
    </xf>
    <xf numFmtId="0" fontId="5" fillId="0" borderId="57" xfId="0" applyFont="1" applyBorder="1" applyAlignment="1">
      <alignment horizontal="left" vertical="center" shrinkToFit="1"/>
    </xf>
    <xf numFmtId="164" fontId="23" fillId="0" borderId="0" xfId="0" applyNumberFormat="1" applyFont="1" applyAlignment="1">
      <alignment horizontal="centerContinuous" vertical="center" shrinkToFit="1"/>
    </xf>
    <xf numFmtId="0" fontId="23" fillId="0" borderId="0" xfId="0" applyFont="1" applyAlignment="1">
      <alignment horizontal="centerContinuous" vertical="center" shrinkToFit="1"/>
    </xf>
    <xf numFmtId="0" fontId="5" fillId="0" borderId="52" xfId="0" applyFont="1" applyBorder="1" applyAlignment="1">
      <alignment horizontal="center" vertical="center" shrinkToFit="1"/>
    </xf>
    <xf numFmtId="164" fontId="5" fillId="0" borderId="111" xfId="0" applyNumberFormat="1" applyFont="1" applyBorder="1" applyAlignment="1">
      <alignment horizontal="center" vertical="center" shrinkToFit="1"/>
    </xf>
    <xf numFmtId="1" fontId="5" fillId="15" borderId="71" xfId="0" applyNumberFormat="1" applyFont="1" applyFill="1" applyBorder="1" applyAlignment="1">
      <alignment horizontal="center" vertical="center" shrinkToFit="1"/>
    </xf>
    <xf numFmtId="0" fontId="5" fillId="0" borderId="52" xfId="0" quotePrefix="1" applyFont="1" applyBorder="1" applyAlignment="1">
      <alignment horizontal="left" vertical="center"/>
    </xf>
    <xf numFmtId="0" fontId="5" fillId="0" borderId="56" xfId="0" applyFont="1" applyBorder="1" applyAlignment="1">
      <alignment horizontal="center" vertical="center" shrinkToFit="1"/>
    </xf>
    <xf numFmtId="1" fontId="5" fillId="15" borderId="54" xfId="0" applyNumberFormat="1" applyFont="1" applyFill="1" applyBorder="1" applyAlignment="1">
      <alignment horizontal="center" vertical="center" shrinkToFit="1"/>
    </xf>
    <xf numFmtId="0" fontId="23" fillId="0" borderId="0" xfId="0" applyFont="1" applyAlignment="1">
      <alignment vertical="center"/>
    </xf>
    <xf numFmtId="1" fontId="5" fillId="0" borderId="0" xfId="0" applyNumberFormat="1" applyFont="1" applyAlignment="1">
      <alignment vertical="center"/>
    </xf>
    <xf numFmtId="164" fontId="5" fillId="0" borderId="69" xfId="0" applyNumberFormat="1" applyFont="1" applyBorder="1" applyAlignment="1">
      <alignment horizontal="center" vertical="center" shrinkToFit="1"/>
    </xf>
    <xf numFmtId="164" fontId="5" fillId="0" borderId="71" xfId="0" applyNumberFormat="1" applyFont="1" applyBorder="1" applyAlignment="1">
      <alignment horizontal="center" vertical="center" shrinkToFit="1"/>
    </xf>
    <xf numFmtId="164" fontId="5" fillId="0" borderId="50" xfId="0" applyNumberFormat="1" applyFont="1" applyBorder="1" applyAlignment="1">
      <alignment horizontal="center" vertical="center" shrinkToFit="1"/>
    </xf>
    <xf numFmtId="164" fontId="5" fillId="0" borderId="54" xfId="0" applyNumberFormat="1" applyFont="1" applyBorder="1" applyAlignment="1">
      <alignment horizontal="center" vertical="center" shrinkToFit="1"/>
    </xf>
    <xf numFmtId="0" fontId="22" fillId="0" borderId="23" xfId="0" applyFont="1" applyBorder="1" applyAlignment="1">
      <alignment horizontal="centerContinuous" vertical="center" wrapText="1"/>
    </xf>
    <xf numFmtId="0" fontId="3" fillId="2" borderId="113" xfId="5" applyFont="1" applyFill="1" applyBorder="1" applyAlignment="1">
      <alignment horizontal="left" vertical="center"/>
    </xf>
    <xf numFmtId="0" fontId="5" fillId="2" borderId="113" xfId="5" applyFill="1" applyBorder="1" applyAlignment="1">
      <alignment horizontal="left" vertical="center"/>
    </xf>
    <xf numFmtId="0" fontId="4" fillId="2" borderId="113" xfId="5" applyFont="1" applyFill="1" applyBorder="1" applyAlignment="1">
      <alignment horizontal="centerContinuous" vertical="center"/>
    </xf>
    <xf numFmtId="0" fontId="55" fillId="2" borderId="114" xfId="5" applyFont="1" applyFill="1" applyBorder="1" applyAlignment="1">
      <alignment horizontal="right" vertical="center"/>
    </xf>
    <xf numFmtId="0" fontId="5" fillId="0" borderId="0" xfId="5" applyAlignment="1">
      <alignment vertical="center"/>
    </xf>
    <xf numFmtId="0" fontId="8" fillId="0" borderId="4" xfId="5" applyFont="1" applyBorder="1" applyAlignment="1">
      <alignment horizontal="right" vertical="center"/>
    </xf>
    <xf numFmtId="0" fontId="9" fillId="0" borderId="0" xfId="5" applyFont="1" applyAlignment="1">
      <alignment horizontal="centerContinuous" vertical="center"/>
    </xf>
    <xf numFmtId="0" fontId="8" fillId="0" borderId="0" xfId="5" applyFont="1" applyAlignment="1">
      <alignment horizontal="right" vertical="center"/>
    </xf>
    <xf numFmtId="0" fontId="9" fillId="0" borderId="0" xfId="5" applyFont="1" applyAlignment="1">
      <alignment horizontal="center" vertical="center"/>
    </xf>
    <xf numFmtId="49" fontId="9" fillId="0" borderId="5" xfId="5" quotePrefix="1" applyNumberFormat="1" applyFont="1" applyBorder="1" applyAlignment="1">
      <alignment horizontal="center" vertical="center"/>
    </xf>
    <xf numFmtId="0" fontId="8" fillId="0" borderId="22" xfId="5" applyFont="1" applyBorder="1" applyAlignment="1">
      <alignment horizontal="right" vertical="center"/>
    </xf>
    <xf numFmtId="0" fontId="56" fillId="0" borderId="23" xfId="5" applyFont="1" applyBorder="1" applyAlignment="1">
      <alignment horizontal="centerContinuous" vertical="center"/>
    </xf>
    <xf numFmtId="0" fontId="9" fillId="0" borderId="23" xfId="5" applyFont="1" applyBorder="1" applyAlignment="1">
      <alignment horizontal="centerContinuous" vertical="center"/>
    </xf>
    <xf numFmtId="0" fontId="8" fillId="0" borderId="23" xfId="5" applyFont="1" applyBorder="1" applyAlignment="1">
      <alignment horizontal="right" vertical="center"/>
    </xf>
    <xf numFmtId="0" fontId="9" fillId="0" borderId="23" xfId="5" applyFont="1" applyBorder="1" applyAlignment="1">
      <alignment horizontal="center" vertical="center"/>
    </xf>
    <xf numFmtId="0" fontId="9" fillId="0" borderId="24" xfId="5" applyFont="1" applyBorder="1" applyAlignment="1">
      <alignment horizontal="center" vertical="center"/>
    </xf>
    <xf numFmtId="0" fontId="10" fillId="2" borderId="11" xfId="5" applyFont="1" applyFill="1" applyBorder="1" applyAlignment="1">
      <alignment horizontal="right" vertical="center"/>
    </xf>
    <xf numFmtId="0" fontId="9" fillId="0" borderId="15" xfId="5" applyFont="1" applyBorder="1" applyAlignment="1">
      <alignment horizontal="center" vertical="center"/>
    </xf>
    <xf numFmtId="0" fontId="11" fillId="0" borderId="7" xfId="5" applyFont="1" applyBorder="1" applyAlignment="1">
      <alignment horizontal="center" vertical="center"/>
    </xf>
    <xf numFmtId="0" fontId="9" fillId="0" borderId="21" xfId="5" applyFont="1" applyBorder="1" applyAlignment="1">
      <alignment horizontal="center" vertical="center"/>
    </xf>
    <xf numFmtId="0" fontId="9" fillId="0" borderId="5" xfId="5" applyFont="1" applyBorder="1" applyAlignment="1">
      <alignment horizontal="center" vertical="center"/>
    </xf>
    <xf numFmtId="0" fontId="19" fillId="0" borderId="4" xfId="5" applyFont="1" applyBorder="1" applyAlignment="1">
      <alignment horizontal="right" vertical="center"/>
    </xf>
    <xf numFmtId="0" fontId="21" fillId="2" borderId="17" xfId="5" applyFont="1" applyFill="1" applyBorder="1" applyAlignment="1">
      <alignment horizontal="right" vertical="center"/>
    </xf>
    <xf numFmtId="0" fontId="9" fillId="0" borderId="13" xfId="5" applyFont="1" applyBorder="1" applyAlignment="1">
      <alignment horizontal="center" vertical="center"/>
    </xf>
    <xf numFmtId="0" fontId="11" fillId="0" borderId="13" xfId="5" applyFont="1" applyBorder="1" applyAlignment="1">
      <alignment horizontal="center" vertical="center"/>
    </xf>
    <xf numFmtId="0" fontId="9" fillId="0" borderId="14" xfId="5" applyFont="1" applyBorder="1" applyAlignment="1">
      <alignment horizontal="center" vertical="center"/>
    </xf>
    <xf numFmtId="0" fontId="9" fillId="0" borderId="0" xfId="5" applyFont="1" applyAlignment="1">
      <alignment horizontal="left" vertical="center"/>
    </xf>
    <xf numFmtId="0" fontId="9" fillId="0" borderId="5" xfId="5" applyFont="1" applyBorder="1" applyAlignment="1">
      <alignment horizontal="left" vertical="center"/>
    </xf>
    <xf numFmtId="0" fontId="9" fillId="0" borderId="4" xfId="5" applyFont="1" applyBorder="1" applyAlignment="1">
      <alignment vertical="center"/>
    </xf>
    <xf numFmtId="0" fontId="9" fillId="0" borderId="22" xfId="5" applyFont="1" applyBorder="1" applyAlignment="1">
      <alignment vertical="center"/>
    </xf>
    <xf numFmtId="0" fontId="9" fillId="0" borderId="23" xfId="5" applyFont="1" applyBorder="1" applyAlignment="1">
      <alignment vertical="center"/>
    </xf>
    <xf numFmtId="0" fontId="9" fillId="0" borderId="24" xfId="5" applyFont="1" applyBorder="1" applyAlignment="1">
      <alignment vertical="center"/>
    </xf>
    <xf numFmtId="0" fontId="4" fillId="0" borderId="0" xfId="5" applyFont="1" applyAlignment="1">
      <alignment horizontal="right" vertical="center"/>
    </xf>
    <xf numFmtId="0" fontId="5" fillId="0" borderId="0" xfId="5" applyAlignment="1">
      <alignment horizontal="left" vertical="center"/>
    </xf>
    <xf numFmtId="9" fontId="9" fillId="0" borderId="30" xfId="10" applyFont="1" applyFill="1" applyBorder="1" applyAlignment="1">
      <alignment horizontal="center" vertical="center" shrinkToFit="1"/>
    </xf>
    <xf numFmtId="9" fontId="9" fillId="0" borderId="31" xfId="10" applyFont="1" applyFill="1" applyBorder="1" applyAlignment="1">
      <alignment horizontal="center" vertical="center" shrinkToFit="1"/>
    </xf>
    <xf numFmtId="0" fontId="9" fillId="0" borderId="31" xfId="10" applyNumberFormat="1" applyFont="1" applyFill="1" applyBorder="1" applyAlignment="1">
      <alignment horizontal="center" vertical="center" shrinkToFit="1"/>
    </xf>
    <xf numFmtId="0" fontId="5" fillId="0" borderId="120" xfId="0" applyFont="1" applyBorder="1" applyAlignment="1">
      <alignment horizontal="left" vertical="center"/>
    </xf>
    <xf numFmtId="0" fontId="5" fillId="0" borderId="121" xfId="0" applyFont="1" applyBorder="1" applyAlignment="1">
      <alignment horizontal="left" vertical="center" shrinkToFit="1"/>
    </xf>
    <xf numFmtId="1" fontId="5" fillId="0" borderId="72" xfId="0" applyNumberFormat="1" applyFont="1" applyBorder="1" applyAlignment="1">
      <alignment horizontal="center" vertical="center" shrinkToFit="1"/>
    </xf>
    <xf numFmtId="0" fontId="5" fillId="0" borderId="98" xfId="0" applyFont="1" applyBorder="1" applyAlignment="1">
      <alignment horizontal="center" vertical="center" shrinkToFit="1"/>
    </xf>
    <xf numFmtId="1" fontId="5" fillId="0" borderId="52" xfId="0" applyNumberFormat="1" applyFont="1" applyBorder="1" applyAlignment="1">
      <alignment horizontal="center" vertical="center" shrinkToFit="1"/>
    </xf>
    <xf numFmtId="0" fontId="5" fillId="0" borderId="122" xfId="0" applyFont="1" applyBorder="1" applyAlignment="1">
      <alignment horizontal="left" vertical="center"/>
    </xf>
    <xf numFmtId="1" fontId="52" fillId="6" borderId="107" xfId="0" applyNumberFormat="1" applyFont="1" applyFill="1" applyBorder="1" applyAlignment="1">
      <alignment horizontal="center" vertical="center"/>
    </xf>
    <xf numFmtId="1" fontId="52" fillId="6" borderId="52" xfId="0" applyNumberFormat="1" applyFont="1" applyFill="1" applyBorder="1" applyAlignment="1">
      <alignment horizontal="center" vertical="center"/>
    </xf>
    <xf numFmtId="164" fontId="5" fillId="8" borderId="36" xfId="0" applyNumberFormat="1" applyFont="1" applyFill="1" applyBorder="1" applyAlignment="1">
      <alignment horizontal="center" vertical="center"/>
    </xf>
    <xf numFmtId="1" fontId="5" fillId="8" borderId="54" xfId="0" applyNumberFormat="1" applyFont="1" applyFill="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16" xfId="0" quotePrefix="1" applyFont="1" applyBorder="1" applyAlignment="1">
      <alignment horizontal="center" vertical="center" wrapText="1"/>
    </xf>
    <xf numFmtId="49" fontId="5" fillId="0" borderId="116" xfId="3" applyNumberFormat="1" applyFont="1" applyFill="1" applyBorder="1" applyAlignment="1">
      <alignment horizontal="center" vertical="center"/>
    </xf>
    <xf numFmtId="0" fontId="5" fillId="0" borderId="116" xfId="0" applyFont="1" applyBorder="1" applyAlignment="1">
      <alignment horizontal="center" vertical="center" shrinkToFit="1"/>
    </xf>
    <xf numFmtId="164" fontId="5" fillId="0" borderId="116" xfId="0" applyNumberFormat="1" applyFont="1" applyBorder="1" applyAlignment="1">
      <alignment horizontal="center" vertical="center"/>
    </xf>
    <xf numFmtId="164" fontId="5" fillId="0" borderId="117" xfId="0" applyNumberFormat="1" applyFont="1" applyBorder="1" applyAlignment="1">
      <alignment horizontal="center" vertical="center"/>
    </xf>
    <xf numFmtId="1" fontId="52" fillId="6" borderId="117" xfId="0" applyNumberFormat="1" applyFont="1" applyFill="1" applyBorder="1" applyAlignment="1">
      <alignment horizontal="center" vertical="center"/>
    </xf>
    <xf numFmtId="1" fontId="5" fillId="0" borderId="117" xfId="0" applyNumberFormat="1" applyFont="1" applyBorder="1" applyAlignment="1">
      <alignment horizontal="center" vertical="center"/>
    </xf>
    <xf numFmtId="0" fontId="5" fillId="0" borderId="123" xfId="0" quotePrefix="1" applyFont="1" applyBorder="1" applyAlignment="1">
      <alignment horizontal="center" vertical="center"/>
    </xf>
    <xf numFmtId="164" fontId="5" fillId="8" borderId="125" xfId="0" applyNumberFormat="1" applyFont="1" applyFill="1" applyBorder="1" applyAlignment="1">
      <alignment horizontal="center" vertical="center"/>
    </xf>
    <xf numFmtId="1" fontId="52" fillId="6" borderId="126" xfId="0" applyNumberFormat="1" applyFont="1" applyFill="1" applyBorder="1" applyAlignment="1">
      <alignment horizontal="center" vertical="center"/>
    </xf>
    <xf numFmtId="0" fontId="5" fillId="0" borderId="65" xfId="0" applyFont="1" applyBorder="1" applyAlignment="1">
      <alignment horizontal="left" vertical="center" shrinkToFit="1"/>
    </xf>
    <xf numFmtId="1" fontId="5" fillId="15" borderId="72" xfId="0" applyNumberFormat="1" applyFont="1" applyFill="1" applyBorder="1" applyAlignment="1">
      <alignment horizontal="center" vertical="center" shrinkToFit="1"/>
    </xf>
    <xf numFmtId="1" fontId="5" fillId="0" borderId="51" xfId="0" applyNumberFormat="1" applyFont="1" applyBorder="1" applyAlignment="1">
      <alignment horizontal="center" vertical="center" shrinkToFit="1"/>
    </xf>
    <xf numFmtId="1" fontId="5" fillId="0" borderId="50" xfId="0" applyNumberFormat="1" applyFont="1" applyBorder="1" applyAlignment="1">
      <alignment horizontal="center" vertical="center" shrinkToFit="1"/>
    </xf>
    <xf numFmtId="0" fontId="9" fillId="0" borderId="14" xfId="0" applyFont="1" applyBorder="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60" fillId="0" borderId="0" xfId="0" applyFont="1" applyAlignment="1">
      <alignment vertical="center"/>
    </xf>
    <xf numFmtId="0" fontId="5" fillId="0" borderId="128" xfId="0" applyFont="1" applyBorder="1" applyAlignment="1">
      <alignment horizontal="center" vertical="center" shrinkToFit="1"/>
    </xf>
    <xf numFmtId="1" fontId="5" fillId="0" borderId="64" xfId="0" applyNumberFormat="1" applyFont="1" applyBorder="1" applyAlignment="1">
      <alignment horizontal="center" vertical="center" shrinkToFit="1"/>
    </xf>
    <xf numFmtId="164" fontId="5" fillId="0" borderId="64" xfId="0" applyNumberFormat="1" applyFont="1" applyBorder="1" applyAlignment="1">
      <alignment horizontal="center" vertical="center" shrinkToFit="1"/>
    </xf>
    <xf numFmtId="0" fontId="5" fillId="0" borderId="129" xfId="0" applyFont="1" applyBorder="1" applyAlignment="1">
      <alignment horizontal="left" vertical="center"/>
    </xf>
    <xf numFmtId="0" fontId="5" fillId="0" borderId="130" xfId="0" applyFont="1" applyBorder="1" applyAlignment="1">
      <alignment horizontal="center" vertical="center" shrinkToFit="1"/>
    </xf>
    <xf numFmtId="0" fontId="5" fillId="0" borderId="100" xfId="0" applyFont="1" applyBorder="1" applyAlignment="1">
      <alignment horizontal="center" vertical="center" shrinkToFit="1"/>
    </xf>
    <xf numFmtId="1" fontId="5" fillId="0" borderId="56" xfId="0" applyNumberFormat="1" applyFont="1" applyBorder="1" applyAlignment="1">
      <alignment horizontal="center" vertical="center" shrinkToFit="1"/>
    </xf>
    <xf numFmtId="0" fontId="5" fillId="0" borderId="131" xfId="0" applyFont="1" applyBorder="1" applyAlignment="1">
      <alignment horizontal="left" vertical="center"/>
    </xf>
    <xf numFmtId="1" fontId="5" fillId="0" borderId="54" xfId="0" applyNumberFormat="1" applyFont="1" applyBorder="1" applyAlignment="1">
      <alignment horizontal="center" vertical="center" shrinkToFit="1"/>
    </xf>
    <xf numFmtId="1" fontId="9" fillId="0" borderId="7" xfId="0" applyNumberFormat="1" applyFont="1" applyBorder="1" applyAlignment="1">
      <alignment horizontal="centerContinuous" vertical="center"/>
    </xf>
    <xf numFmtId="0" fontId="5" fillId="0" borderId="8" xfId="0" applyFont="1" applyBorder="1" applyAlignment="1">
      <alignment horizontal="centerContinuous" vertical="center"/>
    </xf>
    <xf numFmtId="0" fontId="9" fillId="0" borderId="13" xfId="0" quotePrefix="1" applyFont="1" applyBorder="1" applyAlignment="1">
      <alignment horizontal="center" vertical="center"/>
    </xf>
    <xf numFmtId="0" fontId="9" fillId="0" borderId="15" xfId="0" applyFont="1" applyBorder="1" applyAlignment="1">
      <alignment horizontal="center" vertical="center"/>
    </xf>
    <xf numFmtId="2" fontId="5" fillId="0" borderId="52" xfId="0" applyNumberFormat="1" applyFont="1" applyBorder="1" applyAlignment="1">
      <alignment horizontal="center" vertical="center" shrinkToFit="1"/>
    </xf>
    <xf numFmtId="0" fontId="59" fillId="8" borderId="54" xfId="0" quotePrefix="1" applyFont="1" applyFill="1" applyBorder="1" applyAlignment="1">
      <alignment horizontal="centerContinuous" vertical="center"/>
    </xf>
    <xf numFmtId="0" fontId="46" fillId="8" borderId="50" xfId="0" quotePrefix="1" applyFont="1" applyFill="1" applyBorder="1" applyAlignment="1">
      <alignment horizontal="center" vertical="center"/>
    </xf>
    <xf numFmtId="0" fontId="33" fillId="8" borderId="50" xfId="0" quotePrefix="1" applyFont="1" applyFill="1" applyBorder="1" applyAlignment="1">
      <alignment horizontal="center" vertical="center"/>
    </xf>
    <xf numFmtId="0" fontId="33" fillId="8" borderId="72" xfId="0" quotePrefix="1" applyFont="1" applyFill="1" applyBorder="1" applyAlignment="1">
      <alignment horizontal="centerContinuous" vertical="center"/>
    </xf>
    <xf numFmtId="0" fontId="9" fillId="7" borderId="31" xfId="0" applyFont="1" applyFill="1" applyBorder="1" applyAlignment="1">
      <alignment horizontal="center" vertical="center"/>
    </xf>
    <xf numFmtId="0" fontId="20" fillId="7" borderId="4" xfId="0" applyFont="1" applyFill="1" applyBorder="1" applyAlignment="1">
      <alignment vertical="center"/>
    </xf>
    <xf numFmtId="49" fontId="13" fillId="7" borderId="30" xfId="0" applyNumberFormat="1" applyFont="1" applyFill="1" applyBorder="1" applyAlignment="1">
      <alignment horizontal="center" vertical="center"/>
    </xf>
    <xf numFmtId="0" fontId="13" fillId="7" borderId="31" xfId="0" applyFont="1" applyFill="1" applyBorder="1" applyAlignment="1">
      <alignment horizontal="center" vertical="center"/>
    </xf>
    <xf numFmtId="0" fontId="20" fillId="7" borderId="31" xfId="0" applyFont="1" applyFill="1" applyBorder="1" applyAlignment="1">
      <alignment horizontal="center" vertical="center"/>
    </xf>
    <xf numFmtId="0" fontId="26" fillId="8" borderId="42" xfId="0" applyFont="1" applyFill="1" applyBorder="1" applyAlignment="1">
      <alignment horizontal="center" vertical="center" wrapText="1"/>
    </xf>
    <xf numFmtId="0" fontId="62" fillId="0" borderId="54" xfId="0" applyFont="1" applyBorder="1" applyAlignment="1">
      <alignment horizontal="centerContinuous" vertical="center"/>
    </xf>
    <xf numFmtId="0" fontId="44" fillId="8" borderId="68" xfId="0" applyFont="1" applyFill="1" applyBorder="1" applyAlignment="1">
      <alignment horizontal="centerContinuous" vertical="center"/>
    </xf>
    <xf numFmtId="0" fontId="37" fillId="13" borderId="34" xfId="0" applyFont="1" applyFill="1" applyBorder="1" applyAlignment="1">
      <alignment horizontal="center"/>
    </xf>
    <xf numFmtId="0" fontId="21" fillId="7" borderId="4" xfId="0" applyFont="1" applyFill="1" applyBorder="1" applyAlignment="1">
      <alignment vertical="center"/>
    </xf>
    <xf numFmtId="49" fontId="32" fillId="7" borderId="30" xfId="0" applyNumberFormat="1" applyFont="1" applyFill="1" applyBorder="1" applyAlignment="1">
      <alignment horizontal="center" vertical="center"/>
    </xf>
    <xf numFmtId="0" fontId="32" fillId="7" borderId="31" xfId="0" applyFont="1" applyFill="1" applyBorder="1" applyAlignment="1">
      <alignment horizontal="center" vertical="center"/>
    </xf>
    <xf numFmtId="0" fontId="21" fillId="7" borderId="31" xfId="0" applyFont="1" applyFill="1" applyBorder="1" applyAlignment="1">
      <alignment horizontal="center" vertical="center"/>
    </xf>
    <xf numFmtId="0" fontId="33" fillId="8" borderId="50" xfId="0" quotePrefix="1" applyFont="1" applyFill="1" applyBorder="1" applyAlignment="1">
      <alignment horizontal="centerContinuous" vertical="center"/>
    </xf>
    <xf numFmtId="0" fontId="33" fillId="8" borderId="54" xfId="0" quotePrefix="1" applyFont="1" applyFill="1" applyBorder="1" applyAlignment="1">
      <alignment horizontal="center" vertical="center"/>
    </xf>
    <xf numFmtId="0" fontId="5" fillId="8" borderId="17" xfId="0" applyFont="1" applyFill="1" applyBorder="1" applyAlignment="1">
      <alignment horizontal="center" vertical="center"/>
    </xf>
    <xf numFmtId="0" fontId="5" fillId="8" borderId="36" xfId="0" applyFont="1" applyFill="1" applyBorder="1" applyAlignment="1">
      <alignment horizontal="center" vertical="center"/>
    </xf>
    <xf numFmtId="49" fontId="5" fillId="8" borderId="36" xfId="0" applyNumberFormat="1" applyFont="1" applyFill="1" applyBorder="1" applyAlignment="1">
      <alignment horizontal="center" vertical="center"/>
    </xf>
    <xf numFmtId="164" fontId="5" fillId="8" borderId="37" xfId="0" applyNumberFormat="1" applyFont="1" applyFill="1" applyBorder="1" applyAlignment="1">
      <alignment horizontal="center" vertical="center"/>
    </xf>
    <xf numFmtId="1" fontId="52" fillId="8" borderId="37" xfId="0" applyNumberFormat="1" applyFont="1" applyFill="1" applyBorder="1" applyAlignment="1">
      <alignment horizontal="center" vertical="center"/>
    </xf>
    <xf numFmtId="1" fontId="5" fillId="8" borderId="37" xfId="0" applyNumberFormat="1" applyFont="1" applyFill="1" applyBorder="1" applyAlignment="1">
      <alignment horizontal="center" vertical="center"/>
    </xf>
    <xf numFmtId="0" fontId="5" fillId="8" borderId="38" xfId="0" quotePrefix="1" applyFont="1" applyFill="1" applyBorder="1" applyAlignment="1">
      <alignment horizontal="center" vertical="center"/>
    </xf>
    <xf numFmtId="0" fontId="53" fillId="17" borderId="105" xfId="0" applyFont="1" applyFill="1" applyBorder="1" applyAlignment="1">
      <alignment horizontal="center" vertical="center"/>
    </xf>
    <xf numFmtId="0" fontId="53" fillId="17" borderId="107" xfId="0" applyFont="1" applyFill="1" applyBorder="1" applyAlignment="1">
      <alignment horizontal="center" vertical="center"/>
    </xf>
    <xf numFmtId="0" fontId="53" fillId="17" borderId="107" xfId="0" quotePrefix="1" applyFont="1" applyFill="1" applyBorder="1" applyAlignment="1">
      <alignment horizontal="center" vertical="center" wrapText="1"/>
    </xf>
    <xf numFmtId="49" fontId="53" fillId="17" borderId="107" xfId="3" applyNumberFormat="1" applyFont="1" applyFill="1" applyBorder="1" applyAlignment="1">
      <alignment horizontal="center" vertical="center"/>
    </xf>
    <xf numFmtId="0" fontId="53" fillId="17" borderId="107" xfId="0" applyFont="1" applyFill="1" applyBorder="1" applyAlignment="1">
      <alignment horizontal="center" vertical="center" shrinkToFit="1"/>
    </xf>
    <xf numFmtId="164" fontId="53" fillId="17" borderId="107" xfId="0" applyNumberFormat="1" applyFont="1" applyFill="1" applyBorder="1" applyAlignment="1">
      <alignment horizontal="center" vertical="center"/>
    </xf>
    <xf numFmtId="1" fontId="53" fillId="17" borderId="107" xfId="0" applyNumberFormat="1" applyFont="1" applyFill="1" applyBorder="1" applyAlignment="1">
      <alignment horizontal="center" vertical="center"/>
    </xf>
    <xf numFmtId="0" fontId="53" fillId="17" borderId="109" xfId="0" applyFont="1" applyFill="1" applyBorder="1" applyAlignment="1">
      <alignment horizontal="center" vertical="center"/>
    </xf>
    <xf numFmtId="0" fontId="53" fillId="17" borderId="52" xfId="0" applyFont="1" applyFill="1" applyBorder="1" applyAlignment="1">
      <alignment horizontal="center" vertical="center"/>
    </xf>
    <xf numFmtId="0" fontId="53" fillId="17" borderId="52" xfId="0" quotePrefix="1" applyFont="1" applyFill="1" applyBorder="1" applyAlignment="1">
      <alignment horizontal="center" vertical="center" wrapText="1"/>
    </xf>
    <xf numFmtId="49" fontId="53" fillId="17" borderId="52" xfId="3" applyNumberFormat="1" applyFont="1" applyFill="1" applyBorder="1" applyAlignment="1">
      <alignment horizontal="center" vertical="center"/>
    </xf>
    <xf numFmtId="0" fontId="53" fillId="17" borderId="52" xfId="0" applyFont="1" applyFill="1" applyBorder="1" applyAlignment="1">
      <alignment horizontal="center" vertical="center" shrinkToFit="1"/>
    </xf>
    <xf numFmtId="164" fontId="53" fillId="17" borderId="52" xfId="0" applyNumberFormat="1" applyFont="1" applyFill="1" applyBorder="1" applyAlignment="1">
      <alignment horizontal="center" vertical="center"/>
    </xf>
    <xf numFmtId="1" fontId="53" fillId="17" borderId="52" xfId="0" applyNumberFormat="1" applyFont="1" applyFill="1" applyBorder="1" applyAlignment="1">
      <alignment horizontal="center" vertical="center"/>
    </xf>
    <xf numFmtId="0" fontId="53" fillId="17" borderId="76" xfId="0" applyFont="1" applyFill="1" applyBorder="1" applyAlignment="1">
      <alignment horizontal="center" vertical="center"/>
    </xf>
    <xf numFmtId="0" fontId="53" fillId="17" borderId="77" xfId="0" applyFont="1" applyFill="1" applyBorder="1" applyAlignment="1">
      <alignment horizontal="center" vertical="center"/>
    </xf>
    <xf numFmtId="0" fontId="53" fillId="17" borderId="77" xfId="0" quotePrefix="1" applyFont="1" applyFill="1" applyBorder="1" applyAlignment="1">
      <alignment horizontal="center" vertical="center" wrapText="1"/>
    </xf>
    <xf numFmtId="49" fontId="53" fillId="17" borderId="77" xfId="3" applyNumberFormat="1" applyFont="1" applyFill="1" applyBorder="1" applyAlignment="1">
      <alignment horizontal="center" vertical="center"/>
    </xf>
    <xf numFmtId="0" fontId="53" fillId="17" borderId="77" xfId="0" applyFont="1" applyFill="1" applyBorder="1" applyAlignment="1">
      <alignment horizontal="center" vertical="center" shrinkToFit="1"/>
    </xf>
    <xf numFmtId="164" fontId="53" fillId="17" borderId="77" xfId="0" applyNumberFormat="1" applyFont="1" applyFill="1" applyBorder="1" applyAlignment="1">
      <alignment horizontal="center" vertical="center"/>
    </xf>
    <xf numFmtId="164" fontId="53" fillId="17" borderId="78" xfId="0" applyNumberFormat="1" applyFont="1" applyFill="1" applyBorder="1" applyAlignment="1">
      <alignment horizontal="center" vertical="center"/>
    </xf>
    <xf numFmtId="0" fontId="53" fillId="17" borderId="17" xfId="0" applyFont="1" applyFill="1" applyBorder="1" applyAlignment="1">
      <alignment horizontal="center" vertical="center"/>
    </xf>
    <xf numFmtId="0" fontId="53" fillId="17" borderId="36" xfId="0" applyFont="1" applyFill="1" applyBorder="1" applyAlignment="1">
      <alignment horizontal="center" vertical="center"/>
    </xf>
    <xf numFmtId="0" fontId="53" fillId="17" borderId="36" xfId="0" quotePrefix="1" applyFont="1" applyFill="1" applyBorder="1" applyAlignment="1">
      <alignment horizontal="center" vertical="center" wrapText="1"/>
    </xf>
    <xf numFmtId="49" fontId="53" fillId="17" borderId="36" xfId="3" applyNumberFormat="1" applyFont="1" applyFill="1" applyBorder="1" applyAlignment="1">
      <alignment horizontal="center" vertical="center"/>
    </xf>
    <xf numFmtId="0" fontId="53" fillId="17" borderId="36" xfId="0" applyFont="1" applyFill="1" applyBorder="1" applyAlignment="1">
      <alignment horizontal="center" vertical="center" shrinkToFit="1"/>
    </xf>
    <xf numFmtId="164" fontId="53" fillId="17" borderId="36" xfId="0" applyNumberFormat="1" applyFont="1" applyFill="1" applyBorder="1" applyAlignment="1">
      <alignment horizontal="center" vertical="center"/>
    </xf>
    <xf numFmtId="164" fontId="53" fillId="17" borderId="37" xfId="0" applyNumberFormat="1" applyFont="1" applyFill="1" applyBorder="1" applyAlignment="1">
      <alignment horizontal="center" vertical="center"/>
    </xf>
    <xf numFmtId="1" fontId="53" fillId="17" borderId="77" xfId="0" applyNumberFormat="1" applyFont="1" applyFill="1" applyBorder="1" applyAlignment="1">
      <alignment horizontal="center" vertical="center"/>
    </xf>
    <xf numFmtId="0" fontId="53" fillId="17" borderId="79" xfId="0" applyFont="1" applyFill="1" applyBorder="1" applyAlignment="1">
      <alignment horizontal="center" vertical="center"/>
    </xf>
    <xf numFmtId="1" fontId="53" fillId="17" borderId="37" xfId="0" applyNumberFormat="1" applyFont="1" applyFill="1" applyBorder="1" applyAlignment="1">
      <alignment horizontal="center" vertical="center"/>
    </xf>
    <xf numFmtId="0" fontId="53" fillId="17" borderId="38" xfId="0" applyFont="1" applyFill="1" applyBorder="1" applyAlignment="1">
      <alignment horizontal="center" vertical="center"/>
    </xf>
    <xf numFmtId="0" fontId="53" fillId="17" borderId="108" xfId="0" quotePrefix="1" applyFont="1" applyFill="1" applyBorder="1" applyAlignment="1">
      <alignment horizontal="center" vertical="center"/>
    </xf>
    <xf numFmtId="0" fontId="53" fillId="17" borderId="53" xfId="0" quotePrefix="1" applyFont="1" applyFill="1" applyBorder="1" applyAlignment="1">
      <alignment horizontal="center" vertical="center"/>
    </xf>
    <xf numFmtId="1" fontId="53" fillId="17" borderId="69" xfId="0" applyNumberFormat="1" applyFont="1" applyFill="1" applyBorder="1" applyAlignment="1">
      <alignment horizontal="center" vertical="center"/>
    </xf>
    <xf numFmtId="1" fontId="53" fillId="17" borderId="50" xfId="0" applyNumberFormat="1" applyFont="1" applyFill="1" applyBorder="1" applyAlignment="1">
      <alignment horizontal="center" vertical="center"/>
    </xf>
    <xf numFmtId="1" fontId="53" fillId="17" borderId="72" xfId="0" applyNumberFormat="1" applyFont="1" applyFill="1" applyBorder="1" applyAlignment="1">
      <alignment horizontal="center" vertical="center"/>
    </xf>
    <xf numFmtId="1" fontId="53" fillId="17" borderId="54" xfId="0" applyNumberFormat="1" applyFont="1" applyFill="1" applyBorder="1" applyAlignment="1">
      <alignment horizontal="center" vertical="center"/>
    </xf>
    <xf numFmtId="0" fontId="53" fillId="17" borderId="115" xfId="0" applyFont="1" applyFill="1" applyBorder="1" applyAlignment="1">
      <alignment horizontal="center" vertical="center" shrinkToFit="1"/>
    </xf>
    <xf numFmtId="0" fontId="53" fillId="17" borderId="116" xfId="0" applyFont="1" applyFill="1" applyBorder="1" applyAlignment="1">
      <alignment horizontal="center" vertical="center"/>
    </xf>
    <xf numFmtId="0" fontId="53" fillId="17" borderId="116" xfId="0" quotePrefix="1" applyFont="1" applyFill="1" applyBorder="1" applyAlignment="1">
      <alignment horizontal="center" vertical="center"/>
    </xf>
    <xf numFmtId="9" fontId="53" fillId="17" borderId="116" xfId="0" applyNumberFormat="1" applyFont="1" applyFill="1" applyBorder="1" applyAlignment="1">
      <alignment horizontal="center" vertical="center"/>
    </xf>
    <xf numFmtId="49" fontId="53" fillId="17" borderId="116" xfId="0" quotePrefix="1" applyNumberFormat="1" applyFont="1" applyFill="1" applyBorder="1" applyAlignment="1">
      <alignment horizontal="center" vertical="center"/>
    </xf>
    <xf numFmtId="164" fontId="53" fillId="17" borderId="116" xfId="0" applyNumberFormat="1" applyFont="1" applyFill="1" applyBorder="1" applyAlignment="1">
      <alignment horizontal="center" vertical="center"/>
    </xf>
    <xf numFmtId="164" fontId="53" fillId="17" borderId="117" xfId="0" applyNumberFormat="1" applyFont="1" applyFill="1" applyBorder="1" applyAlignment="1">
      <alignment horizontal="centerContinuous" vertical="center"/>
    </xf>
    <xf numFmtId="164" fontId="53" fillId="17" borderId="118" xfId="0" applyNumberFormat="1" applyFont="1" applyFill="1" applyBorder="1" applyAlignment="1">
      <alignment horizontal="centerContinuous" vertical="center"/>
    </xf>
    <xf numFmtId="0" fontId="53" fillId="17" borderId="119" xfId="0" quotePrefix="1" applyFont="1" applyFill="1" applyBorder="1" applyAlignment="1">
      <alignment horizontal="centerContinuous" vertical="center"/>
    </xf>
    <xf numFmtId="0" fontId="8" fillId="0" borderId="4" xfId="5" applyFont="1" applyBorder="1" applyAlignment="1">
      <alignment vertical="center"/>
    </xf>
    <xf numFmtId="0" fontId="8" fillId="3" borderId="132" xfId="0" applyFont="1" applyFill="1" applyBorder="1" applyAlignment="1">
      <alignment horizontal="right" vertical="center"/>
    </xf>
    <xf numFmtId="49" fontId="9" fillId="0" borderId="133" xfId="0" applyNumberFormat="1" applyFont="1" applyBorder="1" applyAlignment="1">
      <alignment horizontal="centerContinuous" vertical="center"/>
    </xf>
    <xf numFmtId="0" fontId="5" fillId="0" borderId="134" xfId="0" applyFont="1" applyBorder="1" applyAlignment="1">
      <alignment horizontal="centerContinuous" vertical="center"/>
    </xf>
    <xf numFmtId="0" fontId="8" fillId="3" borderId="135" xfId="0" applyFont="1" applyFill="1" applyBorder="1" applyAlignment="1">
      <alignment horizontal="right" vertical="center"/>
    </xf>
    <xf numFmtId="166" fontId="9" fillId="0" borderId="136" xfId="11" applyNumberFormat="1" applyFont="1" applyBorder="1" applyAlignment="1">
      <alignment horizontal="center" vertical="center"/>
    </xf>
    <xf numFmtId="0" fontId="16" fillId="2" borderId="137" xfId="0" applyFont="1" applyFill="1" applyBorder="1" applyAlignment="1">
      <alignment horizontal="right" vertical="center"/>
    </xf>
    <xf numFmtId="0" fontId="9" fillId="0" borderId="138" xfId="0" quotePrefix="1" applyFont="1" applyBorder="1" applyAlignment="1">
      <alignment horizontal="center" vertical="center"/>
    </xf>
    <xf numFmtId="0" fontId="10" fillId="3" borderId="139" xfId="0" applyFont="1" applyFill="1" applyBorder="1" applyAlignment="1">
      <alignment horizontal="right" vertical="center"/>
    </xf>
    <xf numFmtId="0" fontId="61" fillId="2" borderId="137" xfId="0" applyFont="1" applyFill="1" applyBorder="1" applyAlignment="1">
      <alignment horizontal="right" vertical="center"/>
    </xf>
    <xf numFmtId="49" fontId="11" fillId="0" borderId="138" xfId="0" applyNumberFormat="1" applyFont="1" applyBorder="1" applyAlignment="1">
      <alignment horizontal="center" vertical="center"/>
    </xf>
    <xf numFmtId="0" fontId="8" fillId="0" borderId="140" xfId="0" applyFont="1" applyBorder="1" applyAlignment="1">
      <alignment horizontal="center" vertical="center"/>
    </xf>
    <xf numFmtId="0" fontId="18" fillId="2" borderId="137" xfId="0" applyFont="1" applyFill="1" applyBorder="1" applyAlignment="1">
      <alignment horizontal="right" vertical="center"/>
    </xf>
    <xf numFmtId="0" fontId="19" fillId="3" borderId="139" xfId="0" applyFont="1" applyFill="1" applyBorder="1" applyAlignment="1">
      <alignment horizontal="right" vertical="center"/>
    </xf>
    <xf numFmtId="49" fontId="9" fillId="0" borderId="140" xfId="0" applyNumberFormat="1" applyFont="1" applyBorder="1" applyAlignment="1">
      <alignment horizontal="center" vertical="center"/>
    </xf>
    <xf numFmtId="0" fontId="20" fillId="2" borderId="137" xfId="0" applyFont="1" applyFill="1" applyBorder="1" applyAlignment="1">
      <alignment horizontal="right" vertical="center"/>
    </xf>
    <xf numFmtId="0" fontId="9" fillId="0" borderId="138" xfId="0" applyFont="1" applyBorder="1" applyAlignment="1">
      <alignment horizontal="center" vertical="center"/>
    </xf>
    <xf numFmtId="0" fontId="19" fillId="3" borderId="141" xfId="0" applyFont="1" applyFill="1" applyBorder="1" applyAlignment="1">
      <alignment horizontal="right" vertical="center"/>
    </xf>
    <xf numFmtId="0" fontId="9" fillId="0" borderId="142" xfId="0" applyFont="1" applyBorder="1" applyAlignment="1">
      <alignment horizontal="center" vertical="center"/>
    </xf>
    <xf numFmtId="0" fontId="9" fillId="0" borderId="143" xfId="0" applyFont="1" applyBorder="1" applyAlignment="1">
      <alignment horizontal="center" vertical="center"/>
    </xf>
    <xf numFmtId="49" fontId="9" fillId="0" borderId="143" xfId="0" applyNumberFormat="1" applyFont="1" applyBorder="1" applyAlignment="1">
      <alignment horizontal="center" vertical="center"/>
    </xf>
    <xf numFmtId="0" fontId="10" fillId="3" borderId="144" xfId="5" applyFont="1" applyFill="1" applyBorder="1" applyAlignment="1">
      <alignment horizontal="right" vertical="center"/>
    </xf>
    <xf numFmtId="1" fontId="9" fillId="0" borderId="140" xfId="5" applyNumberFormat="1" applyFont="1" applyBorder="1" applyAlignment="1">
      <alignment horizontal="center" vertical="center"/>
    </xf>
    <xf numFmtId="0" fontId="8" fillId="16" borderId="140" xfId="5" applyFont="1" applyFill="1" applyBorder="1" applyAlignment="1">
      <alignment horizontal="center" vertical="center"/>
    </xf>
    <xf numFmtId="0" fontId="16" fillId="2" borderId="137" xfId="5" applyFont="1" applyFill="1" applyBorder="1" applyAlignment="1">
      <alignment horizontal="right" vertical="center"/>
    </xf>
    <xf numFmtId="0" fontId="9" fillId="0" borderId="138" xfId="5" applyFont="1" applyBorder="1" applyAlignment="1">
      <alignment horizontal="center" vertical="center"/>
    </xf>
    <xf numFmtId="0" fontId="11" fillId="0" borderId="145" xfId="5" applyFont="1" applyBorder="1" applyAlignment="1">
      <alignment horizontal="center" vertical="center"/>
    </xf>
    <xf numFmtId="0" fontId="19" fillId="3" borderId="144" xfId="5" applyFont="1" applyFill="1" applyBorder="1" applyAlignment="1">
      <alignment horizontal="right" vertical="center"/>
    </xf>
    <xf numFmtId="49" fontId="9" fillId="0" borderId="140" xfId="5" applyNumberFormat="1" applyFont="1" applyBorder="1" applyAlignment="1">
      <alignment horizontal="center" vertical="center"/>
    </xf>
    <xf numFmtId="0" fontId="17" fillId="2" borderId="137" xfId="5" applyFont="1" applyFill="1" applyBorder="1" applyAlignment="1">
      <alignment horizontal="right" vertical="center"/>
    </xf>
    <xf numFmtId="0" fontId="9" fillId="0" borderId="140" xfId="5" applyFont="1" applyBorder="1" applyAlignment="1">
      <alignment horizontal="center" vertical="center"/>
    </xf>
    <xf numFmtId="0" fontId="19" fillId="2" borderId="137" xfId="5" applyFont="1" applyFill="1" applyBorder="1" applyAlignment="1">
      <alignment horizontal="right" vertical="center"/>
    </xf>
    <xf numFmtId="0" fontId="20" fillId="2" borderId="137" xfId="5" applyFont="1" applyFill="1" applyBorder="1" applyAlignment="1">
      <alignment horizontal="right" vertical="center"/>
    </xf>
    <xf numFmtId="0" fontId="11" fillId="0" borderId="138" xfId="5" applyFont="1" applyBorder="1" applyAlignment="1">
      <alignment horizontal="center" vertical="center"/>
    </xf>
    <xf numFmtId="0" fontId="57" fillId="3" borderId="146" xfId="5" applyFont="1" applyFill="1" applyBorder="1" applyAlignment="1">
      <alignment horizontal="right" vertical="center"/>
    </xf>
    <xf numFmtId="0" fontId="17" fillId="3" borderId="147" xfId="5" applyFont="1" applyFill="1" applyBorder="1" applyAlignment="1">
      <alignment horizontal="right" vertical="center"/>
    </xf>
    <xf numFmtId="0" fontId="5" fillId="0" borderId="130" xfId="0" applyFont="1" applyBorder="1" applyAlignment="1">
      <alignment horizontal="centerContinuous" vertical="center" shrinkToFit="1"/>
    </xf>
    <xf numFmtId="0" fontId="50" fillId="0" borderId="118" xfId="0" applyFont="1" applyBorder="1" applyAlignment="1">
      <alignment horizontal="centerContinuous" vertical="center"/>
    </xf>
    <xf numFmtId="0" fontId="5" fillId="0" borderId="117" xfId="0" applyFont="1" applyBorder="1" applyAlignment="1">
      <alignment horizontal="centerContinuous" vertical="center"/>
    </xf>
    <xf numFmtId="0" fontId="5" fillId="0" borderId="119" xfId="0" applyFont="1" applyBorder="1" applyAlignment="1">
      <alignment horizontal="centerContinuous" vertical="center"/>
    </xf>
    <xf numFmtId="1" fontId="5" fillId="0" borderId="72" xfId="0" applyNumberFormat="1" applyFont="1" applyBorder="1" applyAlignment="1">
      <alignment horizontal="center" vertical="center"/>
    </xf>
    <xf numFmtId="0" fontId="64" fillId="0" borderId="23" xfId="0" applyFont="1" applyBorder="1" applyAlignment="1">
      <alignment horizontal="centerContinuous" vertical="center" wrapText="1"/>
    </xf>
    <xf numFmtId="0" fontId="65" fillId="0" borderId="0" xfId="0" applyFont="1" applyAlignment="1">
      <alignment horizontal="centerContinuous" vertical="center" wrapText="1"/>
    </xf>
    <xf numFmtId="0" fontId="66" fillId="2" borderId="112" xfId="5" applyFont="1" applyFill="1" applyBorder="1" applyAlignment="1">
      <alignment horizontal="right" vertical="center"/>
    </xf>
    <xf numFmtId="0" fontId="67" fillId="2" borderId="113" xfId="5" applyFont="1" applyFill="1" applyBorder="1" applyAlignment="1">
      <alignment horizontal="left" vertical="center"/>
    </xf>
    <xf numFmtId="0" fontId="68" fillId="0" borderId="4" xfId="0" applyFont="1" applyBorder="1" applyAlignment="1">
      <alignment vertical="center"/>
    </xf>
    <xf numFmtId="1" fontId="5" fillId="8" borderId="71" xfId="0" applyNumberFormat="1" applyFont="1" applyFill="1" applyBorder="1" applyAlignment="1">
      <alignment horizontal="center" vertical="center"/>
    </xf>
    <xf numFmtId="1" fontId="5" fillId="0" borderId="69" xfId="0" applyNumberFormat="1" applyFont="1" applyBorder="1" applyAlignment="1">
      <alignment horizontal="center" vertical="center"/>
    </xf>
    <xf numFmtId="0" fontId="5" fillId="8" borderId="124" xfId="0" applyFont="1" applyFill="1" applyBorder="1" applyAlignment="1">
      <alignment horizontal="center" vertical="center"/>
    </xf>
    <xf numFmtId="0" fontId="5" fillId="8" borderId="125" xfId="0" applyFont="1" applyFill="1" applyBorder="1" applyAlignment="1">
      <alignment horizontal="center" vertical="center"/>
    </xf>
    <xf numFmtId="0" fontId="5" fillId="8" borderId="125" xfId="0" quotePrefix="1" applyFont="1" applyFill="1" applyBorder="1" applyAlignment="1">
      <alignment horizontal="center" vertical="center" wrapText="1"/>
    </xf>
    <xf numFmtId="49" fontId="5" fillId="8" borderId="125" xfId="3" applyNumberFormat="1" applyFont="1" applyFill="1" applyBorder="1" applyAlignment="1">
      <alignment horizontal="center" vertical="center"/>
    </xf>
    <xf numFmtId="0" fontId="5" fillId="8" borderId="125" xfId="0" applyFont="1" applyFill="1" applyBorder="1" applyAlignment="1">
      <alignment horizontal="center" vertical="center" shrinkToFit="1"/>
    </xf>
    <xf numFmtId="164" fontId="5" fillId="8" borderId="126" xfId="0" applyNumberFormat="1" applyFont="1" applyFill="1" applyBorder="1" applyAlignment="1">
      <alignment horizontal="center" vertical="center"/>
    </xf>
    <xf numFmtId="1" fontId="5" fillId="8" borderId="126" xfId="0" applyNumberFormat="1" applyFont="1" applyFill="1" applyBorder="1" applyAlignment="1">
      <alignment horizontal="center" vertical="center"/>
    </xf>
    <xf numFmtId="0" fontId="5" fillId="8" borderId="127" xfId="0" quotePrefix="1" applyFont="1" applyFill="1" applyBorder="1" applyAlignment="1">
      <alignment horizontal="center" vertical="center"/>
    </xf>
    <xf numFmtId="0" fontId="46" fillId="0" borderId="72" xfId="0" applyFont="1" applyBorder="1" applyAlignment="1">
      <alignment horizontal="center" vertical="center"/>
    </xf>
    <xf numFmtId="0" fontId="62" fillId="8" borderId="54" xfId="0" applyFont="1" applyFill="1" applyBorder="1" applyAlignment="1">
      <alignment horizontal="centerContinuous" vertical="center"/>
    </xf>
    <xf numFmtId="1" fontId="9" fillId="18" borderId="30" xfId="0" applyNumberFormat="1" applyFont="1" applyFill="1" applyBorder="1" applyAlignment="1">
      <alignment horizontal="center" vertical="center" wrapText="1"/>
    </xf>
    <xf numFmtId="1" fontId="9" fillId="18" borderId="33" xfId="0" applyNumberFormat="1" applyFont="1" applyFill="1" applyBorder="1" applyAlignment="1">
      <alignment horizontal="center" vertical="center" wrapText="1"/>
    </xf>
  </cellXfs>
  <cellStyles count="12">
    <cellStyle name="Comma" xfId="11" builtinId="3"/>
    <cellStyle name="Excel Built-in Normal" xfId="6" xr:uid="{00000000-0005-0000-0000-000000000000}"/>
    <cellStyle name="Hyperlink" xfId="2" builtinId="8"/>
    <cellStyle name="Normal" xfId="0" builtinId="0"/>
    <cellStyle name="Normal 2" xfId="7" xr:uid="{00000000-0005-0000-0000-000003000000}"/>
    <cellStyle name="Normal 2 2" xfId="8" xr:uid="{00000000-0005-0000-0000-000004000000}"/>
    <cellStyle name="Normal 3" xfId="4" xr:uid="{00000000-0005-0000-0000-000005000000}"/>
    <cellStyle name="Normal 4" xfId="5" xr:uid="{00000000-0005-0000-0000-000006000000}"/>
    <cellStyle name="Normal 5" xfId="9" xr:uid="{00000000-0005-0000-0000-000007000000}"/>
    <cellStyle name="Percent" xfId="1" builtinId="5"/>
    <cellStyle name="Percent 2" xfId="10" xr:uid="{00000000-0005-0000-0000-000009000000}"/>
    <cellStyle name="Percent 2 2" xfId="3" xr:uid="{00000000-0005-0000-0000-00000A000000}"/>
  </cellStyles>
  <dxfs count="15">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rgb="FF99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1F45BA3A-2C3C-4EBA-B6B6-526E63CA6BB9}"/>
  </tableStyles>
  <colors>
    <mruColors>
      <color rgb="FF9966FF"/>
      <color rgb="FFCCFFCC"/>
      <color rgb="FF3333FF"/>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60400</xdr:colOff>
      <xdr:row>1</xdr:row>
      <xdr:rowOff>60960</xdr:rowOff>
    </xdr:from>
    <xdr:to>
      <xdr:col>6</xdr:col>
      <xdr:colOff>1135379</xdr:colOff>
      <xdr:row>14</xdr:row>
      <xdr:rowOff>251460</xdr:rowOff>
    </xdr:to>
    <xdr:pic>
      <xdr:nvPicPr>
        <xdr:cNvPr id="6" name="Picture 5">
          <a:extLst>
            <a:ext uri="{FF2B5EF4-FFF2-40B4-BE49-F238E27FC236}">
              <a16:creationId xmlns:a16="http://schemas.microsoft.com/office/drawing/2014/main" id="{785783AA-455A-689A-8EA5-0FA9DEA74ECC}"/>
            </a:ext>
          </a:extLst>
        </xdr:cNvPr>
        <xdr:cNvPicPr>
          <a:picLocks noChangeAspect="1"/>
        </xdr:cNvPicPr>
      </xdr:nvPicPr>
      <xdr:blipFill>
        <a:blip xmlns:r="http://schemas.openxmlformats.org/officeDocument/2006/relationships" r:embed="rId1"/>
        <a:stretch>
          <a:fillRect/>
        </a:stretch>
      </xdr:blipFill>
      <xdr:spPr>
        <a:xfrm>
          <a:off x="4137100" y="434340"/>
          <a:ext cx="2263699" cy="3002280"/>
        </a:xfrm>
        <a:prstGeom prst="rect">
          <a:avLst/>
        </a:prstGeom>
      </xdr:spPr>
    </xdr:pic>
    <xdr:clientData/>
  </xdr:twoCellAnchor>
  <xdr:twoCellAnchor>
    <xdr:from>
      <xdr:col>0</xdr:col>
      <xdr:colOff>53340</xdr:colOff>
      <xdr:row>15</xdr:row>
      <xdr:rowOff>45720</xdr:rowOff>
    </xdr:from>
    <xdr:to>
      <xdr:col>6</xdr:col>
      <xdr:colOff>1143000</xdr:colOff>
      <xdr:row>37</xdr:row>
      <xdr:rowOff>152400</xdr:rowOff>
    </xdr:to>
    <xdr:sp macro="" textlink="">
      <xdr:nvSpPr>
        <xdr:cNvPr id="2" name="Text 6">
          <a:extLst>
            <a:ext uri="{FF2B5EF4-FFF2-40B4-BE49-F238E27FC236}">
              <a16:creationId xmlns:a16="http://schemas.microsoft.com/office/drawing/2014/main" id="{00000000-0008-0000-0000-000002000000}"/>
            </a:ext>
          </a:extLst>
        </xdr:cNvPr>
        <xdr:cNvSpPr txBox="1">
          <a:spLocks noChangeArrowheads="1"/>
        </xdr:cNvSpPr>
      </xdr:nvSpPr>
      <xdr:spPr bwMode="auto">
        <a:xfrm>
          <a:off x="53340" y="3756660"/>
          <a:ext cx="6141720" cy="672846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mn-lt"/>
              <a:ea typeface="+mn-ea"/>
              <a:cs typeface="+mn-cs"/>
            </a:rPr>
            <a:t>Appearance:  </a:t>
          </a:r>
          <a:r>
            <a:rPr lang="en-US" sz="1100">
              <a:effectLst/>
              <a:latin typeface="+mn-lt"/>
              <a:ea typeface="+mn-ea"/>
              <a:cs typeface="+mn-cs"/>
            </a:rPr>
            <a:t>Eldrin stands a bit taller and leaner than most gnomes, with an air of scholarly grace. His deep blue eyes are framed by brown skin and a mane of hair the color of dull brass. To avoid being mistaken for a human child among the taller races, he sports a meticulously groomed beard but keeps his upper lip free of a mustache, giving him a distinguished and unique appearance.</a:t>
          </a:r>
        </a:p>
        <a:p>
          <a:pPr algn="just"/>
          <a:r>
            <a:rPr lang="en-US" sz="1100">
              <a:effectLst/>
              <a:latin typeface="+mn-lt"/>
              <a:ea typeface="+mn-ea"/>
              <a:cs typeface="+mn-cs"/>
            </a:rPr>
            <a:t> </a:t>
          </a:r>
        </a:p>
        <a:p>
          <a:pPr algn="just"/>
          <a:r>
            <a:rPr lang="en-US" sz="1100" b="1">
              <a:effectLst/>
              <a:latin typeface="+mn-lt"/>
              <a:ea typeface="+mn-ea"/>
              <a:cs typeface="+mn-cs"/>
            </a:rPr>
            <a:t>History:  </a:t>
          </a:r>
          <a:r>
            <a:rPr lang="en-US" sz="1100">
              <a:effectLst/>
              <a:latin typeface="+mn-lt"/>
              <a:ea typeface="+mn-ea"/>
              <a:cs typeface="+mn-cs"/>
            </a:rPr>
            <a:t>Raised in one of Waterdeep's small gnome boroughs, Eldrin quickly grew accustomed to interacting with a diverse array of races. His natural curiosity and studious nature led him to discover the vast Oghmaite library, where endless scrolls and tomes promised the secrets of the Realms. Though the library did not contain all knowledge, it was sufficient to ignite his passion for becoming an Archivist of Oghma. Unbeknownst to him, The Brotherhood of the Secret Quill has been grooming him for a special calling, suspecting he possesses a unique destiny. For now, Eldrin is content to continue his work in the library and archives, occasionally embarking on missions to retrieve lost manuscripts and uncover ancient knowledge.</a:t>
          </a:r>
        </a:p>
        <a:p>
          <a:pPr algn="just"/>
          <a:r>
            <a:rPr lang="en-US" sz="1100">
              <a:effectLst/>
              <a:latin typeface="+mn-lt"/>
              <a:ea typeface="+mn-ea"/>
              <a:cs typeface="+mn-cs"/>
            </a:rPr>
            <a:t> </a:t>
          </a:r>
        </a:p>
        <a:p>
          <a:pPr algn="just"/>
          <a:r>
            <a:rPr lang="en-US" sz="1100" b="1">
              <a:effectLst/>
              <a:latin typeface="+mn-lt"/>
              <a:ea typeface="+mn-ea"/>
              <a:cs typeface="+mn-cs"/>
            </a:rPr>
            <a:t>Personality:  </a:t>
          </a:r>
          <a:r>
            <a:rPr lang="en-US" sz="1100">
              <a:effectLst/>
              <a:latin typeface="+mn-lt"/>
              <a:ea typeface="+mn-ea"/>
              <a:cs typeface="+mn-cs"/>
            </a:rPr>
            <a:t>Eldrin is more serious than most gnomes, making him only slightly more prone to jest than the average human. His studious and bookish demeanor often leads him to get lost in thought or lecture good-naturedly on any topic that arises. Despite his seriousness, he possesses a deep-seated curiosity and passion for knowledge, always eager to learn and share his findings with others.</a:t>
          </a:r>
        </a:p>
        <a:p>
          <a:pPr algn="just"/>
          <a:r>
            <a:rPr lang="en-US" sz="1100">
              <a:effectLst/>
              <a:latin typeface="+mn-lt"/>
              <a:ea typeface="+mn-ea"/>
              <a:cs typeface="+mn-cs"/>
            </a:rPr>
            <a:t> </a:t>
          </a:r>
        </a:p>
        <a:p>
          <a:pPr algn="just"/>
          <a:r>
            <a:rPr lang="en-US" sz="1100" b="1">
              <a:effectLst/>
              <a:latin typeface="+mn-lt"/>
              <a:ea typeface="+mn-ea"/>
              <a:cs typeface="+mn-cs"/>
            </a:rPr>
            <a:t>The Brotherhood of the Secret Quill:  </a:t>
          </a:r>
          <a:r>
            <a:rPr lang="en-US" sz="1100">
              <a:effectLst/>
              <a:latin typeface="+mn-lt"/>
              <a:ea typeface="+mn-ea"/>
              <a:cs typeface="+mn-cs"/>
            </a:rPr>
            <a:t>The Brotherhood of the Secret Quill is an order of Oghman archivists with members in many significant temples across Faerûn. By day, they manage bureaucratic affairs such as temple finances and library loans, secretly safeguarding the most important lore of the Binder in the Vault of the Bound, an extradimensional library accessible only to members who have memorized key passages from sacred texts. To gain entrance, one must have a keyed item and recite the text in a specified temple location. Members are invited after demonstrating proper devotion and respect for knowledge (minimum of 5th level) and are inducted in a ceremony involving the sharing and receiving of unknown knowledge. Inductees must present a unique thesis, impressing the order with their thoroughness and creativity. Rejected recruits have their memories altered to erase all knowledge of the order and the vault. It is common for members of the Brotherhood to take levels in the loremaster prestige class.</a:t>
          </a:r>
        </a:p>
      </xdr:txBody>
    </xdr:sp>
    <xdr:clientData/>
  </xdr:twoCellAnchor>
  <xdr:twoCellAnchor>
    <xdr:from>
      <xdr:col>5</xdr:col>
      <xdr:colOff>38100</xdr:colOff>
      <xdr:row>11</xdr:row>
      <xdr:rowOff>175260</xdr:rowOff>
    </xdr:from>
    <xdr:to>
      <xdr:col>6</xdr:col>
      <xdr:colOff>1148715</xdr:colOff>
      <xdr:row>14</xdr:row>
      <xdr:rowOff>247650</xdr:rowOff>
    </xdr:to>
    <xdr:sp macro="" textlink="">
      <xdr:nvSpPr>
        <xdr:cNvPr id="4" name="Text Box 60">
          <a:extLst>
            <a:ext uri="{FF2B5EF4-FFF2-40B4-BE49-F238E27FC236}">
              <a16:creationId xmlns:a16="http://schemas.microsoft.com/office/drawing/2014/main" id="{00000000-0008-0000-0000-000004000000}"/>
            </a:ext>
          </a:extLst>
        </xdr:cNvPr>
        <xdr:cNvSpPr txBox="1">
          <a:spLocks noChangeArrowheads="1"/>
        </xdr:cNvSpPr>
      </xdr:nvSpPr>
      <xdr:spPr bwMode="auto">
        <a:xfrm>
          <a:off x="4114800" y="2712720"/>
          <a:ext cx="2299335" cy="720090"/>
        </a:xfrm>
        <a:prstGeom prst="rect">
          <a:avLst/>
        </a:prstGeom>
        <a:solidFill>
          <a:srgbClr xmlns:mc="http://schemas.openxmlformats.org/markup-compatibility/2006" xmlns:a14="http://schemas.microsoft.com/office/drawing/2010/main" val="CCFFFF" mc:Ignorable="a14" a14:legacySpreadsheetColorIndex="41">
            <a:alpha val="66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endParaRPr lang="en-US" sz="14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showGridLines="0" tabSelected="1" zoomScaleNormal="100" workbookViewId="0"/>
  </sheetViews>
  <sheetFormatPr defaultRowHeight="15.6" x14ac:dyDescent="0.3"/>
  <cols>
    <col min="1" max="1" width="15" customWidth="1"/>
    <col min="2" max="2" width="11.59765625" customWidth="1"/>
    <col min="3" max="3" width="4.19921875" customWidth="1"/>
    <col min="4" max="4" width="14" bestFit="1" customWidth="1"/>
    <col min="5" max="5" width="8.69921875" bestFit="1" customWidth="1"/>
    <col min="6" max="7" width="15.59765625" customWidth="1"/>
  </cols>
  <sheetData>
    <row r="1" spans="1:7" ht="29.4" thickTop="1" thickBot="1" x14ac:dyDescent="0.35">
      <c r="A1" s="1" t="s">
        <v>0</v>
      </c>
      <c r="B1" s="2" t="s">
        <v>1</v>
      </c>
      <c r="C1" s="3"/>
      <c r="D1" s="4"/>
      <c r="E1" s="5"/>
      <c r="F1" s="4"/>
      <c r="G1" s="6" t="s">
        <v>392</v>
      </c>
    </row>
    <row r="2" spans="1:7" ht="17.399999999999999" thickTop="1" x14ac:dyDescent="0.3">
      <c r="A2" s="7" t="s">
        <v>2</v>
      </c>
      <c r="B2" s="8" t="s">
        <v>3</v>
      </c>
      <c r="C2" s="8"/>
      <c r="D2" s="9" t="s">
        <v>4</v>
      </c>
      <c r="E2" s="10" t="s">
        <v>5</v>
      </c>
      <c r="F2" s="11"/>
      <c r="G2" s="12"/>
    </row>
    <row r="3" spans="1:7" ht="16.8" x14ac:dyDescent="0.3">
      <c r="A3" s="7" t="s">
        <v>6</v>
      </c>
      <c r="B3" s="8" t="s">
        <v>7</v>
      </c>
      <c r="C3" s="8"/>
      <c r="D3" s="9" t="s">
        <v>8</v>
      </c>
      <c r="E3" s="10">
        <v>5</v>
      </c>
      <c r="F3" s="9"/>
      <c r="G3" s="12"/>
    </row>
    <row r="4" spans="1:7" ht="16.8" x14ac:dyDescent="0.3">
      <c r="A4" s="7" t="s">
        <v>9</v>
      </c>
      <c r="B4" s="8" t="s">
        <v>383</v>
      </c>
      <c r="C4" s="8"/>
      <c r="D4" s="9" t="s">
        <v>10</v>
      </c>
      <c r="E4" s="10">
        <v>81</v>
      </c>
      <c r="F4" s="9"/>
      <c r="G4" s="12"/>
    </row>
    <row r="5" spans="1:7" ht="16.8" x14ac:dyDescent="0.3">
      <c r="A5" s="7" t="s">
        <v>11</v>
      </c>
      <c r="B5" s="8" t="s">
        <v>12</v>
      </c>
      <c r="C5" s="8"/>
      <c r="D5" s="9" t="s">
        <v>13</v>
      </c>
      <c r="E5" s="10" t="s">
        <v>408</v>
      </c>
      <c r="F5" s="9"/>
      <c r="G5" s="12"/>
    </row>
    <row r="6" spans="1:7" ht="17.399999999999999" thickBot="1" x14ac:dyDescent="0.35">
      <c r="A6" s="7" t="s">
        <v>14</v>
      </c>
      <c r="B6" s="8" t="s">
        <v>15</v>
      </c>
      <c r="C6" s="8"/>
      <c r="D6" s="9" t="s">
        <v>16</v>
      </c>
      <c r="E6" s="10" t="s">
        <v>17</v>
      </c>
      <c r="F6" s="9"/>
      <c r="G6" s="12"/>
    </row>
    <row r="7" spans="1:7" ht="17.399999999999999" thickTop="1" x14ac:dyDescent="0.3">
      <c r="A7" s="13" t="s">
        <v>18</v>
      </c>
      <c r="B7" s="445">
        <f>1+2</f>
        <v>3</v>
      </c>
      <c r="C7" s="446"/>
      <c r="D7" s="14" t="s">
        <v>19</v>
      </c>
      <c r="E7" s="15" t="s">
        <v>20</v>
      </c>
      <c r="F7" s="23"/>
      <c r="G7" s="12"/>
    </row>
    <row r="8" spans="1:7" ht="17.399999999999999" thickBot="1" x14ac:dyDescent="0.35">
      <c r="A8" s="524" t="s">
        <v>21</v>
      </c>
      <c r="B8" s="525" t="str">
        <f>C10</f>
        <v>+2</v>
      </c>
      <c r="C8" s="526"/>
      <c r="D8" s="527" t="s">
        <v>22</v>
      </c>
      <c r="E8" s="528">
        <v>10250</v>
      </c>
      <c r="F8" s="23"/>
      <c r="G8" s="12"/>
    </row>
    <row r="9" spans="1:7" ht="16.8" x14ac:dyDescent="0.3">
      <c r="A9" s="16" t="s">
        <v>23</v>
      </c>
      <c r="B9" s="448">
        <f>11</f>
        <v>11</v>
      </c>
      <c r="C9" s="17" t="str">
        <f>IF(B9&gt;9.9,CONCATENATE("+",ROUNDDOWN((B9-10)/2,0)),ROUNDUP((B9-10)/2,0))</f>
        <v>+0</v>
      </c>
      <c r="D9" s="18" t="s">
        <v>24</v>
      </c>
      <c r="E9" s="19" t="s">
        <v>25</v>
      </c>
      <c r="F9" s="23"/>
      <c r="G9" s="12"/>
    </row>
    <row r="10" spans="1:7" ht="16.8" x14ac:dyDescent="0.3">
      <c r="A10" s="529" t="s">
        <v>26</v>
      </c>
      <c r="B10" s="530">
        <f>14</f>
        <v>14</v>
      </c>
      <c r="C10" s="20" t="str">
        <f t="shared" ref="C10:C14" si="0">IF(B10&gt;9.9,CONCATENATE("+",ROUNDDOWN((B10-10)/2,0)),ROUNDUP((B10-10)/2,0))</f>
        <v>+2</v>
      </c>
      <c r="D10" s="531" t="s">
        <v>27</v>
      </c>
      <c r="E10" s="26">
        <v>37.299999999999997</v>
      </c>
      <c r="F10" s="23"/>
      <c r="G10" s="12"/>
    </row>
    <row r="11" spans="1:7" ht="16.8" x14ac:dyDescent="0.3">
      <c r="A11" s="532" t="s">
        <v>28</v>
      </c>
      <c r="B11" s="530">
        <f>13+4</f>
        <v>17</v>
      </c>
      <c r="C11" s="533" t="str">
        <f t="shared" si="0"/>
        <v>+3</v>
      </c>
      <c r="D11" s="531" t="s">
        <v>29</v>
      </c>
      <c r="E11" s="534">
        <f>ROUNDUP(((E3*6)*0.75)+(E3*C11),0)</f>
        <v>38</v>
      </c>
      <c r="F11" s="23"/>
      <c r="G11" s="12"/>
    </row>
    <row r="12" spans="1:7" ht="16.8" x14ac:dyDescent="0.3">
      <c r="A12" s="535" t="s">
        <v>30</v>
      </c>
      <c r="B12" s="530">
        <f>20</f>
        <v>20</v>
      </c>
      <c r="C12" s="20" t="str">
        <f t="shared" si="0"/>
        <v>+5</v>
      </c>
      <c r="D12" s="536" t="s">
        <v>31</v>
      </c>
      <c r="E12" s="537">
        <f>10+C10</f>
        <v>12</v>
      </c>
      <c r="F12" s="7"/>
      <c r="G12" s="12"/>
    </row>
    <row r="13" spans="1:7" ht="16.8" x14ac:dyDescent="0.3">
      <c r="A13" s="538" t="s">
        <v>32</v>
      </c>
      <c r="B13" s="539">
        <f>15</f>
        <v>15</v>
      </c>
      <c r="C13" s="20" t="str">
        <f t="shared" si="0"/>
        <v>+2</v>
      </c>
      <c r="D13" s="536" t="s">
        <v>33</v>
      </c>
      <c r="E13" s="537">
        <f>E14-C10</f>
        <v>18</v>
      </c>
      <c r="F13" s="23"/>
      <c r="G13" s="12"/>
    </row>
    <row r="14" spans="1:7" ht="17.399999999999999" thickBot="1" x14ac:dyDescent="0.35">
      <c r="A14" s="21" t="s">
        <v>34</v>
      </c>
      <c r="B14" s="447">
        <v>9</v>
      </c>
      <c r="C14" s="22">
        <f t="shared" si="0"/>
        <v>-1</v>
      </c>
      <c r="D14" s="540" t="s">
        <v>35</v>
      </c>
      <c r="E14" s="432">
        <f>E12+SUM(Martial!$B$20:$B$23)</f>
        <v>20</v>
      </c>
      <c r="F14" s="23"/>
      <c r="G14" s="12"/>
    </row>
    <row r="15" spans="1:7" ht="24" thickTop="1" thickBot="1" x14ac:dyDescent="0.35">
      <c r="A15" s="27" t="s">
        <v>36</v>
      </c>
      <c r="B15" s="28"/>
      <c r="C15" s="28"/>
      <c r="D15" s="24"/>
      <c r="E15" s="24"/>
      <c r="F15" s="24"/>
      <c r="G15" s="25"/>
    </row>
    <row r="16" spans="1:7" ht="17.399999999999999" thickTop="1" x14ac:dyDescent="0.3">
      <c r="A16" s="29"/>
      <c r="B16" s="30"/>
      <c r="C16" s="30"/>
      <c r="D16" s="30"/>
      <c r="E16" s="30"/>
      <c r="F16" s="30"/>
      <c r="G16" s="31"/>
    </row>
    <row r="17" spans="1:7" ht="16.8" x14ac:dyDescent="0.3">
      <c r="A17" s="32"/>
      <c r="B17" s="33"/>
      <c r="C17" s="33"/>
      <c r="D17" s="33"/>
      <c r="E17" s="33"/>
      <c r="F17" s="33"/>
      <c r="G17" s="34"/>
    </row>
    <row r="18" spans="1:7" ht="16.8" x14ac:dyDescent="0.3">
      <c r="A18" s="32"/>
      <c r="B18" s="33"/>
      <c r="C18" s="33"/>
      <c r="D18" s="33"/>
      <c r="E18" s="33"/>
      <c r="F18" s="33"/>
      <c r="G18" s="34"/>
    </row>
    <row r="19" spans="1:7" ht="16.8" x14ac:dyDescent="0.3">
      <c r="A19" s="32"/>
      <c r="B19" s="33"/>
      <c r="C19" s="33"/>
      <c r="D19" s="33"/>
      <c r="E19" s="33"/>
      <c r="F19" s="33"/>
      <c r="G19" s="34"/>
    </row>
    <row r="20" spans="1:7" ht="16.8" x14ac:dyDescent="0.3">
      <c r="A20" s="32"/>
      <c r="B20" s="33"/>
      <c r="C20" s="33"/>
      <c r="D20" s="33"/>
      <c r="E20" s="33"/>
      <c r="F20" s="33"/>
      <c r="G20" s="34"/>
    </row>
    <row r="21" spans="1:7" ht="16.8" x14ac:dyDescent="0.3">
      <c r="A21" s="32"/>
      <c r="B21" s="33"/>
      <c r="C21" s="33"/>
      <c r="D21" s="33"/>
      <c r="E21" s="33"/>
      <c r="F21" s="33"/>
      <c r="G21" s="34"/>
    </row>
    <row r="22" spans="1:7" ht="16.8" x14ac:dyDescent="0.3">
      <c r="A22" s="32"/>
      <c r="B22" s="33"/>
      <c r="C22" s="33"/>
      <c r="D22" s="33"/>
      <c r="E22" s="33"/>
      <c r="F22" s="33"/>
      <c r="G22" s="34"/>
    </row>
    <row r="23" spans="1:7" ht="16.8" x14ac:dyDescent="0.3">
      <c r="A23" s="32"/>
      <c r="B23" s="33"/>
      <c r="C23" s="33"/>
      <c r="D23" s="33"/>
      <c r="E23" s="33"/>
      <c r="F23" s="33"/>
      <c r="G23" s="34"/>
    </row>
    <row r="24" spans="1:7" ht="16.8" x14ac:dyDescent="0.3">
      <c r="A24" s="32"/>
      <c r="B24" s="33"/>
      <c r="C24" s="33"/>
      <c r="D24" s="33"/>
      <c r="E24" s="33"/>
      <c r="F24" s="33"/>
      <c r="G24" s="34"/>
    </row>
    <row r="25" spans="1:7" ht="16.8" x14ac:dyDescent="0.3">
      <c r="A25" s="32"/>
      <c r="B25" s="33"/>
      <c r="C25" s="33"/>
      <c r="D25" s="33"/>
      <c r="E25" s="33"/>
      <c r="F25" s="33"/>
      <c r="G25" s="34"/>
    </row>
    <row r="26" spans="1:7" ht="16.8" x14ac:dyDescent="0.3">
      <c r="A26" s="32"/>
      <c r="B26" s="33"/>
      <c r="C26" s="33"/>
      <c r="D26" s="33"/>
      <c r="E26" s="33"/>
      <c r="F26" s="33"/>
      <c r="G26" s="34"/>
    </row>
    <row r="27" spans="1:7" ht="16.8" x14ac:dyDescent="0.3">
      <c r="A27" s="32"/>
      <c r="B27" s="33"/>
      <c r="C27" s="33"/>
      <c r="D27" s="33"/>
      <c r="E27" s="33"/>
      <c r="F27" s="33"/>
      <c r="G27" s="34"/>
    </row>
    <row r="28" spans="1:7" ht="16.8" x14ac:dyDescent="0.3">
      <c r="A28" s="32"/>
      <c r="B28" s="33"/>
      <c r="C28" s="33"/>
      <c r="D28" s="33"/>
      <c r="E28" s="33"/>
      <c r="F28" s="33"/>
      <c r="G28" s="34"/>
    </row>
    <row r="29" spans="1:7" ht="16.8" x14ac:dyDescent="0.3">
      <c r="A29" s="32"/>
      <c r="B29" s="33"/>
      <c r="C29" s="33"/>
      <c r="D29" s="33"/>
      <c r="E29" s="33"/>
      <c r="F29" s="33"/>
      <c r="G29" s="34"/>
    </row>
    <row r="30" spans="1:7" ht="16.8" x14ac:dyDescent="0.3">
      <c r="A30" s="32"/>
      <c r="B30" s="33"/>
      <c r="C30" s="33"/>
      <c r="D30" s="33"/>
      <c r="E30" s="33"/>
      <c r="F30" s="33"/>
      <c r="G30" s="34"/>
    </row>
    <row r="31" spans="1:7" ht="16.8" x14ac:dyDescent="0.3">
      <c r="A31" s="32"/>
      <c r="B31" s="33"/>
      <c r="C31" s="33"/>
      <c r="D31" s="33"/>
      <c r="E31" s="33"/>
      <c r="F31" s="33"/>
      <c r="G31" s="34"/>
    </row>
    <row r="32" spans="1:7" ht="16.8" x14ac:dyDescent="0.3">
      <c r="A32" s="32"/>
      <c r="B32" s="33"/>
      <c r="C32" s="33"/>
      <c r="D32" s="33"/>
      <c r="E32" s="33"/>
      <c r="F32" s="33"/>
      <c r="G32" s="34"/>
    </row>
    <row r="33" spans="1:7" ht="16.8" x14ac:dyDescent="0.3">
      <c r="A33" s="32"/>
      <c r="B33" s="33"/>
      <c r="C33" s="33"/>
      <c r="D33" s="33"/>
      <c r="E33" s="33"/>
      <c r="F33" s="33"/>
      <c r="G33" s="34"/>
    </row>
    <row r="34" spans="1:7" ht="16.8" x14ac:dyDescent="0.3">
      <c r="A34" s="32"/>
      <c r="B34" s="33"/>
      <c r="C34" s="33"/>
      <c r="D34" s="33"/>
      <c r="E34" s="33"/>
      <c r="F34" s="33"/>
      <c r="G34" s="34"/>
    </row>
    <row r="35" spans="1:7" ht="16.8" x14ac:dyDescent="0.3">
      <c r="A35" s="32"/>
      <c r="B35" s="33"/>
      <c r="C35" s="33"/>
      <c r="D35" s="33"/>
      <c r="E35" s="33"/>
      <c r="F35" s="33"/>
      <c r="G35" s="34"/>
    </row>
    <row r="36" spans="1:7" ht="16.8" x14ac:dyDescent="0.3">
      <c r="A36" s="32"/>
      <c r="B36" s="33"/>
      <c r="C36" s="33"/>
      <c r="D36" s="33"/>
      <c r="E36" s="33"/>
      <c r="F36" s="33"/>
      <c r="G36" s="34"/>
    </row>
    <row r="37" spans="1:7" ht="16.8" x14ac:dyDescent="0.3">
      <c r="A37" s="32"/>
      <c r="B37" s="33"/>
      <c r="C37" s="33"/>
      <c r="D37" s="33"/>
      <c r="E37" s="33"/>
      <c r="F37" s="33"/>
      <c r="G37" s="34"/>
    </row>
    <row r="38" spans="1:7" ht="17.399999999999999" thickBot="1" x14ac:dyDescent="0.35">
      <c r="A38" s="35"/>
      <c r="B38" s="36"/>
      <c r="C38" s="36"/>
      <c r="D38" s="36"/>
      <c r="E38" s="36"/>
      <c r="F38" s="36"/>
      <c r="G38" s="37"/>
    </row>
    <row r="39" spans="1:7" ht="16.2" thickTop="1" x14ac:dyDescent="0.3"/>
  </sheetData>
  <conditionalFormatting sqref="E10">
    <cfRule type="cellIs" dxfId="14" priority="1" stopIfTrue="1" operator="greaterThan">
      <formula>66</formula>
    </cfRule>
    <cfRule type="cellIs" dxfId="13" priority="2" stopIfTrue="1" operator="between">
      <formula>33</formula>
      <formula>66</formula>
    </cfRule>
  </conditionalFormatting>
  <pageMargins left="0.7" right="0.7" top="0.75" bottom="0.75" header="0.3" footer="0.3"/>
  <pageSetup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showGridLines="0" zoomScaleNormal="100" workbookViewId="0"/>
  </sheetViews>
  <sheetFormatPr defaultRowHeight="15.6" x14ac:dyDescent="0.3"/>
  <cols>
    <col min="1" max="1" width="31.19921875" bestFit="1" customWidth="1"/>
    <col min="2" max="2" width="5.8984375" bestFit="1" customWidth="1"/>
    <col min="3" max="3" width="11.59765625" hidden="1" customWidth="1"/>
    <col min="4" max="4" width="5.69921875" hidden="1" customWidth="1"/>
    <col min="5" max="5" width="9.19921875" bestFit="1" customWidth="1"/>
    <col min="6" max="6" width="8.5" customWidth="1"/>
    <col min="7" max="7" width="5.8984375" bestFit="1" customWidth="1"/>
    <col min="8" max="8" width="4.69921875" bestFit="1" customWidth="1"/>
    <col min="9" max="9" width="6.8984375" bestFit="1" customWidth="1"/>
    <col min="10" max="10" width="31.09765625" bestFit="1" customWidth="1"/>
  </cols>
  <sheetData>
    <row r="1" spans="1:10" ht="23.4" thickBot="1" x14ac:dyDescent="0.35">
      <c r="A1" s="38" t="s">
        <v>37</v>
      </c>
      <c r="B1" s="39"/>
      <c r="C1" s="39"/>
      <c r="D1" s="39"/>
      <c r="E1" s="39"/>
      <c r="F1" s="39"/>
      <c r="G1" s="39"/>
      <c r="H1" s="39"/>
      <c r="I1" s="39"/>
      <c r="J1" s="39"/>
    </row>
    <row r="2" spans="1:10" ht="34.200000000000003" thickBot="1" x14ac:dyDescent="0.35">
      <c r="A2" s="40" t="s">
        <v>38</v>
      </c>
      <c r="B2" s="41" t="s">
        <v>39</v>
      </c>
      <c r="C2" s="41" t="s">
        <v>40</v>
      </c>
      <c r="D2" s="41" t="s">
        <v>41</v>
      </c>
      <c r="E2" s="42" t="s">
        <v>42</v>
      </c>
      <c r="F2" s="42" t="s">
        <v>43</v>
      </c>
      <c r="G2" s="42" t="s">
        <v>44</v>
      </c>
      <c r="H2" s="43" t="s">
        <v>45</v>
      </c>
      <c r="I2" s="42" t="s">
        <v>46</v>
      </c>
      <c r="J2" s="44" t="s">
        <v>47</v>
      </c>
    </row>
    <row r="3" spans="1:10" ht="16.8" x14ac:dyDescent="0.3">
      <c r="A3" s="45" t="s">
        <v>48</v>
      </c>
      <c r="B3" s="46">
        <f>4</f>
        <v>4</v>
      </c>
      <c r="C3" s="47" t="s">
        <v>28</v>
      </c>
      <c r="D3" s="47" t="str">
        <f>VLOOKUP(C3,'Personal File'!$A$9:$C$14,3,FALSE)</f>
        <v>+3</v>
      </c>
      <c r="E3" s="48" t="str">
        <f t="shared" ref="E3:E49" si="0">CONCATENATE(LEFT(C3,3)," (",D3,")")</f>
        <v>Con (+3)</v>
      </c>
      <c r="F3" s="581">
        <v>1</v>
      </c>
      <c r="G3" s="49">
        <f t="shared" ref="G3:G49" si="1">B3+D3+F3</f>
        <v>8</v>
      </c>
      <c r="H3" s="50">
        <f t="shared" ref="H3:H49" ca="1" si="2">RANDBETWEEN(1,20)</f>
        <v>5</v>
      </c>
      <c r="I3" s="51">
        <f t="shared" ref="I3:I5" ca="1" si="3">SUM(G3:H3)</f>
        <v>13</v>
      </c>
      <c r="J3" s="52"/>
    </row>
    <row r="4" spans="1:10" ht="16.8" x14ac:dyDescent="0.3">
      <c r="A4" s="568" t="s">
        <v>49</v>
      </c>
      <c r="B4" s="46">
        <f>1</f>
        <v>1</v>
      </c>
      <c r="C4" s="47" t="s">
        <v>26</v>
      </c>
      <c r="D4" s="47" t="str">
        <f>VLOOKUP(C4,'Personal File'!$A$9:$C$14,3,FALSE)</f>
        <v>+2</v>
      </c>
      <c r="E4" s="53" t="str">
        <f t="shared" si="0"/>
        <v>Dex (+2)</v>
      </c>
      <c r="F4" s="581">
        <v>1</v>
      </c>
      <c r="G4" s="49">
        <f t="shared" si="1"/>
        <v>4</v>
      </c>
      <c r="H4" s="50">
        <f t="shared" ca="1" si="2"/>
        <v>17</v>
      </c>
      <c r="I4" s="51">
        <f t="shared" ca="1" si="3"/>
        <v>21</v>
      </c>
      <c r="J4" s="52"/>
    </row>
    <row r="5" spans="1:10" ht="16.8" x14ac:dyDescent="0.3">
      <c r="A5" s="54" t="s">
        <v>50</v>
      </c>
      <c r="B5" s="55">
        <f>4</f>
        <v>4</v>
      </c>
      <c r="C5" s="56" t="s">
        <v>32</v>
      </c>
      <c r="D5" s="56" t="str">
        <f>VLOOKUP(C5,'Personal File'!$A$9:$C$14,3,FALSE)</f>
        <v>+2</v>
      </c>
      <c r="E5" s="57" t="str">
        <f t="shared" si="0"/>
        <v>Wis (+2)</v>
      </c>
      <c r="F5" s="582">
        <v>1</v>
      </c>
      <c r="G5" s="58">
        <f t="shared" si="1"/>
        <v>7</v>
      </c>
      <c r="H5" s="59">
        <f t="shared" ca="1" si="2"/>
        <v>1</v>
      </c>
      <c r="I5" s="60">
        <f t="shared" ca="1" si="3"/>
        <v>8</v>
      </c>
      <c r="J5" s="61" t="s">
        <v>51</v>
      </c>
    </row>
    <row r="6" spans="1:10" ht="16.8" x14ac:dyDescent="0.3">
      <c r="A6" s="62" t="s">
        <v>52</v>
      </c>
      <c r="B6" s="47">
        <v>0</v>
      </c>
      <c r="C6" s="63" t="s">
        <v>30</v>
      </c>
      <c r="D6" s="64" t="str">
        <f>VLOOKUP(C6,'Personal File'!$A$9:$C$14,3,FALSE)</f>
        <v>+5</v>
      </c>
      <c r="E6" s="65" t="str">
        <f t="shared" si="0"/>
        <v>Int (+5)</v>
      </c>
      <c r="F6" s="66" t="s">
        <v>53</v>
      </c>
      <c r="G6" s="66">
        <f t="shared" si="1"/>
        <v>5</v>
      </c>
      <c r="H6" s="50">
        <f t="shared" ca="1" si="2"/>
        <v>1</v>
      </c>
      <c r="I6" s="66">
        <f ca="1">SUM(G6:H6)</f>
        <v>6</v>
      </c>
      <c r="J6" s="67"/>
    </row>
    <row r="7" spans="1:10" ht="16.8" x14ac:dyDescent="0.3">
      <c r="A7" s="68" t="s">
        <v>54</v>
      </c>
      <c r="B7" s="47">
        <v>0</v>
      </c>
      <c r="C7" s="69" t="s">
        <v>26</v>
      </c>
      <c r="D7" s="70" t="str">
        <f>VLOOKUP(C7,'Personal File'!$A$9:$C$14,3,FALSE)</f>
        <v>+2</v>
      </c>
      <c r="E7" s="53" t="str">
        <f t="shared" si="0"/>
        <v>Dex (+2)</v>
      </c>
      <c r="F7" s="66" t="s">
        <v>53</v>
      </c>
      <c r="G7" s="66">
        <f t="shared" si="1"/>
        <v>2</v>
      </c>
      <c r="H7" s="50">
        <f t="shared" ca="1" si="2"/>
        <v>4</v>
      </c>
      <c r="I7" s="66">
        <f t="shared" ref="I7" ca="1" si="4">SUM(G7:H7)</f>
        <v>6</v>
      </c>
      <c r="J7" s="67"/>
    </row>
    <row r="8" spans="1:10" ht="16.8" x14ac:dyDescent="0.3">
      <c r="A8" s="71" t="s">
        <v>55</v>
      </c>
      <c r="B8" s="47">
        <v>0</v>
      </c>
      <c r="C8" s="72" t="s">
        <v>34</v>
      </c>
      <c r="D8" s="73">
        <f>VLOOKUP(C8,'Personal File'!$A$9:$C$14,3,FALSE)</f>
        <v>-1</v>
      </c>
      <c r="E8" s="74" t="str">
        <f t="shared" si="0"/>
        <v>Cha (-1)</v>
      </c>
      <c r="F8" s="66" t="s">
        <v>53</v>
      </c>
      <c r="G8" s="66">
        <f t="shared" si="1"/>
        <v>-1</v>
      </c>
      <c r="H8" s="50">
        <f t="shared" ca="1" si="2"/>
        <v>5</v>
      </c>
      <c r="I8" s="66">
        <f t="shared" ref="I8:I49" ca="1" si="5">SUM(G8:H8)</f>
        <v>4</v>
      </c>
      <c r="J8" s="67"/>
    </row>
    <row r="9" spans="1:10" ht="16.8" x14ac:dyDescent="0.3">
      <c r="A9" s="75" t="s">
        <v>56</v>
      </c>
      <c r="B9" s="47">
        <v>0</v>
      </c>
      <c r="C9" s="76" t="s">
        <v>23</v>
      </c>
      <c r="D9" s="77" t="str">
        <f>VLOOKUP(C9,'Personal File'!$A$9:$C$14,3,FALSE)</f>
        <v>+0</v>
      </c>
      <c r="E9" s="78" t="str">
        <f t="shared" si="0"/>
        <v>Str (+0)</v>
      </c>
      <c r="F9" s="66" t="s">
        <v>53</v>
      </c>
      <c r="G9" s="66">
        <f t="shared" si="1"/>
        <v>0</v>
      </c>
      <c r="H9" s="50">
        <f t="shared" ca="1" si="2"/>
        <v>19</v>
      </c>
      <c r="I9" s="66">
        <f t="shared" ca="1" si="5"/>
        <v>19</v>
      </c>
      <c r="J9" s="67"/>
    </row>
    <row r="10" spans="1:10" ht="16.8" x14ac:dyDescent="0.3">
      <c r="A10" s="79" t="s">
        <v>57</v>
      </c>
      <c r="B10" s="80">
        <v>6</v>
      </c>
      <c r="C10" s="81" t="s">
        <v>28</v>
      </c>
      <c r="D10" s="82" t="str">
        <f>VLOOKUP(C10,'Personal File'!$A$9:$C$14,3,FALSE)</f>
        <v>+3</v>
      </c>
      <c r="E10" s="83" t="str">
        <f t="shared" si="0"/>
        <v>Con (+3)</v>
      </c>
      <c r="F10" s="84" t="s">
        <v>53</v>
      </c>
      <c r="G10" s="84">
        <f t="shared" si="1"/>
        <v>9</v>
      </c>
      <c r="H10" s="50">
        <f t="shared" ca="1" si="2"/>
        <v>10</v>
      </c>
      <c r="I10" s="84">
        <f t="shared" ca="1" si="5"/>
        <v>19</v>
      </c>
      <c r="J10" s="85"/>
    </row>
    <row r="11" spans="1:10" ht="16.8" x14ac:dyDescent="0.3">
      <c r="A11" s="62" t="s">
        <v>58</v>
      </c>
      <c r="B11" s="47">
        <v>0</v>
      </c>
      <c r="C11" s="63" t="s">
        <v>30</v>
      </c>
      <c r="D11" s="64" t="str">
        <f>VLOOKUP(C11,'Personal File'!$A$9:$C$14,3,FALSE)</f>
        <v>+5</v>
      </c>
      <c r="E11" s="65" t="str">
        <f t="shared" si="0"/>
        <v>Int (+5)</v>
      </c>
      <c r="F11" s="66" t="s">
        <v>53</v>
      </c>
      <c r="G11" s="66">
        <f t="shared" si="1"/>
        <v>5</v>
      </c>
      <c r="H11" s="50">
        <f t="shared" ca="1" si="2"/>
        <v>7</v>
      </c>
      <c r="I11" s="86">
        <f t="shared" ca="1" si="5"/>
        <v>12</v>
      </c>
      <c r="J11" s="87"/>
    </row>
    <row r="12" spans="1:10" ht="16.8" x14ac:dyDescent="0.3">
      <c r="A12" s="88" t="s">
        <v>59</v>
      </c>
      <c r="B12" s="80">
        <v>6</v>
      </c>
      <c r="C12" s="89" t="s">
        <v>30</v>
      </c>
      <c r="D12" s="90" t="str">
        <f>VLOOKUP(C12,'Personal File'!$A$9:$C$14,3,FALSE)</f>
        <v>+5</v>
      </c>
      <c r="E12" s="91" t="str">
        <f t="shared" si="0"/>
        <v>Int (+5)</v>
      </c>
      <c r="F12" s="84" t="s">
        <v>53</v>
      </c>
      <c r="G12" s="84">
        <f t="shared" si="1"/>
        <v>11</v>
      </c>
      <c r="H12" s="50">
        <f t="shared" ca="1" si="2"/>
        <v>12</v>
      </c>
      <c r="I12" s="84">
        <f t="shared" ca="1" si="5"/>
        <v>23</v>
      </c>
      <c r="J12" s="85"/>
    </row>
    <row r="13" spans="1:10" ht="16.8" x14ac:dyDescent="0.3">
      <c r="A13" s="71" t="s">
        <v>60</v>
      </c>
      <c r="B13" s="47">
        <v>0</v>
      </c>
      <c r="C13" s="72" t="s">
        <v>34</v>
      </c>
      <c r="D13" s="73">
        <f>VLOOKUP(C13,'Personal File'!$A$9:$C$14,3,FALSE)</f>
        <v>-1</v>
      </c>
      <c r="E13" s="74" t="str">
        <f t="shared" si="0"/>
        <v>Cha (-1)</v>
      </c>
      <c r="F13" s="66" t="s">
        <v>53</v>
      </c>
      <c r="G13" s="66">
        <f t="shared" si="1"/>
        <v>-1</v>
      </c>
      <c r="H13" s="50">
        <f t="shared" ca="1" si="2"/>
        <v>8</v>
      </c>
      <c r="I13" s="66">
        <f t="shared" ca="1" si="5"/>
        <v>7</v>
      </c>
      <c r="J13" s="67"/>
    </row>
    <row r="14" spans="1:10" ht="16.8" x14ac:dyDescent="0.3">
      <c r="A14" s="92" t="s">
        <v>61</v>
      </c>
      <c r="B14" s="93">
        <v>0</v>
      </c>
      <c r="C14" s="94" t="s">
        <v>30</v>
      </c>
      <c r="D14" s="95" t="str">
        <f>VLOOKUP(C14,'Personal File'!$A$9:$C$14,3,FALSE)</f>
        <v>+5</v>
      </c>
      <c r="E14" s="96" t="str">
        <f t="shared" si="0"/>
        <v>Int (+5)</v>
      </c>
      <c r="F14" s="97" t="s">
        <v>53</v>
      </c>
      <c r="G14" s="97">
        <f t="shared" si="1"/>
        <v>5</v>
      </c>
      <c r="H14" s="50">
        <f t="shared" ca="1" si="2"/>
        <v>20</v>
      </c>
      <c r="I14" s="97">
        <f t="shared" ca="1" si="5"/>
        <v>25</v>
      </c>
      <c r="J14" s="98"/>
    </row>
    <row r="15" spans="1:10" ht="16.8" x14ac:dyDescent="0.3">
      <c r="A15" s="71" t="s">
        <v>62</v>
      </c>
      <c r="B15" s="47">
        <v>0</v>
      </c>
      <c r="C15" s="72" t="s">
        <v>34</v>
      </c>
      <c r="D15" s="73">
        <f>VLOOKUP(C15,'Personal File'!$A$9:$C$14,3,FALSE)</f>
        <v>-1</v>
      </c>
      <c r="E15" s="74" t="str">
        <f t="shared" si="0"/>
        <v>Cha (-1)</v>
      </c>
      <c r="F15" s="66" t="s">
        <v>53</v>
      </c>
      <c r="G15" s="66">
        <f t="shared" si="1"/>
        <v>-1</v>
      </c>
      <c r="H15" s="50">
        <f t="shared" ca="1" si="2"/>
        <v>10</v>
      </c>
      <c r="I15" s="66">
        <f t="shared" ca="1" si="5"/>
        <v>9</v>
      </c>
      <c r="J15" s="67"/>
    </row>
    <row r="16" spans="1:10" ht="16.8" x14ac:dyDescent="0.3">
      <c r="A16" s="68" t="s">
        <v>63</v>
      </c>
      <c r="B16" s="47">
        <v>0</v>
      </c>
      <c r="C16" s="69" t="s">
        <v>26</v>
      </c>
      <c r="D16" s="70" t="str">
        <f>VLOOKUP(C16,'Personal File'!$A$9:$C$14,3,FALSE)</f>
        <v>+2</v>
      </c>
      <c r="E16" s="53" t="str">
        <f t="shared" si="0"/>
        <v>Dex (+2)</v>
      </c>
      <c r="F16" s="66" t="s">
        <v>53</v>
      </c>
      <c r="G16" s="66">
        <f t="shared" si="1"/>
        <v>2</v>
      </c>
      <c r="H16" s="50">
        <f t="shared" ca="1" si="2"/>
        <v>16</v>
      </c>
      <c r="I16" s="66">
        <f t="shared" ca="1" si="5"/>
        <v>18</v>
      </c>
      <c r="J16" s="67"/>
    </row>
    <row r="17" spans="1:10" ht="16.8" x14ac:dyDescent="0.3">
      <c r="A17" s="62" t="s">
        <v>64</v>
      </c>
      <c r="B17" s="47">
        <v>0</v>
      </c>
      <c r="C17" s="63" t="s">
        <v>30</v>
      </c>
      <c r="D17" s="64" t="str">
        <f>VLOOKUP(C17,'Personal File'!$A$9:$C$14,3,FALSE)</f>
        <v>+5</v>
      </c>
      <c r="E17" s="65" t="str">
        <f t="shared" si="0"/>
        <v>Int (+5)</v>
      </c>
      <c r="F17" s="66" t="s">
        <v>53</v>
      </c>
      <c r="G17" s="66">
        <f t="shared" si="1"/>
        <v>5</v>
      </c>
      <c r="H17" s="50">
        <f t="shared" ca="1" si="2"/>
        <v>20</v>
      </c>
      <c r="I17" s="66">
        <f t="shared" ca="1" si="5"/>
        <v>25</v>
      </c>
      <c r="J17" s="67"/>
    </row>
    <row r="18" spans="1:10" ht="16.8" x14ac:dyDescent="0.3">
      <c r="A18" s="463" t="s">
        <v>65</v>
      </c>
      <c r="B18" s="80">
        <v>2</v>
      </c>
      <c r="C18" s="464" t="s">
        <v>34</v>
      </c>
      <c r="D18" s="465">
        <f>VLOOKUP(C18,'Personal File'!$A$9:$C$14,3,FALSE)</f>
        <v>-1</v>
      </c>
      <c r="E18" s="466" t="str">
        <f t="shared" si="0"/>
        <v>Cha (-1)</v>
      </c>
      <c r="F18" s="84" t="s">
        <v>66</v>
      </c>
      <c r="G18" s="84">
        <f t="shared" si="1"/>
        <v>3</v>
      </c>
      <c r="H18" s="50">
        <f t="shared" ca="1" si="2"/>
        <v>4</v>
      </c>
      <c r="I18" s="84">
        <f t="shared" ca="1" si="5"/>
        <v>7</v>
      </c>
      <c r="J18" s="85"/>
    </row>
    <row r="19" spans="1:10" ht="16.8" x14ac:dyDescent="0.3">
      <c r="A19" s="99" t="s">
        <v>67</v>
      </c>
      <c r="B19" s="93">
        <v>0</v>
      </c>
      <c r="C19" s="100" t="s">
        <v>34</v>
      </c>
      <c r="D19" s="101">
        <f>VLOOKUP(C19,'Personal File'!$A$9:$C$14,3,FALSE)</f>
        <v>-1</v>
      </c>
      <c r="E19" s="102" t="str">
        <f t="shared" si="0"/>
        <v>Cha (-1)</v>
      </c>
      <c r="F19" s="97" t="s">
        <v>53</v>
      </c>
      <c r="G19" s="97">
        <f t="shared" si="1"/>
        <v>-1</v>
      </c>
      <c r="H19" s="50">
        <f t="shared" ca="1" si="2"/>
        <v>16</v>
      </c>
      <c r="I19" s="97">
        <f t="shared" ca="1" si="5"/>
        <v>15</v>
      </c>
      <c r="J19" s="98"/>
    </row>
    <row r="20" spans="1:10" ht="16.8" x14ac:dyDescent="0.3">
      <c r="A20" s="103" t="s">
        <v>68</v>
      </c>
      <c r="B20" s="47">
        <v>0</v>
      </c>
      <c r="C20" s="104" t="s">
        <v>32</v>
      </c>
      <c r="D20" s="105" t="str">
        <f>VLOOKUP(C20,'Personal File'!$A$9:$C$14,3,FALSE)</f>
        <v>+2</v>
      </c>
      <c r="E20" s="106" t="str">
        <f t="shared" si="0"/>
        <v>Wis (+2)</v>
      </c>
      <c r="F20" s="66" t="s">
        <v>53</v>
      </c>
      <c r="G20" s="66">
        <f t="shared" si="1"/>
        <v>2</v>
      </c>
      <c r="H20" s="50">
        <f t="shared" ca="1" si="2"/>
        <v>13</v>
      </c>
      <c r="I20" s="66">
        <f t="shared" ca="1" si="5"/>
        <v>15</v>
      </c>
      <c r="J20" s="67"/>
    </row>
    <row r="21" spans="1:10" ht="16.8" x14ac:dyDescent="0.3">
      <c r="A21" s="120" t="s">
        <v>69</v>
      </c>
      <c r="B21" s="80">
        <v>5</v>
      </c>
      <c r="C21" s="121" t="s">
        <v>26</v>
      </c>
      <c r="D21" s="122" t="str">
        <f>VLOOKUP(C21,'Personal File'!$A$9:$C$14,3,FALSE)</f>
        <v>+2</v>
      </c>
      <c r="E21" s="123" t="str">
        <f t="shared" si="0"/>
        <v>Dex (+2)</v>
      </c>
      <c r="F21" s="454">
        <f>4-4</f>
        <v>0</v>
      </c>
      <c r="G21" s="84">
        <f t="shared" si="1"/>
        <v>7</v>
      </c>
      <c r="H21" s="50">
        <f t="shared" ca="1" si="2"/>
        <v>8</v>
      </c>
      <c r="I21" s="84">
        <f t="shared" ca="1" si="5"/>
        <v>15</v>
      </c>
      <c r="J21" s="85"/>
    </row>
    <row r="22" spans="1:10" ht="16.8" x14ac:dyDescent="0.3">
      <c r="A22" s="71" t="s">
        <v>70</v>
      </c>
      <c r="B22" s="47">
        <v>0</v>
      </c>
      <c r="C22" s="72" t="s">
        <v>34</v>
      </c>
      <c r="D22" s="73">
        <f>VLOOKUP(C22,'Personal File'!$A$9:$C$14,3,FALSE)</f>
        <v>-1</v>
      </c>
      <c r="E22" s="74" t="str">
        <f t="shared" si="0"/>
        <v>Cha (-1)</v>
      </c>
      <c r="F22" s="66" t="s">
        <v>53</v>
      </c>
      <c r="G22" s="66">
        <f t="shared" si="1"/>
        <v>-1</v>
      </c>
      <c r="H22" s="50">
        <f t="shared" ca="1" si="2"/>
        <v>18</v>
      </c>
      <c r="I22" s="66">
        <f t="shared" ca="1" si="5"/>
        <v>17</v>
      </c>
      <c r="J22" s="67"/>
    </row>
    <row r="23" spans="1:10" ht="16.8" x14ac:dyDescent="0.3">
      <c r="A23" s="75" t="s">
        <v>71</v>
      </c>
      <c r="B23" s="47">
        <v>0</v>
      </c>
      <c r="C23" s="76" t="s">
        <v>23</v>
      </c>
      <c r="D23" s="77" t="str">
        <f>VLOOKUP(C23,'Personal File'!$A$9:$C$14,3,FALSE)</f>
        <v>+0</v>
      </c>
      <c r="E23" s="78" t="str">
        <f t="shared" si="0"/>
        <v>Str (+0)</v>
      </c>
      <c r="F23" s="66" t="s">
        <v>53</v>
      </c>
      <c r="G23" s="66">
        <f t="shared" si="1"/>
        <v>0</v>
      </c>
      <c r="H23" s="50">
        <f t="shared" ca="1" si="2"/>
        <v>11</v>
      </c>
      <c r="I23" s="66">
        <f t="shared" ca="1" si="5"/>
        <v>11</v>
      </c>
      <c r="J23" s="67"/>
    </row>
    <row r="24" spans="1:10" ht="16.8" x14ac:dyDescent="0.3">
      <c r="A24" s="88" t="s">
        <v>72</v>
      </c>
      <c r="B24" s="80">
        <v>6</v>
      </c>
      <c r="C24" s="89" t="s">
        <v>30</v>
      </c>
      <c r="D24" s="90" t="str">
        <f>VLOOKUP(C24,'Personal File'!$A$9:$C$14,3,FALSE)</f>
        <v>+5</v>
      </c>
      <c r="E24" s="91" t="str">
        <f t="shared" si="0"/>
        <v>Int (+5)</v>
      </c>
      <c r="F24" s="454">
        <v>2</v>
      </c>
      <c r="G24" s="84">
        <f t="shared" si="1"/>
        <v>13</v>
      </c>
      <c r="H24" s="50">
        <f t="shared" ca="1" si="2"/>
        <v>3</v>
      </c>
      <c r="I24" s="84">
        <f t="shared" ca="1" si="5"/>
        <v>16</v>
      </c>
      <c r="J24" s="85"/>
    </row>
    <row r="25" spans="1:10" ht="16.8" x14ac:dyDescent="0.3">
      <c r="A25" s="88" t="s">
        <v>73</v>
      </c>
      <c r="B25" s="80">
        <v>0</v>
      </c>
      <c r="C25" s="89" t="s">
        <v>30</v>
      </c>
      <c r="D25" s="90" t="str">
        <f>VLOOKUP(C25,'Personal File'!$A$9:$C$14,3,FALSE)</f>
        <v>+5</v>
      </c>
      <c r="E25" s="91" t="str">
        <f t="shared" si="0"/>
        <v>Int (+5)</v>
      </c>
      <c r="F25" s="84" t="s">
        <v>53</v>
      </c>
      <c r="G25" s="84">
        <f t="shared" si="1"/>
        <v>5</v>
      </c>
      <c r="H25" s="50">
        <f t="shared" ca="1" si="2"/>
        <v>5</v>
      </c>
      <c r="I25" s="84">
        <f t="shared" ca="1" si="5"/>
        <v>10</v>
      </c>
      <c r="J25" s="85"/>
    </row>
    <row r="26" spans="1:10" ht="16.8" x14ac:dyDescent="0.3">
      <c r="A26" s="88" t="s">
        <v>74</v>
      </c>
      <c r="B26" s="80">
        <v>0</v>
      </c>
      <c r="C26" s="89" t="s">
        <v>30</v>
      </c>
      <c r="D26" s="90" t="str">
        <f>VLOOKUP(C26,'Personal File'!$A$9:$C$14,3,FALSE)</f>
        <v>+5</v>
      </c>
      <c r="E26" s="91" t="str">
        <f t="shared" si="0"/>
        <v>Int (+5)</v>
      </c>
      <c r="F26" s="84" t="s">
        <v>53</v>
      </c>
      <c r="G26" s="84">
        <f t="shared" si="1"/>
        <v>5</v>
      </c>
      <c r="H26" s="50">
        <f t="shared" ca="1" si="2"/>
        <v>14</v>
      </c>
      <c r="I26" s="84">
        <f t="shared" ref="I26" ca="1" si="6">SUM(G26:H26)</f>
        <v>19</v>
      </c>
      <c r="J26" s="85"/>
    </row>
    <row r="27" spans="1:10" ht="16.8" x14ac:dyDescent="0.3">
      <c r="A27" s="88" t="s">
        <v>75</v>
      </c>
      <c r="B27" s="80">
        <v>6</v>
      </c>
      <c r="C27" s="89" t="s">
        <v>30</v>
      </c>
      <c r="D27" s="90" t="str">
        <f>VLOOKUP(C27,'Personal File'!$A$9:$C$14,3,FALSE)</f>
        <v>+5</v>
      </c>
      <c r="E27" s="91" t="str">
        <f t="shared" si="0"/>
        <v>Int (+5)</v>
      </c>
      <c r="F27" s="84" t="s">
        <v>53</v>
      </c>
      <c r="G27" s="84">
        <f t="shared" si="1"/>
        <v>11</v>
      </c>
      <c r="H27" s="50">
        <f t="shared" ca="1" si="2"/>
        <v>18</v>
      </c>
      <c r="I27" s="84">
        <f t="shared" ref="I27" ca="1" si="7">SUM(G27:H27)</f>
        <v>29</v>
      </c>
      <c r="J27" s="85"/>
    </row>
    <row r="28" spans="1:10" ht="16.8" x14ac:dyDescent="0.3">
      <c r="A28" s="88" t="s">
        <v>76</v>
      </c>
      <c r="B28" s="80">
        <v>0</v>
      </c>
      <c r="C28" s="89" t="s">
        <v>30</v>
      </c>
      <c r="D28" s="90" t="str">
        <f>VLOOKUP(C28,'Personal File'!$A$9:$C$14,3,FALSE)</f>
        <v>+5</v>
      </c>
      <c r="E28" s="91" t="str">
        <f t="shared" si="0"/>
        <v>Int (+5)</v>
      </c>
      <c r="F28" s="84" t="s">
        <v>53</v>
      </c>
      <c r="G28" s="84">
        <f t="shared" si="1"/>
        <v>5</v>
      </c>
      <c r="H28" s="50">
        <f t="shared" ca="1" si="2"/>
        <v>19</v>
      </c>
      <c r="I28" s="84">
        <f t="shared" ca="1" si="5"/>
        <v>24</v>
      </c>
      <c r="J28" s="85"/>
    </row>
    <row r="29" spans="1:10" ht="16.8" x14ac:dyDescent="0.3">
      <c r="A29" s="88" t="s">
        <v>77</v>
      </c>
      <c r="B29" s="80">
        <v>0</v>
      </c>
      <c r="C29" s="89" t="s">
        <v>30</v>
      </c>
      <c r="D29" s="90" t="str">
        <f>VLOOKUP(C29,'Personal File'!$A$9:$C$14,3,FALSE)</f>
        <v>+5</v>
      </c>
      <c r="E29" s="91" t="str">
        <f t="shared" si="0"/>
        <v>Int (+5)</v>
      </c>
      <c r="F29" s="84" t="s">
        <v>53</v>
      </c>
      <c r="G29" s="84">
        <f t="shared" si="1"/>
        <v>5</v>
      </c>
      <c r="H29" s="50">
        <f t="shared" ca="1" si="2"/>
        <v>11</v>
      </c>
      <c r="I29" s="84">
        <f t="shared" ref="I29:I31" ca="1" si="8">SUM(G29:H29)</f>
        <v>16</v>
      </c>
      <c r="J29" s="85"/>
    </row>
    <row r="30" spans="1:10" ht="16.8" x14ac:dyDescent="0.3">
      <c r="A30" s="88" t="s">
        <v>78</v>
      </c>
      <c r="B30" s="80">
        <v>2</v>
      </c>
      <c r="C30" s="89" t="s">
        <v>30</v>
      </c>
      <c r="D30" s="90" t="str">
        <f>VLOOKUP(C30,'Personal File'!$A$9:$C$14,3,FALSE)</f>
        <v>+5</v>
      </c>
      <c r="E30" s="91" t="str">
        <f t="shared" si="0"/>
        <v>Int (+5)</v>
      </c>
      <c r="F30" s="84" t="s">
        <v>53</v>
      </c>
      <c r="G30" s="84">
        <f t="shared" si="1"/>
        <v>7</v>
      </c>
      <c r="H30" s="50">
        <f t="shared" ca="1" si="2"/>
        <v>13</v>
      </c>
      <c r="I30" s="84">
        <f t="shared" ca="1" si="8"/>
        <v>20</v>
      </c>
      <c r="J30" s="85"/>
    </row>
    <row r="31" spans="1:10" ht="16.8" x14ac:dyDescent="0.3">
      <c r="A31" s="88" t="s">
        <v>79</v>
      </c>
      <c r="B31" s="80">
        <v>2</v>
      </c>
      <c r="C31" s="89" t="s">
        <v>30</v>
      </c>
      <c r="D31" s="90" t="str">
        <f>VLOOKUP(C31,'Personal File'!$A$9:$C$14,3,FALSE)</f>
        <v>+5</v>
      </c>
      <c r="E31" s="91" t="str">
        <f t="shared" si="0"/>
        <v>Int (+5)</v>
      </c>
      <c r="F31" s="84" t="s">
        <v>53</v>
      </c>
      <c r="G31" s="84">
        <f t="shared" si="1"/>
        <v>7</v>
      </c>
      <c r="H31" s="50">
        <f t="shared" ca="1" si="2"/>
        <v>20</v>
      </c>
      <c r="I31" s="84">
        <f t="shared" ca="1" si="8"/>
        <v>27</v>
      </c>
      <c r="J31" s="85"/>
    </row>
    <row r="32" spans="1:10" ht="16.8" x14ac:dyDescent="0.3">
      <c r="A32" s="88" t="s">
        <v>80</v>
      </c>
      <c r="B32" s="80">
        <v>6</v>
      </c>
      <c r="C32" s="89" t="s">
        <v>30</v>
      </c>
      <c r="D32" s="90" t="str">
        <f>VLOOKUP(C32,'Personal File'!$A$9:$C$14,3,FALSE)</f>
        <v>+5</v>
      </c>
      <c r="E32" s="91" t="str">
        <f t="shared" si="0"/>
        <v>Int (+5)</v>
      </c>
      <c r="F32" s="84" t="s">
        <v>53</v>
      </c>
      <c r="G32" s="84">
        <f t="shared" si="1"/>
        <v>11</v>
      </c>
      <c r="H32" s="50">
        <f t="shared" ca="1" si="2"/>
        <v>12</v>
      </c>
      <c r="I32" s="84">
        <f t="shared" ca="1" si="5"/>
        <v>23</v>
      </c>
      <c r="J32" s="85"/>
    </row>
    <row r="33" spans="1:10" ht="16.8" x14ac:dyDescent="0.3">
      <c r="A33" s="455" t="s">
        <v>81</v>
      </c>
      <c r="B33" s="80">
        <v>4</v>
      </c>
      <c r="C33" s="456" t="s">
        <v>32</v>
      </c>
      <c r="D33" s="457" t="str">
        <f>VLOOKUP(C33,'Personal File'!$A$9:$C$14,3,FALSE)</f>
        <v>+2</v>
      </c>
      <c r="E33" s="458" t="str">
        <f t="shared" si="0"/>
        <v>Wis (+2)</v>
      </c>
      <c r="F33" s="84" t="s">
        <v>66</v>
      </c>
      <c r="G33" s="84">
        <f t="shared" si="1"/>
        <v>8</v>
      </c>
      <c r="H33" s="50">
        <f t="shared" ca="1" si="2"/>
        <v>3</v>
      </c>
      <c r="I33" s="84">
        <f t="shared" ca="1" si="5"/>
        <v>11</v>
      </c>
      <c r="J33" s="85"/>
    </row>
    <row r="34" spans="1:10" ht="16.8" x14ac:dyDescent="0.3">
      <c r="A34" s="120" t="s">
        <v>82</v>
      </c>
      <c r="B34" s="80">
        <v>6</v>
      </c>
      <c r="C34" s="121" t="s">
        <v>26</v>
      </c>
      <c r="D34" s="122" t="str">
        <f>VLOOKUP(C34,'Personal File'!$A$9:$C$14,3,FALSE)</f>
        <v>+2</v>
      </c>
      <c r="E34" s="123" t="str">
        <f t="shared" si="0"/>
        <v>Dex (+2)</v>
      </c>
      <c r="F34" s="84" t="s">
        <v>53</v>
      </c>
      <c r="G34" s="84">
        <f t="shared" si="1"/>
        <v>8</v>
      </c>
      <c r="H34" s="50">
        <f t="shared" ca="1" si="2"/>
        <v>15</v>
      </c>
      <c r="I34" s="84">
        <f t="shared" ca="1" si="5"/>
        <v>23</v>
      </c>
      <c r="J34" s="85"/>
    </row>
    <row r="35" spans="1:10" ht="16.8" x14ac:dyDescent="0.3">
      <c r="A35" s="68" t="s">
        <v>83</v>
      </c>
      <c r="B35" s="47">
        <v>0</v>
      </c>
      <c r="C35" s="69" t="s">
        <v>26</v>
      </c>
      <c r="D35" s="70" t="str">
        <f>VLOOKUP(C35,'Personal File'!$A$9:$C$14,3,FALSE)</f>
        <v>+2</v>
      </c>
      <c r="E35" s="53" t="str">
        <f t="shared" si="0"/>
        <v>Dex (+2)</v>
      </c>
      <c r="F35" s="66" t="s">
        <v>53</v>
      </c>
      <c r="G35" s="66">
        <f t="shared" si="1"/>
        <v>2</v>
      </c>
      <c r="H35" s="50">
        <f t="shared" ca="1" si="2"/>
        <v>18</v>
      </c>
      <c r="I35" s="66">
        <f t="shared" ca="1" si="5"/>
        <v>20</v>
      </c>
      <c r="J35" s="67"/>
    </row>
    <row r="36" spans="1:10" ht="16.8" x14ac:dyDescent="0.3">
      <c r="A36" s="71" t="s">
        <v>84</v>
      </c>
      <c r="B36" s="47">
        <v>0</v>
      </c>
      <c r="C36" s="72" t="s">
        <v>34</v>
      </c>
      <c r="D36" s="73">
        <f>VLOOKUP(C36,'Personal File'!$A$9:$C$14,3,FALSE)</f>
        <v>-1</v>
      </c>
      <c r="E36" s="74" t="str">
        <f t="shared" si="0"/>
        <v>Cha (-1)</v>
      </c>
      <c r="F36" s="66" t="s">
        <v>53</v>
      </c>
      <c r="G36" s="66">
        <f t="shared" si="1"/>
        <v>-1</v>
      </c>
      <c r="H36" s="50">
        <f t="shared" ca="1" si="2"/>
        <v>16</v>
      </c>
      <c r="I36" s="66">
        <f t="shared" ca="1" si="5"/>
        <v>15</v>
      </c>
      <c r="J36" s="67"/>
    </row>
    <row r="37" spans="1:10" ht="16.8" x14ac:dyDescent="0.3">
      <c r="A37" s="107" t="s">
        <v>85</v>
      </c>
      <c r="B37" s="108">
        <v>0</v>
      </c>
      <c r="C37" s="109" t="s">
        <v>32</v>
      </c>
      <c r="D37" s="110" t="str">
        <f>VLOOKUP(C37,'Personal File'!$A$9:$C$14,3,FALSE)</f>
        <v>+2</v>
      </c>
      <c r="E37" s="111" t="str">
        <f t="shared" si="0"/>
        <v>Wis (+2)</v>
      </c>
      <c r="F37" s="97" t="s">
        <v>53</v>
      </c>
      <c r="G37" s="112">
        <f t="shared" si="1"/>
        <v>2</v>
      </c>
      <c r="H37" s="50">
        <f t="shared" ca="1" si="2"/>
        <v>19</v>
      </c>
      <c r="I37" s="112">
        <f t="shared" ca="1" si="5"/>
        <v>21</v>
      </c>
      <c r="J37" s="113"/>
    </row>
    <row r="38" spans="1:10" ht="16.8" x14ac:dyDescent="0.3">
      <c r="A38" s="68" t="s">
        <v>86</v>
      </c>
      <c r="B38" s="47">
        <v>0</v>
      </c>
      <c r="C38" s="69" t="s">
        <v>26</v>
      </c>
      <c r="D38" s="70" t="str">
        <f>VLOOKUP(C38,'Personal File'!$A$9:$C$14,3,FALSE)</f>
        <v>+2</v>
      </c>
      <c r="E38" s="53" t="str">
        <f t="shared" si="0"/>
        <v>Dex (+2)</v>
      </c>
      <c r="F38" s="66" t="s">
        <v>53</v>
      </c>
      <c r="G38" s="66">
        <f t="shared" si="1"/>
        <v>2</v>
      </c>
      <c r="H38" s="50">
        <f t="shared" ca="1" si="2"/>
        <v>11</v>
      </c>
      <c r="I38" s="66">
        <f t="shared" ca="1" si="5"/>
        <v>13</v>
      </c>
      <c r="J38" s="67"/>
    </row>
    <row r="39" spans="1:10" ht="16.8" x14ac:dyDescent="0.3">
      <c r="A39" s="88" t="s">
        <v>87</v>
      </c>
      <c r="B39" s="80">
        <v>5</v>
      </c>
      <c r="C39" s="89" t="s">
        <v>30</v>
      </c>
      <c r="D39" s="90" t="str">
        <f>VLOOKUP(C39,'Personal File'!$A$9:$C$14,3,FALSE)</f>
        <v>+5</v>
      </c>
      <c r="E39" s="91" t="str">
        <f t="shared" si="0"/>
        <v>Int (+5)</v>
      </c>
      <c r="F39" s="84" t="s">
        <v>66</v>
      </c>
      <c r="G39" s="84">
        <f t="shared" si="1"/>
        <v>12</v>
      </c>
      <c r="H39" s="50">
        <f t="shared" ca="1" si="2"/>
        <v>20</v>
      </c>
      <c r="I39" s="84">
        <f t="shared" ca="1" si="5"/>
        <v>32</v>
      </c>
      <c r="J39" s="85"/>
    </row>
    <row r="40" spans="1:10" ht="16.8" x14ac:dyDescent="0.3">
      <c r="A40" s="455" t="s">
        <v>88</v>
      </c>
      <c r="B40" s="80">
        <v>2</v>
      </c>
      <c r="C40" s="456" t="s">
        <v>32</v>
      </c>
      <c r="D40" s="457" t="str">
        <f>VLOOKUP(C40,'Personal File'!$A$9:$C$14,3,FALSE)</f>
        <v>+2</v>
      </c>
      <c r="E40" s="458" t="str">
        <f t="shared" si="0"/>
        <v>Wis (+2)</v>
      </c>
      <c r="F40" s="84" t="s">
        <v>53</v>
      </c>
      <c r="G40" s="84">
        <f t="shared" si="1"/>
        <v>4</v>
      </c>
      <c r="H40" s="50">
        <f t="shared" ca="1" si="2"/>
        <v>18</v>
      </c>
      <c r="I40" s="84">
        <f t="shared" ca="1" si="5"/>
        <v>22</v>
      </c>
      <c r="J40" s="85"/>
    </row>
    <row r="41" spans="1:10" ht="16.8" x14ac:dyDescent="0.3">
      <c r="A41" s="114" t="s">
        <v>89</v>
      </c>
      <c r="B41" s="93">
        <v>0</v>
      </c>
      <c r="C41" s="115" t="s">
        <v>26</v>
      </c>
      <c r="D41" s="116" t="str">
        <f>VLOOKUP(C41,'Personal File'!$A$9:$C$14,3,FALSE)</f>
        <v>+2</v>
      </c>
      <c r="E41" s="117" t="str">
        <f t="shared" si="0"/>
        <v>Dex (+2)</v>
      </c>
      <c r="F41" s="97" t="s">
        <v>53</v>
      </c>
      <c r="G41" s="97">
        <f t="shared" si="1"/>
        <v>2</v>
      </c>
      <c r="H41" s="50">
        <f t="shared" ca="1" si="2"/>
        <v>4</v>
      </c>
      <c r="I41" s="97">
        <f t="shared" ca="1" si="5"/>
        <v>6</v>
      </c>
      <c r="J41" s="98"/>
    </row>
    <row r="42" spans="1:10" ht="16.8" x14ac:dyDescent="0.3">
      <c r="A42" s="92" t="s">
        <v>90</v>
      </c>
      <c r="B42" s="93">
        <v>0</v>
      </c>
      <c r="C42" s="94" t="s">
        <v>30</v>
      </c>
      <c r="D42" s="95" t="str">
        <f>VLOOKUP(C42,'Personal File'!$A$9:$C$14,3,FALSE)</f>
        <v>+5</v>
      </c>
      <c r="E42" s="96" t="str">
        <f t="shared" si="0"/>
        <v>Int (+5)</v>
      </c>
      <c r="F42" s="97" t="s">
        <v>53</v>
      </c>
      <c r="G42" s="97">
        <f t="shared" si="1"/>
        <v>5</v>
      </c>
      <c r="H42" s="50">
        <f t="shared" ca="1" si="2"/>
        <v>5</v>
      </c>
      <c r="I42" s="97">
        <f t="shared" ca="1" si="5"/>
        <v>10</v>
      </c>
      <c r="J42" s="118"/>
    </row>
    <row r="43" spans="1:10" ht="16.8" x14ac:dyDescent="0.3">
      <c r="A43" s="88" t="s">
        <v>91</v>
      </c>
      <c r="B43" s="80">
        <v>6</v>
      </c>
      <c r="C43" s="89" t="s">
        <v>30</v>
      </c>
      <c r="D43" s="90" t="str">
        <f>VLOOKUP(C43,'Personal File'!$A$9:$C$14,3,FALSE)</f>
        <v>+5</v>
      </c>
      <c r="E43" s="91" t="str">
        <f t="shared" si="0"/>
        <v>Int (+5)</v>
      </c>
      <c r="F43" s="84" t="s">
        <v>66</v>
      </c>
      <c r="G43" s="84">
        <f t="shared" si="1"/>
        <v>13</v>
      </c>
      <c r="H43" s="50">
        <f t="shared" ca="1" si="2"/>
        <v>18</v>
      </c>
      <c r="I43" s="84">
        <f t="shared" ca="1" si="5"/>
        <v>31</v>
      </c>
      <c r="J43" s="119"/>
    </row>
    <row r="44" spans="1:10" ht="16.8" x14ac:dyDescent="0.3">
      <c r="A44" s="103" t="s">
        <v>92</v>
      </c>
      <c r="B44" s="47">
        <v>0</v>
      </c>
      <c r="C44" s="104" t="s">
        <v>32</v>
      </c>
      <c r="D44" s="105" t="str">
        <f>VLOOKUP(C44,'Personal File'!$A$9:$C$14,3,FALSE)</f>
        <v>+2</v>
      </c>
      <c r="E44" s="106" t="str">
        <f t="shared" si="0"/>
        <v>Wis (+2)</v>
      </c>
      <c r="F44" s="66" t="s">
        <v>53</v>
      </c>
      <c r="G44" s="66">
        <f t="shared" si="1"/>
        <v>2</v>
      </c>
      <c r="H44" s="50">
        <f t="shared" ca="1" si="2"/>
        <v>11</v>
      </c>
      <c r="I44" s="66">
        <f t="shared" ca="1" si="5"/>
        <v>13</v>
      </c>
      <c r="J44" s="67"/>
    </row>
    <row r="45" spans="1:10" ht="16.8" x14ac:dyDescent="0.3">
      <c r="A45" s="103" t="s">
        <v>93</v>
      </c>
      <c r="B45" s="47">
        <v>0</v>
      </c>
      <c r="C45" s="104" t="s">
        <v>32</v>
      </c>
      <c r="D45" s="105" t="str">
        <f>VLOOKUP(C45,'Personal File'!$A$9:$C$14,3,FALSE)</f>
        <v>+2</v>
      </c>
      <c r="E45" s="106" t="str">
        <f t="shared" si="0"/>
        <v>Wis (+2)</v>
      </c>
      <c r="F45" s="66" t="s">
        <v>53</v>
      </c>
      <c r="G45" s="66">
        <f t="shared" si="1"/>
        <v>2</v>
      </c>
      <c r="H45" s="50">
        <f t="shared" ca="1" si="2"/>
        <v>14</v>
      </c>
      <c r="I45" s="66">
        <f t="shared" ca="1" si="5"/>
        <v>16</v>
      </c>
      <c r="J45" s="87"/>
    </row>
    <row r="46" spans="1:10" ht="16.8" x14ac:dyDescent="0.3">
      <c r="A46" s="75" t="s">
        <v>94</v>
      </c>
      <c r="B46" s="47">
        <v>0</v>
      </c>
      <c r="C46" s="76" t="s">
        <v>23</v>
      </c>
      <c r="D46" s="77" t="str">
        <f>VLOOKUP(C46,'Personal File'!$A$9:$C$14,3,FALSE)</f>
        <v>+0</v>
      </c>
      <c r="E46" s="78" t="str">
        <f t="shared" si="0"/>
        <v>Str (+0)</v>
      </c>
      <c r="F46" s="66" t="s">
        <v>53</v>
      </c>
      <c r="G46" s="66">
        <f t="shared" si="1"/>
        <v>0</v>
      </c>
      <c r="H46" s="50">
        <f t="shared" ca="1" si="2"/>
        <v>5</v>
      </c>
      <c r="I46" s="66">
        <f t="shared" ca="1" si="5"/>
        <v>5</v>
      </c>
      <c r="J46" s="67"/>
    </row>
    <row r="47" spans="1:10" ht="16.8" x14ac:dyDescent="0.3">
      <c r="A47" s="120" t="s">
        <v>95</v>
      </c>
      <c r="B47" s="80">
        <v>0</v>
      </c>
      <c r="C47" s="121" t="s">
        <v>26</v>
      </c>
      <c r="D47" s="122" t="str">
        <f>VLOOKUP(C47,'Personal File'!$A$9:$C$14,3,FALSE)</f>
        <v>+2</v>
      </c>
      <c r="E47" s="123" t="str">
        <f t="shared" si="0"/>
        <v>Dex (+2)</v>
      </c>
      <c r="F47" s="84" t="s">
        <v>53</v>
      </c>
      <c r="G47" s="84">
        <f t="shared" si="1"/>
        <v>2</v>
      </c>
      <c r="H47" s="50">
        <f t="shared" ca="1" si="2"/>
        <v>19</v>
      </c>
      <c r="I47" s="84">
        <f t="shared" ca="1" si="5"/>
        <v>21</v>
      </c>
      <c r="J47" s="85"/>
    </row>
    <row r="48" spans="1:10" ht="16.8" x14ac:dyDescent="0.3">
      <c r="A48" s="99" t="s">
        <v>96</v>
      </c>
      <c r="B48" s="93">
        <v>0</v>
      </c>
      <c r="C48" s="100" t="s">
        <v>34</v>
      </c>
      <c r="D48" s="101">
        <f>VLOOKUP(C48,'Personal File'!$A$9:$C$14,3,FALSE)</f>
        <v>-1</v>
      </c>
      <c r="E48" s="102" t="str">
        <f t="shared" si="0"/>
        <v>Cha (-1)</v>
      </c>
      <c r="F48" s="97" t="s">
        <v>66</v>
      </c>
      <c r="G48" s="97">
        <f t="shared" si="1"/>
        <v>1</v>
      </c>
      <c r="H48" s="50">
        <f t="shared" ca="1" si="2"/>
        <v>2</v>
      </c>
      <c r="I48" s="97">
        <f t="shared" ca="1" si="5"/>
        <v>3</v>
      </c>
      <c r="J48" s="98"/>
    </row>
    <row r="49" spans="1:10" ht="17.399999999999999" thickBot="1" x14ac:dyDescent="0.35">
      <c r="A49" s="124" t="s">
        <v>97</v>
      </c>
      <c r="B49" s="125">
        <v>0</v>
      </c>
      <c r="C49" s="126" t="s">
        <v>26</v>
      </c>
      <c r="D49" s="127" t="str">
        <f>VLOOKUP(C49,'Personal File'!$A$9:$C$14,3,FALSE)</f>
        <v>+2</v>
      </c>
      <c r="E49" s="128" t="str">
        <f t="shared" si="0"/>
        <v>Dex (+2)</v>
      </c>
      <c r="F49" s="129" t="s">
        <v>53</v>
      </c>
      <c r="G49" s="129">
        <f t="shared" si="1"/>
        <v>2</v>
      </c>
      <c r="H49" s="130">
        <f t="shared" ca="1" si="2"/>
        <v>3</v>
      </c>
      <c r="I49" s="129">
        <f t="shared" ca="1" si="5"/>
        <v>5</v>
      </c>
      <c r="J49" s="131"/>
    </row>
    <row r="50" spans="1:10" ht="16.2" thickTop="1" x14ac:dyDescent="0.3">
      <c r="A50" s="132"/>
      <c r="B50" s="133">
        <f>SUM(B6:B49)</f>
        <v>64</v>
      </c>
      <c r="C50" s="134"/>
      <c r="D50" s="134"/>
      <c r="E50" s="133">
        <f>SUM(E51:E62)</f>
        <v>72</v>
      </c>
      <c r="F50" s="135"/>
      <c r="G50" s="135"/>
      <c r="H50" s="135"/>
      <c r="I50" s="135"/>
      <c r="J50" s="132"/>
    </row>
    <row r="51" spans="1:10" x14ac:dyDescent="0.3">
      <c r="A51" s="132"/>
      <c r="B51" s="133"/>
      <c r="C51" s="134"/>
      <c r="D51" s="134"/>
      <c r="E51" s="136">
        <f>4*(4+'Personal File'!$C$12)</f>
        <v>36</v>
      </c>
      <c r="F51" s="137" t="s">
        <v>98</v>
      </c>
      <c r="G51" s="135"/>
      <c r="H51" s="135"/>
      <c r="I51" s="135"/>
      <c r="J51" s="132"/>
    </row>
    <row r="52" spans="1:10" x14ac:dyDescent="0.3">
      <c r="A52" s="132"/>
      <c r="B52" s="138"/>
      <c r="C52" s="134"/>
      <c r="D52" s="134"/>
      <c r="E52" s="136">
        <f>4+'Personal File'!$C$12</f>
        <v>9</v>
      </c>
      <c r="F52" s="137" t="s">
        <v>99</v>
      </c>
      <c r="G52" s="135"/>
      <c r="H52" s="135"/>
      <c r="I52" s="135"/>
      <c r="J52" s="132"/>
    </row>
    <row r="53" spans="1:10" x14ac:dyDescent="0.3">
      <c r="A53" s="132"/>
      <c r="B53" s="138"/>
      <c r="C53" s="134"/>
      <c r="D53" s="134"/>
      <c r="E53" s="136">
        <f>4+'Personal File'!$C$12</f>
        <v>9</v>
      </c>
      <c r="F53" s="137" t="s">
        <v>100</v>
      </c>
      <c r="G53" s="135"/>
      <c r="H53" s="135"/>
      <c r="I53" s="135"/>
      <c r="J53" s="132"/>
    </row>
    <row r="54" spans="1:10" x14ac:dyDescent="0.3">
      <c r="A54" s="132"/>
      <c r="B54" s="138"/>
      <c r="C54" s="134"/>
      <c r="D54" s="134"/>
      <c r="E54" s="136">
        <f>4+'Personal File'!$C$12</f>
        <v>9</v>
      </c>
      <c r="F54" s="137" t="s">
        <v>101</v>
      </c>
      <c r="G54" s="135"/>
      <c r="H54" s="135"/>
      <c r="I54" s="135"/>
      <c r="J54" s="132"/>
    </row>
    <row r="55" spans="1:10" x14ac:dyDescent="0.3">
      <c r="A55" s="132"/>
      <c r="B55" s="138"/>
      <c r="C55" s="134"/>
      <c r="D55" s="134"/>
      <c r="E55" s="136">
        <f>4+'Personal File'!$C$12</f>
        <v>9</v>
      </c>
      <c r="F55" s="137" t="s">
        <v>102</v>
      </c>
      <c r="G55" s="135"/>
      <c r="H55" s="135"/>
      <c r="I55" s="135"/>
      <c r="J55" s="132"/>
    </row>
    <row r="56" spans="1:10" x14ac:dyDescent="0.3">
      <c r="A56" s="132"/>
      <c r="B56" s="138"/>
      <c r="C56" s="134"/>
      <c r="D56" s="134"/>
      <c r="E56" s="136"/>
      <c r="F56" s="137"/>
      <c r="G56" s="135"/>
      <c r="H56" s="135"/>
      <c r="I56" s="135"/>
      <c r="J56" s="132"/>
    </row>
    <row r="57" spans="1:10" x14ac:dyDescent="0.3">
      <c r="A57" s="132"/>
      <c r="B57" s="138"/>
      <c r="C57" s="134"/>
      <c r="D57" s="134"/>
      <c r="E57" s="136"/>
      <c r="F57" s="137"/>
      <c r="G57" s="135"/>
      <c r="H57" s="135"/>
      <c r="I57" s="135"/>
      <c r="J57" s="132"/>
    </row>
    <row r="58" spans="1:10" x14ac:dyDescent="0.3">
      <c r="A58" s="132"/>
      <c r="B58" s="132"/>
      <c r="C58" s="135"/>
      <c r="D58" s="135"/>
      <c r="E58" s="136"/>
      <c r="F58" s="137"/>
      <c r="G58" s="135"/>
      <c r="H58" s="135"/>
      <c r="I58" s="135"/>
      <c r="J58" s="132"/>
    </row>
    <row r="59" spans="1:10" x14ac:dyDescent="0.3">
      <c r="A59" s="132"/>
      <c r="B59" s="132"/>
      <c r="C59" s="135"/>
      <c r="D59" s="135"/>
      <c r="E59" s="136"/>
      <c r="F59" s="137"/>
      <c r="G59" s="135"/>
      <c r="H59" s="135"/>
      <c r="I59" s="135"/>
      <c r="J59" s="132"/>
    </row>
    <row r="60" spans="1:10" x14ac:dyDescent="0.3">
      <c r="A60" s="132"/>
      <c r="B60" s="132"/>
      <c r="C60" s="135"/>
      <c r="D60" s="135"/>
      <c r="E60" s="136"/>
      <c r="F60" s="137"/>
      <c r="G60" s="135"/>
      <c r="H60" s="135"/>
      <c r="I60" s="135"/>
      <c r="J60" s="132"/>
    </row>
    <row r="61" spans="1:10" x14ac:dyDescent="0.3">
      <c r="E61" s="136"/>
      <c r="F61" s="137"/>
    </row>
    <row r="62" spans="1:10" x14ac:dyDescent="0.3">
      <c r="E62" s="136"/>
      <c r="F62" s="137"/>
    </row>
  </sheetData>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1"/>
  <sheetViews>
    <sheetView showGridLines="0" workbookViewId="0"/>
  </sheetViews>
  <sheetFormatPr defaultRowHeight="15.6" x14ac:dyDescent="0.3"/>
  <cols>
    <col min="1" max="1" width="23.8984375" bestFit="1" customWidth="1"/>
    <col min="2" max="2" width="6.19921875" bestFit="1" customWidth="1"/>
    <col min="3" max="3" width="13.59765625" bestFit="1" customWidth="1"/>
    <col min="4" max="4" width="13.5" customWidth="1"/>
    <col min="5" max="5" width="10.5" bestFit="1" customWidth="1"/>
    <col min="6" max="7" width="13.19921875" bestFit="1" customWidth="1"/>
    <col min="8" max="8" width="21.69921875" bestFit="1" customWidth="1"/>
    <col min="9" max="9" width="5.5" bestFit="1" customWidth="1"/>
  </cols>
  <sheetData>
    <row r="1" spans="1:9" ht="23.4" thickBot="1" x14ac:dyDescent="0.35">
      <c r="A1" s="139" t="s">
        <v>103</v>
      </c>
      <c r="B1" s="140"/>
      <c r="C1" s="140"/>
      <c r="D1" s="140"/>
      <c r="E1" s="140"/>
      <c r="F1" s="140"/>
      <c r="G1" s="140"/>
      <c r="H1" s="140"/>
      <c r="I1" s="141"/>
    </row>
    <row r="2" spans="1:9" ht="16.8" x14ac:dyDescent="0.3">
      <c r="A2" s="142" t="s">
        <v>104</v>
      </c>
      <c r="B2" s="143" t="s">
        <v>8</v>
      </c>
      <c r="C2" s="143" t="s">
        <v>105</v>
      </c>
      <c r="D2" s="178" t="s">
        <v>106</v>
      </c>
      <c r="E2" s="143" t="s">
        <v>107</v>
      </c>
      <c r="F2" s="143" t="s">
        <v>108</v>
      </c>
      <c r="G2" s="143" t="s">
        <v>109</v>
      </c>
      <c r="H2" s="144" t="s">
        <v>110</v>
      </c>
      <c r="I2" s="145" t="s">
        <v>111</v>
      </c>
    </row>
    <row r="3" spans="1:9" ht="16.8" x14ac:dyDescent="0.3">
      <c r="A3" s="146" t="s">
        <v>112</v>
      </c>
      <c r="B3" s="147">
        <v>0</v>
      </c>
      <c r="C3" s="148" t="s">
        <v>113</v>
      </c>
      <c r="D3" s="149" t="s">
        <v>114</v>
      </c>
      <c r="E3" s="150" t="s">
        <v>115</v>
      </c>
      <c r="F3" s="151" t="s">
        <v>116</v>
      </c>
      <c r="G3" s="151" t="s">
        <v>117</v>
      </c>
      <c r="H3" s="151" t="s">
        <v>118</v>
      </c>
      <c r="I3" s="152">
        <v>9</v>
      </c>
    </row>
    <row r="4" spans="1:9" ht="16.8" x14ac:dyDescent="0.3">
      <c r="A4" s="146" t="s">
        <v>119</v>
      </c>
      <c r="B4" s="147">
        <v>0</v>
      </c>
      <c r="C4" s="148" t="s">
        <v>120</v>
      </c>
      <c r="D4" s="149" t="s">
        <v>114</v>
      </c>
      <c r="E4" s="150" t="s">
        <v>115</v>
      </c>
      <c r="F4" s="151" t="s">
        <v>116</v>
      </c>
      <c r="G4" s="151" t="s">
        <v>121</v>
      </c>
      <c r="H4" s="151" t="s">
        <v>122</v>
      </c>
      <c r="I4" s="152">
        <v>215</v>
      </c>
    </row>
    <row r="5" spans="1:9" ht="16.8" x14ac:dyDescent="0.3">
      <c r="A5" s="146" t="s">
        <v>123</v>
      </c>
      <c r="B5" s="147">
        <v>0</v>
      </c>
      <c r="C5" s="148" t="s">
        <v>124</v>
      </c>
      <c r="D5" s="149" t="s">
        <v>114</v>
      </c>
      <c r="E5" s="150" t="s">
        <v>115</v>
      </c>
      <c r="F5" s="151" t="s">
        <v>125</v>
      </c>
      <c r="G5" s="151" t="s">
        <v>121</v>
      </c>
      <c r="H5" s="151" t="s">
        <v>122</v>
      </c>
      <c r="I5" s="152">
        <v>216</v>
      </c>
    </row>
    <row r="6" spans="1:9" ht="16.8" x14ac:dyDescent="0.3">
      <c r="A6" s="146" t="s">
        <v>126</v>
      </c>
      <c r="B6" s="147">
        <v>0</v>
      </c>
      <c r="C6" s="153" t="s">
        <v>124</v>
      </c>
      <c r="D6" s="149" t="s">
        <v>114</v>
      </c>
      <c r="E6" s="151" t="s">
        <v>115</v>
      </c>
      <c r="F6" s="151" t="s">
        <v>127</v>
      </c>
      <c r="G6" s="151" t="s">
        <v>128</v>
      </c>
      <c r="H6" s="151" t="s">
        <v>122</v>
      </c>
      <c r="I6" s="152">
        <v>219</v>
      </c>
    </row>
    <row r="7" spans="1:9" ht="16.8" x14ac:dyDescent="0.3">
      <c r="A7" s="146" t="s">
        <v>129</v>
      </c>
      <c r="B7" s="147">
        <v>0</v>
      </c>
      <c r="C7" s="148" t="s">
        <v>130</v>
      </c>
      <c r="D7" s="149" t="s">
        <v>114</v>
      </c>
      <c r="E7" s="150" t="s">
        <v>115</v>
      </c>
      <c r="F7" s="151" t="s">
        <v>116</v>
      </c>
      <c r="G7" s="151" t="s">
        <v>121</v>
      </c>
      <c r="H7" s="151" t="s">
        <v>122</v>
      </c>
      <c r="I7" s="152">
        <v>219</v>
      </c>
    </row>
    <row r="8" spans="1:9" ht="16.8" x14ac:dyDescent="0.3">
      <c r="A8" s="146" t="s">
        <v>131</v>
      </c>
      <c r="B8" s="147">
        <v>0</v>
      </c>
      <c r="C8" s="148" t="s">
        <v>130</v>
      </c>
      <c r="D8" s="149" t="s">
        <v>114</v>
      </c>
      <c r="E8" s="150" t="s">
        <v>115</v>
      </c>
      <c r="F8" s="151" t="s">
        <v>125</v>
      </c>
      <c r="G8" s="151" t="s">
        <v>132</v>
      </c>
      <c r="H8" s="151" t="s">
        <v>122</v>
      </c>
      <c r="I8" s="154">
        <v>238</v>
      </c>
    </row>
    <row r="9" spans="1:9" ht="16.8" x14ac:dyDescent="0.3">
      <c r="A9" s="146" t="s">
        <v>133</v>
      </c>
      <c r="B9" s="147">
        <v>0</v>
      </c>
      <c r="C9" s="148" t="s">
        <v>134</v>
      </c>
      <c r="D9" s="149" t="s">
        <v>135</v>
      </c>
      <c r="E9" s="150" t="s">
        <v>115</v>
      </c>
      <c r="F9" s="151" t="s">
        <v>125</v>
      </c>
      <c r="G9" s="151" t="s">
        <v>117</v>
      </c>
      <c r="H9" s="151" t="s">
        <v>122</v>
      </c>
      <c r="I9" s="152">
        <v>248</v>
      </c>
    </row>
    <row r="10" spans="1:9" ht="16.8" x14ac:dyDescent="0.3">
      <c r="A10" s="146" t="s">
        <v>136</v>
      </c>
      <c r="B10" s="147">
        <v>0</v>
      </c>
      <c r="C10" s="148" t="s">
        <v>113</v>
      </c>
      <c r="D10" s="149" t="s">
        <v>114</v>
      </c>
      <c r="E10" s="150" t="s">
        <v>115</v>
      </c>
      <c r="F10" s="151" t="s">
        <v>137</v>
      </c>
      <c r="G10" s="151" t="s">
        <v>121</v>
      </c>
      <c r="H10" s="151" t="s">
        <v>122</v>
      </c>
      <c r="I10" s="152">
        <v>253</v>
      </c>
    </row>
    <row r="11" spans="1:9" ht="16.8" x14ac:dyDescent="0.3">
      <c r="A11" s="146" t="s">
        <v>138</v>
      </c>
      <c r="B11" s="147">
        <v>0</v>
      </c>
      <c r="C11" s="148" t="s">
        <v>113</v>
      </c>
      <c r="D11" s="149" t="s">
        <v>139</v>
      </c>
      <c r="E11" s="150" t="s">
        <v>115</v>
      </c>
      <c r="F11" s="151" t="s">
        <v>140</v>
      </c>
      <c r="G11" s="151" t="s">
        <v>117</v>
      </c>
      <c r="H11" s="151" t="s">
        <v>122</v>
      </c>
      <c r="I11" s="152">
        <v>253</v>
      </c>
    </row>
    <row r="12" spans="1:9" ht="16.8" x14ac:dyDescent="0.3">
      <c r="A12" s="146" t="s">
        <v>141</v>
      </c>
      <c r="B12" s="147">
        <v>0</v>
      </c>
      <c r="C12" s="148" t="s">
        <v>124</v>
      </c>
      <c r="D12" s="149" t="s">
        <v>114</v>
      </c>
      <c r="E12" s="150" t="s">
        <v>115</v>
      </c>
      <c r="F12" s="151" t="s">
        <v>137</v>
      </c>
      <c r="G12" s="151" t="s">
        <v>121</v>
      </c>
      <c r="H12" s="151" t="s">
        <v>122</v>
      </c>
      <c r="I12" s="152">
        <v>267</v>
      </c>
    </row>
    <row r="13" spans="1:9" ht="16.8" x14ac:dyDescent="0.3">
      <c r="A13" s="146" t="s">
        <v>142</v>
      </c>
      <c r="B13" s="147">
        <v>0</v>
      </c>
      <c r="C13" s="148" t="s">
        <v>124</v>
      </c>
      <c r="D13" s="149" t="s">
        <v>139</v>
      </c>
      <c r="E13" s="150" t="s">
        <v>115</v>
      </c>
      <c r="F13" s="151" t="s">
        <v>143</v>
      </c>
      <c r="G13" s="151" t="s">
        <v>117</v>
      </c>
      <c r="H13" s="151" t="s">
        <v>122</v>
      </c>
      <c r="I13" s="152">
        <v>269</v>
      </c>
    </row>
    <row r="14" spans="1:9" ht="16.8" x14ac:dyDescent="0.3">
      <c r="A14" s="146" t="s">
        <v>144</v>
      </c>
      <c r="B14" s="147">
        <v>0</v>
      </c>
      <c r="C14" s="153" t="s">
        <v>145</v>
      </c>
      <c r="D14" s="149" t="s">
        <v>146</v>
      </c>
      <c r="E14" s="150" t="s">
        <v>115</v>
      </c>
      <c r="F14" s="151" t="s">
        <v>125</v>
      </c>
      <c r="G14" s="151" t="s">
        <v>132</v>
      </c>
      <c r="H14" s="151" t="s">
        <v>122</v>
      </c>
      <c r="I14" s="152">
        <v>272</v>
      </c>
    </row>
    <row r="15" spans="1:9" ht="16.8" x14ac:dyDescent="0.3">
      <c r="A15" s="155" t="s">
        <v>147</v>
      </c>
      <c r="B15" s="156">
        <v>0</v>
      </c>
      <c r="C15" s="157" t="s">
        <v>113</v>
      </c>
      <c r="D15" s="158" t="s">
        <v>148</v>
      </c>
      <c r="E15" s="158" t="s">
        <v>115</v>
      </c>
      <c r="F15" s="159" t="s">
        <v>125</v>
      </c>
      <c r="G15" s="159" t="s">
        <v>132</v>
      </c>
      <c r="H15" s="159" t="s">
        <v>122</v>
      </c>
      <c r="I15" s="160">
        <v>298</v>
      </c>
    </row>
    <row r="16" spans="1:9" ht="16.8" x14ac:dyDescent="0.3">
      <c r="A16" s="146" t="s">
        <v>149</v>
      </c>
      <c r="B16" s="147">
        <v>1</v>
      </c>
      <c r="C16" s="148" t="s">
        <v>130</v>
      </c>
      <c r="D16" s="149" t="s">
        <v>146</v>
      </c>
      <c r="E16" s="150" t="s">
        <v>115</v>
      </c>
      <c r="F16" s="151" t="s">
        <v>143</v>
      </c>
      <c r="G16" s="151" t="s">
        <v>117</v>
      </c>
      <c r="H16" s="151" t="s">
        <v>122</v>
      </c>
      <c r="I16" s="152">
        <v>212</v>
      </c>
    </row>
    <row r="17" spans="1:9" ht="16.8" x14ac:dyDescent="0.3">
      <c r="A17" s="146" t="s">
        <v>150</v>
      </c>
      <c r="B17" s="147">
        <v>1</v>
      </c>
      <c r="C17" s="148" t="s">
        <v>124</v>
      </c>
      <c r="D17" s="149" t="s">
        <v>114</v>
      </c>
      <c r="E17" s="150" t="s">
        <v>115</v>
      </c>
      <c r="F17" s="151" t="s">
        <v>125</v>
      </c>
      <c r="G17" s="151" t="s">
        <v>121</v>
      </c>
      <c r="H17" s="151" t="s">
        <v>122</v>
      </c>
      <c r="I17" s="152">
        <v>216</v>
      </c>
    </row>
    <row r="18" spans="1:9" ht="16.8" x14ac:dyDescent="0.3">
      <c r="A18" s="146" t="s">
        <v>398</v>
      </c>
      <c r="B18" s="147">
        <v>1</v>
      </c>
      <c r="C18" s="148" t="s">
        <v>130</v>
      </c>
      <c r="D18" s="149" t="s">
        <v>148</v>
      </c>
      <c r="E18" s="150" t="s">
        <v>115</v>
      </c>
      <c r="F18" s="151" t="s">
        <v>127</v>
      </c>
      <c r="G18" s="151" t="s">
        <v>117</v>
      </c>
      <c r="H18" s="151" t="s">
        <v>122</v>
      </c>
      <c r="I18" s="152">
        <v>218</v>
      </c>
    </row>
    <row r="19" spans="1:9" ht="16.8" x14ac:dyDescent="0.3">
      <c r="A19" s="146" t="s">
        <v>385</v>
      </c>
      <c r="B19" s="147">
        <v>1</v>
      </c>
      <c r="C19" s="148" t="s">
        <v>130</v>
      </c>
      <c r="D19" s="149" t="s">
        <v>148</v>
      </c>
      <c r="E19" s="150" t="s">
        <v>115</v>
      </c>
      <c r="F19" s="151" t="s">
        <v>127</v>
      </c>
      <c r="G19" s="151" t="s">
        <v>117</v>
      </c>
      <c r="H19" s="151" t="s">
        <v>122</v>
      </c>
      <c r="I19" s="152">
        <v>218</v>
      </c>
    </row>
    <row r="20" spans="1:9" ht="16.8" x14ac:dyDescent="0.3">
      <c r="A20" s="146" t="s">
        <v>151</v>
      </c>
      <c r="B20" s="147">
        <v>1</v>
      </c>
      <c r="C20" s="403" t="s">
        <v>130</v>
      </c>
      <c r="D20" s="404" t="s">
        <v>146</v>
      </c>
      <c r="E20" s="150" t="s">
        <v>115</v>
      </c>
      <c r="F20" s="405" t="s">
        <v>127</v>
      </c>
      <c r="G20" s="405" t="s">
        <v>128</v>
      </c>
      <c r="H20" s="405" t="s">
        <v>122</v>
      </c>
      <c r="I20" s="152">
        <v>220</v>
      </c>
    </row>
    <row r="21" spans="1:9" ht="16.8" x14ac:dyDescent="0.3">
      <c r="A21" s="146" t="s">
        <v>152</v>
      </c>
      <c r="B21" s="147">
        <v>1</v>
      </c>
      <c r="C21" s="148" t="s">
        <v>134</v>
      </c>
      <c r="D21" s="149" t="s">
        <v>148</v>
      </c>
      <c r="E21" s="150" t="s">
        <v>115</v>
      </c>
      <c r="F21" s="151" t="s">
        <v>143</v>
      </c>
      <c r="G21" s="151" t="s">
        <v>132</v>
      </c>
      <c r="H21" s="151" t="s">
        <v>122</v>
      </c>
      <c r="I21" s="154">
        <v>224</v>
      </c>
    </row>
    <row r="22" spans="1:9" ht="16.8" x14ac:dyDescent="0.3">
      <c r="A22" s="146" t="s">
        <v>153</v>
      </c>
      <c r="B22" s="147">
        <v>1</v>
      </c>
      <c r="C22" s="163" t="s">
        <v>145</v>
      </c>
      <c r="D22" s="164" t="s">
        <v>148</v>
      </c>
      <c r="E22" s="165" t="s">
        <v>115</v>
      </c>
      <c r="F22" s="165" t="s">
        <v>125</v>
      </c>
      <c r="G22" s="165" t="s">
        <v>117</v>
      </c>
      <c r="H22" s="151" t="s">
        <v>122</v>
      </c>
      <c r="I22" s="152">
        <v>241</v>
      </c>
    </row>
    <row r="23" spans="1:9" ht="16.8" x14ac:dyDescent="0.3">
      <c r="A23" s="146" t="s">
        <v>154</v>
      </c>
      <c r="B23" s="147">
        <v>1</v>
      </c>
      <c r="C23" s="148" t="s">
        <v>120</v>
      </c>
      <c r="D23" s="149" t="s">
        <v>114</v>
      </c>
      <c r="E23" s="150" t="s">
        <v>115</v>
      </c>
      <c r="F23" s="151" t="s">
        <v>155</v>
      </c>
      <c r="G23" s="151" t="s">
        <v>128</v>
      </c>
      <c r="H23" s="151" t="s">
        <v>122</v>
      </c>
      <c r="I23" s="152">
        <v>258</v>
      </c>
    </row>
    <row r="24" spans="1:9" ht="16.8" x14ac:dyDescent="0.3">
      <c r="A24" s="146" t="s">
        <v>156</v>
      </c>
      <c r="B24" s="147">
        <v>1</v>
      </c>
      <c r="C24" s="148" t="s">
        <v>145</v>
      </c>
      <c r="D24" s="149" t="s">
        <v>146</v>
      </c>
      <c r="E24" s="150" t="s">
        <v>115</v>
      </c>
      <c r="F24" s="151" t="s">
        <v>125</v>
      </c>
      <c r="G24" s="151" t="s">
        <v>128</v>
      </c>
      <c r="H24" s="151" t="s">
        <v>122</v>
      </c>
      <c r="I24" s="154">
        <v>266</v>
      </c>
    </row>
    <row r="25" spans="1:9" ht="16.8" x14ac:dyDescent="0.3">
      <c r="A25" s="146" t="s">
        <v>157</v>
      </c>
      <c r="B25" s="147">
        <v>1</v>
      </c>
      <c r="C25" s="148" t="s">
        <v>145</v>
      </c>
      <c r="D25" s="149" t="s">
        <v>148</v>
      </c>
      <c r="E25" s="150" t="s">
        <v>115</v>
      </c>
      <c r="F25" s="151" t="s">
        <v>125</v>
      </c>
      <c r="G25" s="151" t="s">
        <v>158</v>
      </c>
      <c r="H25" s="151" t="s">
        <v>122</v>
      </c>
      <c r="I25" s="152">
        <v>274</v>
      </c>
    </row>
    <row r="26" spans="1:9" ht="16.8" x14ac:dyDescent="0.3">
      <c r="A26" s="155" t="s">
        <v>159</v>
      </c>
      <c r="B26" s="156">
        <v>1</v>
      </c>
      <c r="C26" s="166" t="s">
        <v>145</v>
      </c>
      <c r="D26" s="167" t="s">
        <v>160</v>
      </c>
      <c r="E26" s="168" t="s">
        <v>115</v>
      </c>
      <c r="F26" s="159" t="s">
        <v>125</v>
      </c>
      <c r="G26" s="168" t="s">
        <v>128</v>
      </c>
      <c r="H26" s="168" t="s">
        <v>122</v>
      </c>
      <c r="I26" s="169">
        <v>278</v>
      </c>
    </row>
    <row r="27" spans="1:9" ht="16.8" x14ac:dyDescent="0.3">
      <c r="A27" s="146" t="s">
        <v>161</v>
      </c>
      <c r="B27" s="147">
        <v>2</v>
      </c>
      <c r="C27" s="148" t="s">
        <v>124</v>
      </c>
      <c r="D27" s="149" t="s">
        <v>114</v>
      </c>
      <c r="E27" s="150" t="s">
        <v>115</v>
      </c>
      <c r="F27" s="151" t="s">
        <v>125</v>
      </c>
      <c r="G27" s="151" t="s">
        <v>121</v>
      </c>
      <c r="H27" s="151" t="s">
        <v>122</v>
      </c>
      <c r="I27" s="152">
        <v>216</v>
      </c>
    </row>
    <row r="28" spans="1:9" ht="16.8" x14ac:dyDescent="0.3">
      <c r="A28" s="146" t="s">
        <v>286</v>
      </c>
      <c r="B28" s="147">
        <v>2</v>
      </c>
      <c r="C28" s="403" t="s">
        <v>113</v>
      </c>
      <c r="D28" s="404" t="s">
        <v>148</v>
      </c>
      <c r="E28" s="150" t="s">
        <v>115</v>
      </c>
      <c r="F28" s="405" t="s">
        <v>125</v>
      </c>
      <c r="G28" s="405" t="s">
        <v>117</v>
      </c>
      <c r="H28" s="405" t="s">
        <v>122</v>
      </c>
      <c r="I28" s="152">
        <v>203</v>
      </c>
    </row>
    <row r="29" spans="1:9" ht="16.8" x14ac:dyDescent="0.3">
      <c r="A29" s="146" t="s">
        <v>162</v>
      </c>
      <c r="B29" s="147">
        <v>2</v>
      </c>
      <c r="C29" s="148" t="s">
        <v>163</v>
      </c>
      <c r="D29" s="149" t="s">
        <v>164</v>
      </c>
      <c r="E29" s="151" t="s">
        <v>115</v>
      </c>
      <c r="F29" s="151" t="s">
        <v>140</v>
      </c>
      <c r="G29" s="151" t="s">
        <v>158</v>
      </c>
      <c r="H29" s="151" t="s">
        <v>122</v>
      </c>
      <c r="I29" s="152">
        <v>241</v>
      </c>
    </row>
    <row r="30" spans="1:9" ht="16.8" x14ac:dyDescent="0.3">
      <c r="A30" s="146" t="s">
        <v>165</v>
      </c>
      <c r="B30" s="147">
        <v>2</v>
      </c>
      <c r="C30" s="148" t="s">
        <v>166</v>
      </c>
      <c r="D30" s="149" t="s">
        <v>114</v>
      </c>
      <c r="E30" s="150" t="s">
        <v>115</v>
      </c>
      <c r="F30" s="151" t="s">
        <v>167</v>
      </c>
      <c r="G30" s="151" t="s">
        <v>128</v>
      </c>
      <c r="H30" s="151" t="s">
        <v>122</v>
      </c>
      <c r="I30" s="152">
        <v>279</v>
      </c>
    </row>
    <row r="31" spans="1:9" ht="16.8" x14ac:dyDescent="0.3">
      <c r="A31" s="155" t="s">
        <v>168</v>
      </c>
      <c r="B31" s="156">
        <v>2</v>
      </c>
      <c r="C31" s="166" t="s">
        <v>134</v>
      </c>
      <c r="D31" s="167" t="s">
        <v>148</v>
      </c>
      <c r="E31" s="167" t="s">
        <v>115</v>
      </c>
      <c r="F31" s="168" t="s">
        <v>140</v>
      </c>
      <c r="G31" s="168" t="s">
        <v>158</v>
      </c>
      <c r="H31" s="168" t="s">
        <v>122</v>
      </c>
      <c r="I31" s="170">
        <v>283</v>
      </c>
    </row>
    <row r="32" spans="1:9" ht="16.8" x14ac:dyDescent="0.3">
      <c r="A32" s="146" t="s">
        <v>169</v>
      </c>
      <c r="B32" s="147">
        <v>3</v>
      </c>
      <c r="C32" s="148" t="s">
        <v>134</v>
      </c>
      <c r="D32" s="161" t="s">
        <v>114</v>
      </c>
      <c r="E32" s="150" t="s">
        <v>115</v>
      </c>
      <c r="F32" s="162" t="s">
        <v>140</v>
      </c>
      <c r="G32" s="151" t="s">
        <v>128</v>
      </c>
      <c r="H32" s="151" t="s">
        <v>122</v>
      </c>
      <c r="I32" s="67">
        <v>207</v>
      </c>
    </row>
    <row r="33" spans="1:9" ht="16.8" x14ac:dyDescent="0.3">
      <c r="A33" s="146" t="s">
        <v>170</v>
      </c>
      <c r="B33" s="147">
        <v>3</v>
      </c>
      <c r="C33" s="148" t="s">
        <v>145</v>
      </c>
      <c r="D33" s="149" t="s">
        <v>114</v>
      </c>
      <c r="E33" s="151" t="s">
        <v>115</v>
      </c>
      <c r="F33" s="151" t="s">
        <v>140</v>
      </c>
      <c r="G33" s="151" t="s">
        <v>121</v>
      </c>
      <c r="H33" s="151" t="s">
        <v>122</v>
      </c>
      <c r="I33" s="152">
        <v>223</v>
      </c>
    </row>
    <row r="34" spans="1:9" ht="16.8" x14ac:dyDescent="0.3">
      <c r="A34" s="146" t="s">
        <v>171</v>
      </c>
      <c r="B34" s="147">
        <v>3</v>
      </c>
      <c r="C34" s="148" t="s">
        <v>134</v>
      </c>
      <c r="D34" s="149" t="s">
        <v>160</v>
      </c>
      <c r="E34" s="150" t="s">
        <v>115</v>
      </c>
      <c r="F34" s="151" t="s">
        <v>125</v>
      </c>
      <c r="G34" s="151" t="s">
        <v>158</v>
      </c>
      <c r="H34" s="151" t="s">
        <v>172</v>
      </c>
      <c r="I34" s="152">
        <v>86</v>
      </c>
    </row>
    <row r="35" spans="1:9" ht="16.8" x14ac:dyDescent="0.3">
      <c r="A35" s="146" t="s">
        <v>173</v>
      </c>
      <c r="B35" s="147">
        <v>3</v>
      </c>
      <c r="C35" s="148" t="s">
        <v>113</v>
      </c>
      <c r="D35" s="149" t="s">
        <v>148</v>
      </c>
      <c r="E35" s="150" t="s">
        <v>115</v>
      </c>
      <c r="F35" s="151" t="s">
        <v>143</v>
      </c>
      <c r="G35" s="151" t="s">
        <v>158</v>
      </c>
      <c r="H35" s="151" t="s">
        <v>174</v>
      </c>
      <c r="I35" s="152">
        <v>120</v>
      </c>
    </row>
    <row r="36" spans="1:9" ht="16.8" x14ac:dyDescent="0.3">
      <c r="A36" s="146" t="s">
        <v>175</v>
      </c>
      <c r="B36" s="147">
        <v>3</v>
      </c>
      <c r="C36" s="148" t="s">
        <v>163</v>
      </c>
      <c r="D36" s="149" t="s">
        <v>148</v>
      </c>
      <c r="E36" s="151" t="s">
        <v>115</v>
      </c>
      <c r="F36" s="151" t="s">
        <v>116</v>
      </c>
      <c r="G36" s="151" t="s">
        <v>176</v>
      </c>
      <c r="H36" s="151" t="s">
        <v>177</v>
      </c>
      <c r="I36" s="152">
        <v>100</v>
      </c>
    </row>
    <row r="37" spans="1:9" ht="16.8" x14ac:dyDescent="0.3">
      <c r="A37" s="146" t="s">
        <v>178</v>
      </c>
      <c r="B37" s="147">
        <v>3</v>
      </c>
      <c r="C37" s="148" t="s">
        <v>163</v>
      </c>
      <c r="D37" s="149" t="s">
        <v>179</v>
      </c>
      <c r="E37" s="151" t="s">
        <v>115</v>
      </c>
      <c r="F37" s="151" t="s">
        <v>180</v>
      </c>
      <c r="G37" s="151" t="s">
        <v>57</v>
      </c>
      <c r="H37" s="151" t="s">
        <v>177</v>
      </c>
      <c r="I37" s="152">
        <v>101</v>
      </c>
    </row>
    <row r="38" spans="1:9" ht="16.8" x14ac:dyDescent="0.3">
      <c r="A38" s="146" t="s">
        <v>181</v>
      </c>
      <c r="B38" s="147">
        <v>3</v>
      </c>
      <c r="C38" s="403" t="s">
        <v>134</v>
      </c>
      <c r="D38" s="404" t="s">
        <v>114</v>
      </c>
      <c r="E38" s="150" t="s">
        <v>115</v>
      </c>
      <c r="F38" s="405" t="s">
        <v>140</v>
      </c>
      <c r="G38" s="405" t="s">
        <v>121</v>
      </c>
      <c r="H38" s="405" t="s">
        <v>122</v>
      </c>
      <c r="I38" s="152">
        <v>275</v>
      </c>
    </row>
    <row r="39" spans="1:9" ht="16.8" x14ac:dyDescent="0.3">
      <c r="A39" s="146" t="s">
        <v>182</v>
      </c>
      <c r="B39" s="147">
        <v>3</v>
      </c>
      <c r="C39" s="148" t="s">
        <v>113</v>
      </c>
      <c r="D39" s="149" t="s">
        <v>146</v>
      </c>
      <c r="E39" s="150" t="s">
        <v>115</v>
      </c>
      <c r="F39" s="151" t="s">
        <v>125</v>
      </c>
      <c r="G39" s="151" t="s">
        <v>121</v>
      </c>
      <c r="H39" s="151" t="s">
        <v>122</v>
      </c>
      <c r="I39" s="152">
        <v>284</v>
      </c>
    </row>
    <row r="40" spans="1:9" ht="17.399999999999999" thickBot="1" x14ac:dyDescent="0.35">
      <c r="A40" s="171" t="s">
        <v>183</v>
      </c>
      <c r="B40" s="172">
        <v>3</v>
      </c>
      <c r="C40" s="173" t="s">
        <v>120</v>
      </c>
      <c r="D40" s="174" t="s">
        <v>148</v>
      </c>
      <c r="E40" s="175" t="s">
        <v>115</v>
      </c>
      <c r="F40" s="175" t="s">
        <v>116</v>
      </c>
      <c r="G40" s="176" t="s">
        <v>158</v>
      </c>
      <c r="H40" s="175" t="s">
        <v>122</v>
      </c>
      <c r="I40" s="177">
        <v>288</v>
      </c>
    </row>
    <row r="41" spans="1:9" ht="16.2" thickTop="1" x14ac:dyDescent="0.3"/>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8"/>
  <sheetViews>
    <sheetView showGridLines="0" zoomScaleNormal="100" workbookViewId="0"/>
  </sheetViews>
  <sheetFormatPr defaultRowHeight="15.6" x14ac:dyDescent="0.3"/>
  <cols>
    <col min="1" max="1" width="23.8984375" bestFit="1" customWidth="1"/>
    <col min="2" max="2" width="6.19921875" bestFit="1" customWidth="1"/>
    <col min="3" max="3" width="8.19921875" bestFit="1" customWidth="1"/>
    <col min="4" max="4" width="4.09765625" bestFit="1" customWidth="1"/>
    <col min="5" max="5" width="7.69921875" customWidth="1"/>
    <col min="6" max="6" width="3.5" customWidth="1"/>
    <col min="7" max="7" width="16.3984375" bestFit="1" customWidth="1"/>
    <col min="8" max="8" width="3.59765625" bestFit="1" customWidth="1"/>
    <col min="9" max="9" width="3.3984375" bestFit="1" customWidth="1"/>
    <col min="10" max="10" width="3.8984375" bestFit="1" customWidth="1"/>
    <col min="11" max="11" width="3.69921875" bestFit="1" customWidth="1"/>
    <col min="12" max="17" width="3.59765625" bestFit="1" customWidth="1"/>
    <col min="18" max="18" width="3.5" customWidth="1"/>
    <col min="19" max="19" width="23.8984375" bestFit="1" customWidth="1"/>
    <col min="20" max="20" width="6.19921875" bestFit="1" customWidth="1"/>
    <col min="21" max="21" width="8.19921875" bestFit="1" customWidth="1"/>
    <col min="22" max="22" width="4.09765625" bestFit="1" customWidth="1"/>
    <col min="23" max="23" width="6.19921875" bestFit="1" customWidth="1"/>
  </cols>
  <sheetData>
    <row r="1" spans="1:17" ht="25.8" thickBot="1" x14ac:dyDescent="0.35">
      <c r="A1" s="564" t="s">
        <v>399</v>
      </c>
      <c r="B1" s="368"/>
      <c r="C1" s="368"/>
      <c r="D1" s="368"/>
      <c r="E1" s="368"/>
      <c r="G1" s="141"/>
      <c r="H1" s="565" t="s">
        <v>184</v>
      </c>
      <c r="I1" s="196"/>
      <c r="J1" s="140"/>
      <c r="K1" s="197"/>
      <c r="L1" s="140"/>
      <c r="M1" s="140"/>
      <c r="N1" s="140"/>
      <c r="O1" s="197"/>
      <c r="P1" s="197"/>
      <c r="Q1" s="197"/>
    </row>
    <row r="2" spans="1:17" ht="17.399999999999999" thickTop="1" x14ac:dyDescent="0.3">
      <c r="A2" s="179" t="s">
        <v>185</v>
      </c>
      <c r="B2" s="180" t="s">
        <v>8</v>
      </c>
      <c r="C2" s="459" t="s">
        <v>186</v>
      </c>
      <c r="D2" s="180" t="s">
        <v>187</v>
      </c>
      <c r="E2" s="181" t="s">
        <v>188</v>
      </c>
      <c r="G2" s="141"/>
      <c r="H2" s="198" t="s">
        <v>189</v>
      </c>
      <c r="I2" s="199"/>
      <c r="J2" s="200"/>
      <c r="K2" s="200"/>
      <c r="L2" s="200"/>
      <c r="M2" s="200"/>
      <c r="N2" s="200"/>
      <c r="O2" s="200"/>
      <c r="P2" s="200"/>
      <c r="Q2" s="201"/>
    </row>
    <row r="3" spans="1:17" ht="17.399999999999999" thickBot="1" x14ac:dyDescent="0.35">
      <c r="A3" s="182" t="s">
        <v>123</v>
      </c>
      <c r="B3" s="47">
        <v>0</v>
      </c>
      <c r="C3" s="47">
        <v>0</v>
      </c>
      <c r="D3" s="86">
        <f>10+B3+C3+'Personal File'!$C$12</f>
        <v>15</v>
      </c>
      <c r="E3" s="192" t="s">
        <v>200</v>
      </c>
      <c r="G3" s="141"/>
      <c r="H3" s="202" t="s">
        <v>190</v>
      </c>
      <c r="I3" s="203" t="s">
        <v>191</v>
      </c>
      <c r="J3" s="203" t="s">
        <v>192</v>
      </c>
      <c r="K3" s="203" t="s">
        <v>193</v>
      </c>
      <c r="L3" s="203" t="s">
        <v>194</v>
      </c>
      <c r="M3" s="203" t="s">
        <v>195</v>
      </c>
      <c r="N3" s="203" t="s">
        <v>196</v>
      </c>
      <c r="O3" s="203" t="s">
        <v>197</v>
      </c>
      <c r="P3" s="203" t="s">
        <v>198</v>
      </c>
      <c r="Q3" s="204" t="s">
        <v>199</v>
      </c>
    </row>
    <row r="4" spans="1:17" ht="17.399999999999999" thickTop="1" x14ac:dyDescent="0.3">
      <c r="A4" s="182" t="s">
        <v>126</v>
      </c>
      <c r="B4" s="47">
        <v>0</v>
      </c>
      <c r="C4" s="47">
        <v>0</v>
      </c>
      <c r="D4" s="86">
        <f>10+B4+C4+'Personal File'!$C$12</f>
        <v>15</v>
      </c>
      <c r="E4" s="192" t="s">
        <v>401</v>
      </c>
      <c r="G4" s="205" t="s">
        <v>201</v>
      </c>
      <c r="H4" s="206">
        <v>4</v>
      </c>
      <c r="I4" s="207">
        <v>4</v>
      </c>
      <c r="J4" s="207">
        <v>3</v>
      </c>
      <c r="K4" s="207">
        <v>2</v>
      </c>
      <c r="L4" s="208">
        <v>0</v>
      </c>
      <c r="M4" s="208">
        <v>0</v>
      </c>
      <c r="N4" s="208">
        <v>0</v>
      </c>
      <c r="O4" s="208">
        <v>0</v>
      </c>
      <c r="P4" s="208">
        <v>0</v>
      </c>
      <c r="Q4" s="209">
        <v>0</v>
      </c>
    </row>
    <row r="5" spans="1:17" ht="16.8" x14ac:dyDescent="0.3">
      <c r="A5" s="182" t="s">
        <v>133</v>
      </c>
      <c r="B5" s="47">
        <v>0</v>
      </c>
      <c r="C5" s="47">
        <v>0</v>
      </c>
      <c r="D5" s="86">
        <f>10+B5+C5+'Personal File'!$C$12</f>
        <v>15</v>
      </c>
      <c r="E5" s="192" t="s">
        <v>200</v>
      </c>
      <c r="G5" s="210" t="s">
        <v>202</v>
      </c>
      <c r="H5" s="211">
        <v>0</v>
      </c>
      <c r="I5" s="211">
        <v>1</v>
      </c>
      <c r="J5" s="212">
        <v>1</v>
      </c>
      <c r="K5" s="212">
        <v>1</v>
      </c>
      <c r="L5" s="213">
        <v>0</v>
      </c>
      <c r="M5" s="213">
        <v>0</v>
      </c>
      <c r="N5" s="213">
        <v>0</v>
      </c>
      <c r="O5" s="213">
        <v>0</v>
      </c>
      <c r="P5" s="213">
        <v>0</v>
      </c>
      <c r="Q5" s="214">
        <v>0</v>
      </c>
    </row>
    <row r="6" spans="1:17" ht="17.399999999999999" thickBot="1" x14ac:dyDescent="0.35">
      <c r="A6" s="183" t="s">
        <v>136</v>
      </c>
      <c r="B6" s="56">
        <v>0</v>
      </c>
      <c r="C6" s="56">
        <v>0</v>
      </c>
      <c r="D6" s="184">
        <f>10+B6+C6+'Personal File'!$C$12</f>
        <v>15</v>
      </c>
      <c r="E6" s="193" t="s">
        <v>200</v>
      </c>
      <c r="G6" s="215" t="s">
        <v>203</v>
      </c>
      <c r="H6" s="216">
        <f t="shared" ref="H6:Q6" si="0">SUM(H4:H5)</f>
        <v>4</v>
      </c>
      <c r="I6" s="216">
        <f t="shared" si="0"/>
        <v>5</v>
      </c>
      <c r="J6" s="217">
        <f t="shared" si="0"/>
        <v>4</v>
      </c>
      <c r="K6" s="217">
        <f t="shared" ref="K6" si="1">SUM(K4:K5)</f>
        <v>3</v>
      </c>
      <c r="L6" s="218">
        <f t="shared" ref="L6:O6" si="2">SUM(L4:L5)</f>
        <v>0</v>
      </c>
      <c r="M6" s="218">
        <f t="shared" si="2"/>
        <v>0</v>
      </c>
      <c r="N6" s="218">
        <f t="shared" si="2"/>
        <v>0</v>
      </c>
      <c r="O6" s="218">
        <f t="shared" si="2"/>
        <v>0</v>
      </c>
      <c r="P6" s="218">
        <f t="shared" si="0"/>
        <v>0</v>
      </c>
      <c r="Q6" s="219">
        <f t="shared" si="0"/>
        <v>0</v>
      </c>
    </row>
    <row r="7" spans="1:17" ht="17.399999999999999" thickTop="1" x14ac:dyDescent="0.3">
      <c r="A7" s="182" t="s">
        <v>150</v>
      </c>
      <c r="B7" s="47">
        <v>1</v>
      </c>
      <c r="C7" s="47">
        <v>0</v>
      </c>
      <c r="D7" s="86">
        <f>10+B7+C7+'Personal File'!$C$12</f>
        <v>16</v>
      </c>
      <c r="E7" s="192" t="s">
        <v>200</v>
      </c>
      <c r="G7" s="220"/>
      <c r="H7" s="220"/>
      <c r="I7" s="220"/>
      <c r="J7" s="220"/>
      <c r="K7" s="220"/>
      <c r="L7" s="220"/>
      <c r="M7" s="220"/>
      <c r="N7" s="220"/>
      <c r="O7" s="220"/>
      <c r="P7" s="220"/>
      <c r="Q7" s="220"/>
    </row>
    <row r="8" spans="1:17" ht="23.4" thickBot="1" x14ac:dyDescent="0.35">
      <c r="A8" s="182" t="s">
        <v>385</v>
      </c>
      <c r="B8" s="47">
        <v>1</v>
      </c>
      <c r="C8" s="47">
        <v>0</v>
      </c>
      <c r="D8" s="86">
        <f>10+B8+C8+'Personal File'!$C$12</f>
        <v>16</v>
      </c>
      <c r="E8" s="192" t="s">
        <v>200</v>
      </c>
      <c r="G8" s="195" t="s">
        <v>204</v>
      </c>
      <c r="H8" s="221"/>
      <c r="I8" s="221"/>
      <c r="J8" s="221"/>
      <c r="K8" s="221"/>
      <c r="L8" s="221"/>
      <c r="M8" s="221"/>
      <c r="N8" s="221"/>
      <c r="O8" s="221"/>
      <c r="P8" s="221"/>
      <c r="Q8" s="221"/>
    </row>
    <row r="9" spans="1:17" ht="18" thickTop="1" thickBot="1" x14ac:dyDescent="0.35">
      <c r="A9" s="182" t="s">
        <v>156</v>
      </c>
      <c r="B9" s="47">
        <v>1</v>
      </c>
      <c r="C9" s="47">
        <v>0</v>
      </c>
      <c r="D9" s="86">
        <f>10+B9+C9+'Personal File'!$C$12</f>
        <v>16</v>
      </c>
      <c r="E9" s="192" t="s">
        <v>401</v>
      </c>
      <c r="G9" s="222" t="s">
        <v>205</v>
      </c>
      <c r="H9" s="223">
        <v>0</v>
      </c>
      <c r="I9" s="223" t="s">
        <v>191</v>
      </c>
      <c r="J9" s="224" t="s">
        <v>192</v>
      </c>
      <c r="K9" s="224" t="s">
        <v>193</v>
      </c>
      <c r="L9" s="224" t="s">
        <v>194</v>
      </c>
      <c r="M9" s="224" t="s">
        <v>195</v>
      </c>
      <c r="N9" s="224" t="s">
        <v>196</v>
      </c>
      <c r="O9" s="224" t="s">
        <v>197</v>
      </c>
      <c r="P9" s="224" t="s">
        <v>198</v>
      </c>
      <c r="Q9" s="225" t="s">
        <v>199</v>
      </c>
    </row>
    <row r="10" spans="1:17" ht="16.8" x14ac:dyDescent="0.3">
      <c r="A10" s="182" t="s">
        <v>157</v>
      </c>
      <c r="B10" s="47">
        <v>1</v>
      </c>
      <c r="C10" s="47">
        <v>0</v>
      </c>
      <c r="D10" s="86">
        <f>10+B10+C10+'Personal File'!$C$12</f>
        <v>16</v>
      </c>
      <c r="E10" s="192" t="s">
        <v>401</v>
      </c>
      <c r="G10" s="226">
        <v>1</v>
      </c>
      <c r="H10" s="227" t="s">
        <v>206</v>
      </c>
      <c r="I10" s="227">
        <v>8</v>
      </c>
      <c r="J10" s="228"/>
      <c r="K10" s="228"/>
      <c r="L10" s="228"/>
      <c r="M10" s="228"/>
      <c r="N10" s="228"/>
      <c r="O10" s="228"/>
      <c r="P10" s="228"/>
      <c r="Q10" s="229"/>
    </row>
    <row r="11" spans="1:17" ht="16.8" x14ac:dyDescent="0.3">
      <c r="A11" s="183" t="s">
        <v>159</v>
      </c>
      <c r="B11" s="56">
        <v>1</v>
      </c>
      <c r="C11" s="56">
        <v>0</v>
      </c>
      <c r="D11" s="184">
        <f>10+B11+C11+'Personal File'!$C$12</f>
        <v>16</v>
      </c>
      <c r="E11" s="193" t="s">
        <v>401</v>
      </c>
      <c r="G11" s="230">
        <v>2</v>
      </c>
      <c r="H11" s="231" t="s">
        <v>206</v>
      </c>
      <c r="I11" s="231">
        <v>10</v>
      </c>
      <c r="J11" s="232"/>
      <c r="K11" s="232"/>
      <c r="L11" s="232"/>
      <c r="M11" s="232"/>
      <c r="N11" s="232"/>
      <c r="O11" s="232"/>
      <c r="P11" s="232"/>
      <c r="Q11" s="233"/>
    </row>
    <row r="12" spans="1:17" ht="16.8" x14ac:dyDescent="0.3">
      <c r="A12" s="182" t="s">
        <v>286</v>
      </c>
      <c r="B12" s="47">
        <v>2</v>
      </c>
      <c r="C12" s="47">
        <v>0</v>
      </c>
      <c r="D12" s="86">
        <f>10+B12+C12+'Personal File'!$C$12</f>
        <v>17</v>
      </c>
      <c r="E12" s="192" t="s">
        <v>401</v>
      </c>
      <c r="G12" s="230">
        <v>3</v>
      </c>
      <c r="H12" s="231" t="s">
        <v>206</v>
      </c>
      <c r="I12" s="231">
        <v>11</v>
      </c>
      <c r="J12" s="234">
        <v>2</v>
      </c>
      <c r="K12" s="232"/>
      <c r="L12" s="232"/>
      <c r="M12" s="232"/>
      <c r="N12" s="232"/>
      <c r="O12" s="232"/>
      <c r="P12" s="232"/>
      <c r="Q12" s="233"/>
    </row>
    <row r="13" spans="1:17" ht="16.8" x14ac:dyDescent="0.3">
      <c r="A13" s="182" t="s">
        <v>161</v>
      </c>
      <c r="B13" s="47">
        <v>2</v>
      </c>
      <c r="C13" s="47">
        <v>0</v>
      </c>
      <c r="D13" s="86">
        <f>10+B13+C13+'Personal File'!$C$12</f>
        <v>17</v>
      </c>
      <c r="E13" s="192" t="s">
        <v>200</v>
      </c>
      <c r="G13" s="230">
        <v>4</v>
      </c>
      <c r="H13" s="231" t="s">
        <v>206</v>
      </c>
      <c r="I13" s="231">
        <v>11</v>
      </c>
      <c r="J13" s="234">
        <v>4</v>
      </c>
      <c r="K13" s="232"/>
      <c r="L13" s="232"/>
      <c r="M13" s="232"/>
      <c r="N13" s="232"/>
      <c r="O13" s="232"/>
      <c r="P13" s="232"/>
      <c r="Q13" s="233"/>
    </row>
    <row r="14" spans="1:17" ht="16.8" x14ac:dyDescent="0.3">
      <c r="A14" s="182" t="s">
        <v>162</v>
      </c>
      <c r="B14" s="47">
        <v>2</v>
      </c>
      <c r="C14" s="47">
        <v>0</v>
      </c>
      <c r="D14" s="86">
        <f>10+B14+C14+'Personal File'!$C$12</f>
        <v>17</v>
      </c>
      <c r="E14" s="192" t="s">
        <v>401</v>
      </c>
      <c r="G14" s="235">
        <v>5</v>
      </c>
      <c r="H14" s="236" t="s">
        <v>206</v>
      </c>
      <c r="I14" s="236">
        <v>11</v>
      </c>
      <c r="J14" s="237">
        <v>4</v>
      </c>
      <c r="K14" s="237">
        <v>2</v>
      </c>
      <c r="L14" s="232"/>
      <c r="M14" s="232"/>
      <c r="N14" s="232"/>
      <c r="O14" s="232"/>
      <c r="P14" s="232"/>
      <c r="Q14" s="233"/>
    </row>
    <row r="15" spans="1:17" ht="16.8" x14ac:dyDescent="0.3">
      <c r="A15" s="183" t="s">
        <v>168</v>
      </c>
      <c r="B15" s="56">
        <v>2</v>
      </c>
      <c r="C15" s="56">
        <v>0</v>
      </c>
      <c r="D15" s="184">
        <f>10+B15+C15+'Personal File'!$C$12</f>
        <v>17</v>
      </c>
      <c r="E15" s="462" t="s">
        <v>200</v>
      </c>
      <c r="G15" s="230">
        <v>6</v>
      </c>
      <c r="H15" s="231" t="s">
        <v>206</v>
      </c>
      <c r="I15" s="231">
        <v>11</v>
      </c>
      <c r="J15" s="234">
        <v>4</v>
      </c>
      <c r="K15" s="234">
        <v>4</v>
      </c>
      <c r="L15" s="232"/>
      <c r="M15" s="232"/>
      <c r="N15" s="232"/>
      <c r="O15" s="232"/>
      <c r="P15" s="232"/>
      <c r="Q15" s="233"/>
    </row>
    <row r="16" spans="1:17" ht="16.8" x14ac:dyDescent="0.3">
      <c r="A16" s="182" t="s">
        <v>173</v>
      </c>
      <c r="B16" s="47">
        <v>3</v>
      </c>
      <c r="C16" s="47">
        <v>0</v>
      </c>
      <c r="D16" s="86">
        <f>10+B16+C16+'Personal File'!$C$12</f>
        <v>18</v>
      </c>
      <c r="E16" s="192" t="s">
        <v>401</v>
      </c>
      <c r="G16" s="230">
        <v>7</v>
      </c>
      <c r="H16" s="231" t="s">
        <v>206</v>
      </c>
      <c r="I16" s="231">
        <v>11</v>
      </c>
      <c r="J16" s="234">
        <v>4</v>
      </c>
      <c r="K16" s="234">
        <v>4</v>
      </c>
      <c r="L16" s="234">
        <v>2</v>
      </c>
      <c r="M16" s="232"/>
      <c r="N16" s="232"/>
      <c r="O16" s="232"/>
      <c r="P16" s="232"/>
      <c r="Q16" s="233"/>
    </row>
    <row r="17" spans="1:17" ht="16.8" x14ac:dyDescent="0.3">
      <c r="A17" s="182" t="s">
        <v>181</v>
      </c>
      <c r="B17" s="47">
        <v>3</v>
      </c>
      <c r="C17" s="47">
        <v>0</v>
      </c>
      <c r="D17" s="86">
        <f>10+B17+C17+'Personal File'!$C$12</f>
        <v>18</v>
      </c>
      <c r="E17" s="192" t="s">
        <v>401</v>
      </c>
      <c r="G17" s="230">
        <v>8</v>
      </c>
      <c r="H17" s="231" t="s">
        <v>206</v>
      </c>
      <c r="I17" s="231">
        <v>11</v>
      </c>
      <c r="J17" s="234">
        <v>4</v>
      </c>
      <c r="K17" s="234">
        <v>4</v>
      </c>
      <c r="L17" s="234">
        <v>4</v>
      </c>
      <c r="M17" s="232"/>
      <c r="N17" s="232"/>
      <c r="O17" s="232"/>
      <c r="P17" s="232"/>
      <c r="Q17" s="233"/>
    </row>
    <row r="18" spans="1:17" ht="17.399999999999999" thickBot="1" x14ac:dyDescent="0.35">
      <c r="A18" s="185" t="s">
        <v>183</v>
      </c>
      <c r="B18" s="125">
        <v>3</v>
      </c>
      <c r="C18" s="125">
        <v>0</v>
      </c>
      <c r="D18" s="186">
        <f>10+B18+C18+'Personal File'!$C$12</f>
        <v>18</v>
      </c>
      <c r="E18" s="194" t="s">
        <v>401</v>
      </c>
      <c r="G18" s="230">
        <v>9</v>
      </c>
      <c r="H18" s="231" t="s">
        <v>206</v>
      </c>
      <c r="I18" s="231">
        <v>11</v>
      </c>
      <c r="J18" s="234">
        <v>4</v>
      </c>
      <c r="K18" s="234">
        <v>4</v>
      </c>
      <c r="L18" s="234">
        <v>4</v>
      </c>
      <c r="M18" s="234">
        <v>2</v>
      </c>
      <c r="N18" s="232"/>
      <c r="O18" s="232"/>
      <c r="P18" s="232"/>
      <c r="Q18" s="233"/>
    </row>
    <row r="19" spans="1:17" ht="16.2" thickTop="1" x14ac:dyDescent="0.3">
      <c r="G19" s="230">
        <v>10</v>
      </c>
      <c r="H19" s="231" t="s">
        <v>206</v>
      </c>
      <c r="I19" s="231">
        <v>11</v>
      </c>
      <c r="J19" s="234">
        <v>4</v>
      </c>
      <c r="K19" s="234">
        <v>4</v>
      </c>
      <c r="L19" s="234">
        <v>4</v>
      </c>
      <c r="M19" s="234">
        <v>4</v>
      </c>
      <c r="N19" s="232"/>
      <c r="O19" s="232"/>
      <c r="P19" s="232"/>
      <c r="Q19" s="233"/>
    </row>
    <row r="20" spans="1:17" ht="25.8" thickBot="1" x14ac:dyDescent="0.35">
      <c r="A20" s="564" t="s">
        <v>207</v>
      </c>
      <c r="B20" s="140"/>
      <c r="C20" s="140"/>
      <c r="D20" s="140"/>
      <c r="E20" s="140"/>
      <c r="G20" s="230">
        <v>11</v>
      </c>
      <c r="H20" s="231" t="s">
        <v>206</v>
      </c>
      <c r="I20" s="231">
        <v>11</v>
      </c>
      <c r="J20" s="234">
        <v>4</v>
      </c>
      <c r="K20" s="234">
        <v>4</v>
      </c>
      <c r="L20" s="234">
        <v>4</v>
      </c>
      <c r="M20" s="234">
        <v>4</v>
      </c>
      <c r="N20" s="234">
        <v>2</v>
      </c>
      <c r="O20" s="232"/>
      <c r="P20" s="232"/>
      <c r="Q20" s="233"/>
    </row>
    <row r="21" spans="1:17" ht="17.399999999999999" thickTop="1" x14ac:dyDescent="0.3">
      <c r="A21" s="190" t="s">
        <v>104</v>
      </c>
      <c r="B21" s="187" t="s">
        <v>8</v>
      </c>
      <c r="C21" s="187" t="s">
        <v>208</v>
      </c>
      <c r="D21" s="187" t="s">
        <v>187</v>
      </c>
      <c r="E21" s="191" t="s">
        <v>188</v>
      </c>
      <c r="G21" s="230">
        <v>12</v>
      </c>
      <c r="H21" s="231" t="s">
        <v>206</v>
      </c>
      <c r="I21" s="231">
        <v>11</v>
      </c>
      <c r="J21" s="234">
        <v>4</v>
      </c>
      <c r="K21" s="234">
        <v>4</v>
      </c>
      <c r="L21" s="234">
        <v>4</v>
      </c>
      <c r="M21" s="234">
        <v>4</v>
      </c>
      <c r="N21" s="234">
        <v>4</v>
      </c>
      <c r="O21" s="232"/>
      <c r="P21" s="232"/>
      <c r="Q21" s="233"/>
    </row>
    <row r="22" spans="1:17" ht="16.8" x14ac:dyDescent="0.3">
      <c r="A22" s="541" t="s">
        <v>209</v>
      </c>
      <c r="B22" s="542">
        <v>0</v>
      </c>
      <c r="C22" s="542">
        <v>1</v>
      </c>
      <c r="D22" s="543">
        <f>10+B22+C22+'Personal File'!$C$12+1</f>
        <v>17</v>
      </c>
      <c r="E22" s="192" t="s">
        <v>200</v>
      </c>
      <c r="G22" s="230">
        <v>13</v>
      </c>
      <c r="H22" s="231" t="s">
        <v>206</v>
      </c>
      <c r="I22" s="231">
        <v>11</v>
      </c>
      <c r="J22" s="234">
        <v>4</v>
      </c>
      <c r="K22" s="234">
        <v>4</v>
      </c>
      <c r="L22" s="234">
        <v>4</v>
      </c>
      <c r="M22" s="234">
        <v>4</v>
      </c>
      <c r="N22" s="234">
        <v>4</v>
      </c>
      <c r="O22" s="234">
        <v>2</v>
      </c>
      <c r="P22" s="232"/>
      <c r="Q22" s="233"/>
    </row>
    <row r="23" spans="1:17" ht="16.8" x14ac:dyDescent="0.3">
      <c r="A23" s="188" t="s">
        <v>210</v>
      </c>
      <c r="B23" s="47">
        <v>0</v>
      </c>
      <c r="C23" s="47">
        <v>0</v>
      </c>
      <c r="D23" s="86">
        <f>10+B23+C23+'Personal File'!$C$12+1</f>
        <v>16</v>
      </c>
      <c r="E23" s="192" t="s">
        <v>200</v>
      </c>
      <c r="G23" s="230">
        <v>14</v>
      </c>
      <c r="H23" s="231" t="s">
        <v>206</v>
      </c>
      <c r="I23" s="231">
        <v>11</v>
      </c>
      <c r="J23" s="234">
        <v>4</v>
      </c>
      <c r="K23" s="234">
        <v>4</v>
      </c>
      <c r="L23" s="234">
        <v>4</v>
      </c>
      <c r="M23" s="234">
        <v>4</v>
      </c>
      <c r="N23" s="234">
        <v>4</v>
      </c>
      <c r="O23" s="234">
        <v>4</v>
      </c>
      <c r="P23" s="232"/>
      <c r="Q23" s="233"/>
    </row>
    <row r="24" spans="1:17" ht="16.8" x14ac:dyDescent="0.3">
      <c r="A24" s="188" t="s">
        <v>138</v>
      </c>
      <c r="B24" s="47">
        <v>0</v>
      </c>
      <c r="C24" s="47">
        <v>0</v>
      </c>
      <c r="D24" s="86">
        <f>10+B24+C24+'Personal File'!$C$12+1</f>
        <v>16</v>
      </c>
      <c r="E24" s="192" t="s">
        <v>200</v>
      </c>
      <c r="G24" s="230">
        <v>15</v>
      </c>
      <c r="H24" s="231" t="s">
        <v>206</v>
      </c>
      <c r="I24" s="231">
        <v>11</v>
      </c>
      <c r="J24" s="234">
        <v>4</v>
      </c>
      <c r="K24" s="234">
        <v>4</v>
      </c>
      <c r="L24" s="234">
        <v>4</v>
      </c>
      <c r="M24" s="234">
        <v>4</v>
      </c>
      <c r="N24" s="234">
        <v>4</v>
      </c>
      <c r="O24" s="234">
        <v>4</v>
      </c>
      <c r="P24" s="234">
        <v>2</v>
      </c>
      <c r="Q24" s="233"/>
    </row>
    <row r="25" spans="1:17" ht="17.399999999999999" thickBot="1" x14ac:dyDescent="0.35">
      <c r="A25" s="189" t="s">
        <v>211</v>
      </c>
      <c r="B25" s="125">
        <v>0</v>
      </c>
      <c r="C25" s="125">
        <v>0</v>
      </c>
      <c r="D25" s="186">
        <f>10+B25+C25+'Personal File'!$C$12+1</f>
        <v>16</v>
      </c>
      <c r="E25" s="194" t="s">
        <v>200</v>
      </c>
      <c r="G25" s="230">
        <v>16</v>
      </c>
      <c r="H25" s="231" t="s">
        <v>206</v>
      </c>
      <c r="I25" s="231">
        <v>11</v>
      </c>
      <c r="J25" s="234">
        <v>4</v>
      </c>
      <c r="K25" s="234">
        <v>4</v>
      </c>
      <c r="L25" s="234">
        <v>4</v>
      </c>
      <c r="M25" s="234">
        <v>4</v>
      </c>
      <c r="N25" s="234">
        <v>4</v>
      </c>
      <c r="O25" s="234">
        <v>4</v>
      </c>
      <c r="P25" s="234">
        <v>4</v>
      </c>
      <c r="Q25" s="233"/>
    </row>
    <row r="26" spans="1:17" ht="16.2" thickTop="1" x14ac:dyDescent="0.3">
      <c r="G26" s="230">
        <v>17</v>
      </c>
      <c r="H26" s="231" t="s">
        <v>206</v>
      </c>
      <c r="I26" s="231">
        <v>11</v>
      </c>
      <c r="J26" s="234">
        <v>4</v>
      </c>
      <c r="K26" s="234">
        <v>4</v>
      </c>
      <c r="L26" s="234">
        <v>4</v>
      </c>
      <c r="M26" s="234">
        <v>4</v>
      </c>
      <c r="N26" s="234">
        <v>4</v>
      </c>
      <c r="O26" s="234">
        <v>4</v>
      </c>
      <c r="P26" s="234">
        <v>4</v>
      </c>
      <c r="Q26" s="238">
        <v>2</v>
      </c>
    </row>
    <row r="27" spans="1:17" ht="16.2" thickBot="1" x14ac:dyDescent="0.35">
      <c r="G27" s="239">
        <v>18</v>
      </c>
      <c r="H27" s="240" t="s">
        <v>206</v>
      </c>
      <c r="I27" s="240">
        <v>11</v>
      </c>
      <c r="J27" s="241">
        <v>4</v>
      </c>
      <c r="K27" s="241">
        <v>4</v>
      </c>
      <c r="L27" s="241">
        <v>4</v>
      </c>
      <c r="M27" s="241">
        <v>4</v>
      </c>
      <c r="N27" s="241">
        <v>4</v>
      </c>
      <c r="O27" s="241">
        <v>4</v>
      </c>
      <c r="P27" s="241">
        <v>4</v>
      </c>
      <c r="Q27" s="242">
        <v>4</v>
      </c>
    </row>
    <row r="28" spans="1:17" ht="16.2" thickTop="1" x14ac:dyDescent="0.3"/>
  </sheetData>
  <sortState xmlns:xlrd2="http://schemas.microsoft.com/office/spreadsheetml/2017/richdata2" ref="A3:E18">
    <sortCondition ref="B3:B18"/>
    <sortCondition ref="A3:A18"/>
  </sortState>
  <conditionalFormatting sqref="E3:E18">
    <cfRule type="cellIs" dxfId="12" priority="5" operator="equal">
      <formula>"þ"</formula>
    </cfRule>
  </conditionalFormatting>
  <conditionalFormatting sqref="E20:E25">
    <cfRule type="cellIs" dxfId="11" priority="24" operator="equal">
      <formula>"þ"</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8EFC7-902A-4104-982F-898F3E6E86ED}">
  <dimension ref="A1:K19"/>
  <sheetViews>
    <sheetView showGridLines="0" zoomScaleNormal="100" workbookViewId="0"/>
  </sheetViews>
  <sheetFormatPr defaultRowHeight="15.6" x14ac:dyDescent="0.3"/>
  <cols>
    <col min="1" max="1" width="23.8984375" bestFit="1" customWidth="1"/>
    <col min="2" max="2" width="6.19921875" bestFit="1" customWidth="1"/>
    <col min="3" max="3" width="6.796875" bestFit="1" customWidth="1"/>
    <col min="4" max="4" width="4.09765625" bestFit="1" customWidth="1"/>
    <col min="5" max="5" width="6.296875" bestFit="1" customWidth="1"/>
    <col min="6" max="6" width="2.69921875" customWidth="1"/>
    <col min="7" max="7" width="23.8984375" bestFit="1" customWidth="1"/>
    <col min="8" max="8" width="6.19921875" bestFit="1" customWidth="1"/>
    <col min="9" max="9" width="6.796875" bestFit="1" customWidth="1"/>
    <col min="10" max="10" width="4.09765625" bestFit="1" customWidth="1"/>
    <col min="11" max="11" width="6.296875" bestFit="1" customWidth="1"/>
  </cols>
  <sheetData>
    <row r="1" spans="1:11" ht="25.8" thickBot="1" x14ac:dyDescent="0.35">
      <c r="A1" s="564" t="s">
        <v>400</v>
      </c>
      <c r="B1" s="368"/>
      <c r="C1" s="368"/>
      <c r="D1" s="368"/>
      <c r="E1" s="368"/>
      <c r="G1" s="564" t="s">
        <v>386</v>
      </c>
      <c r="H1" s="368"/>
      <c r="I1" s="368"/>
      <c r="J1" s="368"/>
      <c r="K1" s="368"/>
    </row>
    <row r="2" spans="1:11" ht="17.399999999999999" thickTop="1" x14ac:dyDescent="0.3">
      <c r="A2" s="179" t="s">
        <v>185</v>
      </c>
      <c r="B2" s="180" t="s">
        <v>8</v>
      </c>
      <c r="C2" s="459" t="s">
        <v>186</v>
      </c>
      <c r="D2" s="180" t="s">
        <v>187</v>
      </c>
      <c r="E2" s="181" t="s">
        <v>188</v>
      </c>
      <c r="G2" s="179" t="s">
        <v>185</v>
      </c>
      <c r="H2" s="180" t="s">
        <v>8</v>
      </c>
      <c r="I2" s="459" t="s">
        <v>186</v>
      </c>
      <c r="J2" s="180" t="s">
        <v>187</v>
      </c>
      <c r="K2" s="181" t="s">
        <v>188</v>
      </c>
    </row>
    <row r="3" spans="1:11" ht="16.8" x14ac:dyDescent="0.3">
      <c r="A3" s="182" t="s">
        <v>123</v>
      </c>
      <c r="B3" s="47">
        <v>0</v>
      </c>
      <c r="C3" s="47">
        <v>0</v>
      </c>
      <c r="D3" s="86">
        <f>10+B3+C3+'Personal File'!$C$12</f>
        <v>15</v>
      </c>
      <c r="E3" s="192" t="s">
        <v>200</v>
      </c>
      <c r="G3" s="182" t="s">
        <v>119</v>
      </c>
      <c r="H3" s="47">
        <v>0</v>
      </c>
      <c r="I3" s="47">
        <v>0</v>
      </c>
      <c r="J3" s="86">
        <f>10+H3+I3+'Personal File'!$C$12</f>
        <v>15</v>
      </c>
      <c r="K3" s="192" t="s">
        <v>200</v>
      </c>
    </row>
    <row r="4" spans="1:11" ht="16.8" x14ac:dyDescent="0.3">
      <c r="A4" s="182" t="s">
        <v>126</v>
      </c>
      <c r="B4" s="47">
        <v>0</v>
      </c>
      <c r="C4" s="47">
        <v>0</v>
      </c>
      <c r="D4" s="86">
        <f>10+B4+C4+'Personal File'!$C$12</f>
        <v>15</v>
      </c>
      <c r="E4" s="192" t="s">
        <v>200</v>
      </c>
      <c r="G4" s="182" t="s">
        <v>133</v>
      </c>
      <c r="H4" s="47">
        <v>0</v>
      </c>
      <c r="I4" s="47">
        <v>0</v>
      </c>
      <c r="J4" s="86">
        <f>10+H4+I4+'Personal File'!$C$12</f>
        <v>15</v>
      </c>
      <c r="K4" s="192" t="s">
        <v>200</v>
      </c>
    </row>
    <row r="5" spans="1:11" ht="16.8" x14ac:dyDescent="0.3">
      <c r="A5" s="182" t="s">
        <v>133</v>
      </c>
      <c r="B5" s="47">
        <v>0</v>
      </c>
      <c r="C5" s="47">
        <v>0</v>
      </c>
      <c r="D5" s="86">
        <f>10+B5+C5+'Personal File'!$C$12</f>
        <v>15</v>
      </c>
      <c r="E5" s="192" t="s">
        <v>200</v>
      </c>
      <c r="G5" s="182" t="s">
        <v>136</v>
      </c>
      <c r="H5" s="47">
        <v>0</v>
      </c>
      <c r="I5" s="47">
        <v>0</v>
      </c>
      <c r="J5" s="86">
        <f>10+H5+I5+'Personal File'!$C$12</f>
        <v>15</v>
      </c>
      <c r="K5" s="192" t="s">
        <v>200</v>
      </c>
    </row>
    <row r="6" spans="1:11" ht="16.8" x14ac:dyDescent="0.3">
      <c r="A6" s="183" t="s">
        <v>144</v>
      </c>
      <c r="B6" s="56">
        <v>0</v>
      </c>
      <c r="C6" s="56">
        <v>0</v>
      </c>
      <c r="D6" s="184">
        <f>10+B6+C6+'Personal File'!$C$12</f>
        <v>15</v>
      </c>
      <c r="E6" s="193" t="s">
        <v>200</v>
      </c>
      <c r="G6" s="183" t="s">
        <v>144</v>
      </c>
      <c r="H6" s="56">
        <v>0</v>
      </c>
      <c r="I6" s="56">
        <v>0</v>
      </c>
      <c r="J6" s="184">
        <f>10+H6+I6+'Personal File'!$C$12</f>
        <v>15</v>
      </c>
      <c r="K6" s="193" t="s">
        <v>200</v>
      </c>
    </row>
    <row r="7" spans="1:11" ht="16.8" x14ac:dyDescent="0.3">
      <c r="A7" s="182" t="s">
        <v>150</v>
      </c>
      <c r="B7" s="47">
        <v>1</v>
      </c>
      <c r="C7" s="47">
        <v>0</v>
      </c>
      <c r="D7" s="86">
        <f>10+B7+C7+'Personal File'!$C$12</f>
        <v>16</v>
      </c>
      <c r="E7" s="192" t="s">
        <v>200</v>
      </c>
      <c r="G7" s="182" t="s">
        <v>150</v>
      </c>
      <c r="H7" s="47">
        <v>1</v>
      </c>
      <c r="I7" s="47">
        <v>0</v>
      </c>
      <c r="J7" s="86">
        <f>10+H7+I7+'Personal File'!$C$12</f>
        <v>16</v>
      </c>
      <c r="K7" s="192" t="s">
        <v>200</v>
      </c>
    </row>
    <row r="8" spans="1:11" ht="16.8" x14ac:dyDescent="0.3">
      <c r="A8" s="182" t="s">
        <v>152</v>
      </c>
      <c r="B8" s="47">
        <v>1</v>
      </c>
      <c r="C8" s="47">
        <v>0</v>
      </c>
      <c r="D8" s="86">
        <f>10+B8+C8+'Personal File'!$C$12</f>
        <v>16</v>
      </c>
      <c r="E8" s="192" t="s">
        <v>200</v>
      </c>
      <c r="G8" s="182" t="s">
        <v>154</v>
      </c>
      <c r="H8" s="47">
        <v>1</v>
      </c>
      <c r="I8" s="47">
        <v>0</v>
      </c>
      <c r="J8" s="86">
        <f>10+H8+I8+'Personal File'!$C$12</f>
        <v>16</v>
      </c>
      <c r="K8" s="192" t="s">
        <v>200</v>
      </c>
    </row>
    <row r="9" spans="1:11" ht="16.8" x14ac:dyDescent="0.3">
      <c r="A9" s="182" t="s">
        <v>156</v>
      </c>
      <c r="B9" s="47">
        <v>1</v>
      </c>
      <c r="C9" s="47">
        <v>0</v>
      </c>
      <c r="D9" s="86">
        <f>10+B9+C9+'Personal File'!$C$12</f>
        <v>16</v>
      </c>
      <c r="E9" s="192" t="s">
        <v>200</v>
      </c>
      <c r="G9" s="182" t="s">
        <v>156</v>
      </c>
      <c r="H9" s="47">
        <v>1</v>
      </c>
      <c r="I9" s="47">
        <v>0</v>
      </c>
      <c r="J9" s="86">
        <f>10+H9+I9+'Personal File'!$C$12</f>
        <v>16</v>
      </c>
      <c r="K9" s="192" t="s">
        <v>200</v>
      </c>
    </row>
    <row r="10" spans="1:11" ht="16.8" x14ac:dyDescent="0.3">
      <c r="A10" s="182" t="s">
        <v>157</v>
      </c>
      <c r="B10" s="47">
        <v>1</v>
      </c>
      <c r="C10" s="47">
        <v>0</v>
      </c>
      <c r="D10" s="86">
        <f>10+B10+C10+'Personal File'!$C$12</f>
        <v>16</v>
      </c>
      <c r="E10" s="192" t="s">
        <v>200</v>
      </c>
      <c r="G10" s="182" t="s">
        <v>157</v>
      </c>
      <c r="H10" s="47">
        <v>1</v>
      </c>
      <c r="I10" s="47">
        <v>0</v>
      </c>
      <c r="J10" s="86">
        <f>10+H10+I10+'Personal File'!$C$12</f>
        <v>16</v>
      </c>
      <c r="K10" s="192" t="s">
        <v>200</v>
      </c>
    </row>
    <row r="11" spans="1:11" ht="16.8" x14ac:dyDescent="0.3">
      <c r="A11" s="183" t="s">
        <v>159</v>
      </c>
      <c r="B11" s="56">
        <v>1</v>
      </c>
      <c r="C11" s="56">
        <v>0</v>
      </c>
      <c r="D11" s="184">
        <f>10+B11+C11+'Personal File'!$C$12</f>
        <v>16</v>
      </c>
      <c r="E11" s="193" t="s">
        <v>200</v>
      </c>
      <c r="G11" s="183" t="s">
        <v>159</v>
      </c>
      <c r="H11" s="56">
        <v>1</v>
      </c>
      <c r="I11" s="56">
        <v>0</v>
      </c>
      <c r="J11" s="184">
        <f>10+H11+I11+'Personal File'!$C$12</f>
        <v>16</v>
      </c>
      <c r="K11" s="193" t="s">
        <v>200</v>
      </c>
    </row>
    <row r="12" spans="1:11" ht="16.8" x14ac:dyDescent="0.3">
      <c r="A12" s="182" t="s">
        <v>161</v>
      </c>
      <c r="B12" s="47">
        <v>2</v>
      </c>
      <c r="C12" s="47">
        <v>0</v>
      </c>
      <c r="D12" s="86">
        <f>10+B12+C12+'Personal File'!$C$12</f>
        <v>17</v>
      </c>
      <c r="E12" s="192" t="s">
        <v>200</v>
      </c>
      <c r="G12" s="182" t="s">
        <v>161</v>
      </c>
      <c r="H12" s="47">
        <v>2</v>
      </c>
      <c r="I12" s="47">
        <v>0</v>
      </c>
      <c r="J12" s="86">
        <f>10+H12+I12+'Personal File'!$C$12</f>
        <v>17</v>
      </c>
      <c r="K12" s="192" t="s">
        <v>200</v>
      </c>
    </row>
    <row r="13" spans="1:11" ht="16.8" x14ac:dyDescent="0.3">
      <c r="A13" s="182" t="s">
        <v>162</v>
      </c>
      <c r="B13" s="47">
        <v>2</v>
      </c>
      <c r="C13" s="47">
        <v>0</v>
      </c>
      <c r="D13" s="86">
        <f>10+B13+C13+'Personal File'!$C$12</f>
        <v>17</v>
      </c>
      <c r="E13" s="192" t="s">
        <v>200</v>
      </c>
      <c r="G13" s="182" t="s">
        <v>162</v>
      </c>
      <c r="H13" s="47">
        <v>2</v>
      </c>
      <c r="I13" s="47">
        <v>0</v>
      </c>
      <c r="J13" s="86">
        <f>10+H13+I13+'Personal File'!$C$12</f>
        <v>17</v>
      </c>
      <c r="K13" s="192" t="s">
        <v>200</v>
      </c>
    </row>
    <row r="14" spans="1:11" ht="16.8" x14ac:dyDescent="0.3">
      <c r="A14" s="182" t="s">
        <v>165</v>
      </c>
      <c r="B14" s="47">
        <v>2</v>
      </c>
      <c r="C14" s="47">
        <v>0</v>
      </c>
      <c r="D14" s="86">
        <f>10+B14+C14+'Personal File'!$C$12</f>
        <v>17</v>
      </c>
      <c r="E14" s="192" t="s">
        <v>200</v>
      </c>
      <c r="G14" s="182" t="s">
        <v>165</v>
      </c>
      <c r="H14" s="47">
        <v>2</v>
      </c>
      <c r="I14" s="47">
        <v>0</v>
      </c>
      <c r="J14" s="86">
        <f>10+H14+I14+'Personal File'!$C$12</f>
        <v>17</v>
      </c>
      <c r="K14" s="192" t="s">
        <v>200</v>
      </c>
    </row>
    <row r="15" spans="1:11" ht="16.8" x14ac:dyDescent="0.3">
      <c r="A15" s="183" t="s">
        <v>168</v>
      </c>
      <c r="B15" s="56">
        <v>2</v>
      </c>
      <c r="C15" s="56">
        <v>0</v>
      </c>
      <c r="D15" s="184">
        <f>10+B15+C15+'Personal File'!$C$12</f>
        <v>17</v>
      </c>
      <c r="E15" s="462" t="s">
        <v>200</v>
      </c>
      <c r="G15" s="183" t="s">
        <v>168</v>
      </c>
      <c r="H15" s="56">
        <v>2</v>
      </c>
      <c r="I15" s="56">
        <v>0</v>
      </c>
      <c r="J15" s="184">
        <f>10+H15+I15+'Personal File'!$C$12</f>
        <v>17</v>
      </c>
      <c r="K15" s="462" t="s">
        <v>200</v>
      </c>
    </row>
    <row r="16" spans="1:11" ht="16.8" x14ac:dyDescent="0.3">
      <c r="A16" s="182" t="s">
        <v>170</v>
      </c>
      <c r="B16" s="47">
        <v>3</v>
      </c>
      <c r="C16" s="47">
        <v>0</v>
      </c>
      <c r="D16" s="86">
        <f>10+B16+C16+'Personal File'!$C$12</f>
        <v>18</v>
      </c>
      <c r="E16" s="192" t="s">
        <v>200</v>
      </c>
      <c r="G16" s="182" t="s">
        <v>170</v>
      </c>
      <c r="H16" s="47">
        <v>3</v>
      </c>
      <c r="I16" s="47">
        <v>0</v>
      </c>
      <c r="J16" s="86">
        <f>10+H16+I16+'Personal File'!$C$12</f>
        <v>18</v>
      </c>
      <c r="K16" s="192" t="s">
        <v>200</v>
      </c>
    </row>
    <row r="17" spans="1:11" ht="16.8" x14ac:dyDescent="0.3">
      <c r="A17" s="182" t="s">
        <v>181</v>
      </c>
      <c r="B17" s="47">
        <v>3</v>
      </c>
      <c r="C17" s="47">
        <v>0</v>
      </c>
      <c r="D17" s="86">
        <f>10+B17+C17+'Personal File'!$C$12</f>
        <v>18</v>
      </c>
      <c r="E17" s="192" t="s">
        <v>200</v>
      </c>
      <c r="G17" s="182" t="s">
        <v>182</v>
      </c>
      <c r="H17" s="47">
        <v>3</v>
      </c>
      <c r="I17" s="47">
        <v>0</v>
      </c>
      <c r="J17" s="86">
        <f>10+H17+I17+'Personal File'!$C$12</f>
        <v>18</v>
      </c>
      <c r="K17" s="192" t="s">
        <v>200</v>
      </c>
    </row>
    <row r="18" spans="1:11" ht="17.399999999999999" thickBot="1" x14ac:dyDescent="0.35">
      <c r="A18" s="185" t="s">
        <v>169</v>
      </c>
      <c r="B18" s="125">
        <v>3</v>
      </c>
      <c r="C18" s="125">
        <v>0</v>
      </c>
      <c r="D18" s="186">
        <f>10+B18+C18+'Personal File'!$C$12</f>
        <v>18</v>
      </c>
      <c r="E18" s="194" t="s">
        <v>200</v>
      </c>
      <c r="G18" s="185" t="s">
        <v>183</v>
      </c>
      <c r="H18" s="125">
        <v>3</v>
      </c>
      <c r="I18" s="125">
        <v>0</v>
      </c>
      <c r="J18" s="186">
        <f>10+H18+I18+'Personal File'!$C$12</f>
        <v>18</v>
      </c>
      <c r="K18" s="194" t="s">
        <v>200</v>
      </c>
    </row>
    <row r="19" spans="1:11" ht="16.2" thickTop="1" x14ac:dyDescent="0.3"/>
  </sheetData>
  <sortState xmlns:xlrd2="http://schemas.microsoft.com/office/spreadsheetml/2017/richdata2" ref="A3:E18">
    <sortCondition ref="B3:B18"/>
    <sortCondition ref="A3:A18"/>
  </sortState>
  <conditionalFormatting sqref="E3:E18">
    <cfRule type="cellIs" dxfId="10" priority="3" operator="equal">
      <formula>"þ"</formula>
    </cfRule>
  </conditionalFormatting>
  <conditionalFormatting sqref="K3:K18">
    <cfRule type="cellIs" dxfId="9" priority="1" operator="equal">
      <formula>"þ"</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showGridLines="0" workbookViewId="0"/>
  </sheetViews>
  <sheetFormatPr defaultRowHeight="15.6" x14ac:dyDescent="0.3"/>
  <cols>
    <col min="1" max="1" width="32.59765625" bestFit="1" customWidth="1"/>
    <col min="2" max="2" width="3.19921875" customWidth="1"/>
    <col min="3" max="3" width="34.19921875" bestFit="1" customWidth="1"/>
    <col min="4" max="4" width="3.19921875" customWidth="1"/>
    <col min="5" max="5" width="37.59765625" bestFit="1" customWidth="1"/>
  </cols>
  <sheetData>
    <row r="1" spans="1:5" ht="22.2" thickTop="1" thickBot="1" x14ac:dyDescent="0.35">
      <c r="A1" s="243" t="s">
        <v>212</v>
      </c>
      <c r="B1" s="10"/>
      <c r="C1" s="244" t="s">
        <v>213</v>
      </c>
      <c r="E1" s="461" t="s">
        <v>214</v>
      </c>
    </row>
    <row r="2" spans="1:5" ht="16.8" x14ac:dyDescent="0.3">
      <c r="A2" s="245" t="s">
        <v>215</v>
      </c>
      <c r="B2" s="10"/>
      <c r="C2" s="246" t="s">
        <v>216</v>
      </c>
      <c r="E2" s="452" t="s">
        <v>217</v>
      </c>
    </row>
    <row r="3" spans="1:5" ht="16.8" x14ac:dyDescent="0.3">
      <c r="A3" s="579" t="s">
        <v>406</v>
      </c>
      <c r="B3" s="10"/>
      <c r="C3" s="247" t="s">
        <v>218</v>
      </c>
      <c r="E3" s="452" t="s">
        <v>219</v>
      </c>
    </row>
    <row r="4" spans="1:5" ht="17.399999999999999" thickBot="1" x14ac:dyDescent="0.35">
      <c r="A4" s="580" t="s">
        <v>220</v>
      </c>
      <c r="B4" s="10"/>
      <c r="C4" s="248" t="s">
        <v>221</v>
      </c>
      <c r="E4" s="467" t="s">
        <v>222</v>
      </c>
    </row>
    <row r="5" spans="1:5" ht="18" thickTop="1" thickBot="1" x14ac:dyDescent="0.35">
      <c r="A5" s="23"/>
      <c r="B5" s="10"/>
      <c r="C5" s="23"/>
      <c r="E5" s="453" t="s">
        <v>224</v>
      </c>
    </row>
    <row r="6" spans="1:5" ht="22.2" thickTop="1" thickBot="1" x14ac:dyDescent="0.35">
      <c r="A6" s="243" t="s">
        <v>229</v>
      </c>
      <c r="B6" s="10"/>
      <c r="C6" s="249" t="s">
        <v>226</v>
      </c>
      <c r="E6" s="468" t="s">
        <v>227</v>
      </c>
    </row>
    <row r="7" spans="1:5" ht="17.399999999999999" thickBot="1" x14ac:dyDescent="0.35">
      <c r="A7" s="251" t="s">
        <v>231</v>
      </c>
      <c r="B7" s="10"/>
      <c r="C7" s="250" t="s">
        <v>228</v>
      </c>
    </row>
    <row r="8" spans="1:5" ht="22.2" thickTop="1" thickBot="1" x14ac:dyDescent="0.35">
      <c r="A8" s="251" t="s">
        <v>233</v>
      </c>
      <c r="B8" s="10"/>
      <c r="C8" s="250" t="s">
        <v>230</v>
      </c>
      <c r="E8" s="461" t="s">
        <v>384</v>
      </c>
    </row>
    <row r="9" spans="1:5" ht="16.8" x14ac:dyDescent="0.3">
      <c r="A9" s="251" t="s">
        <v>235</v>
      </c>
      <c r="B9" s="10"/>
      <c r="C9" s="252" t="s">
        <v>232</v>
      </c>
      <c r="E9" s="451" t="s">
        <v>223</v>
      </c>
    </row>
    <row r="10" spans="1:5" ht="17.399999999999999" thickBot="1" x14ac:dyDescent="0.35">
      <c r="A10" s="251" t="s">
        <v>236</v>
      </c>
      <c r="B10" s="10"/>
      <c r="C10" s="253" t="s">
        <v>234</v>
      </c>
      <c r="E10" s="450" t="s">
        <v>225</v>
      </c>
    </row>
    <row r="11" spans="1:5" ht="18" thickTop="1" thickBot="1" x14ac:dyDescent="0.35">
      <c r="A11" s="251" t="s">
        <v>238</v>
      </c>
      <c r="B11" s="10"/>
    </row>
    <row r="12" spans="1:5" ht="22.2" thickTop="1" thickBot="1" x14ac:dyDescent="0.35">
      <c r="A12" s="256" t="s">
        <v>240</v>
      </c>
      <c r="B12" s="10"/>
      <c r="C12" s="254" t="s">
        <v>237</v>
      </c>
    </row>
    <row r="13" spans="1:5" ht="17.399999999999999" thickBot="1" x14ac:dyDescent="0.35">
      <c r="A13" s="460" t="s">
        <v>242</v>
      </c>
      <c r="B13" s="10"/>
      <c r="C13" s="247" t="s">
        <v>239</v>
      </c>
    </row>
    <row r="14" spans="1:5" ht="18" thickTop="1" thickBot="1" x14ac:dyDescent="0.35">
      <c r="B14" s="10"/>
      <c r="C14" s="255" t="s">
        <v>241</v>
      </c>
    </row>
    <row r="15" spans="1:5" ht="17.399999999999999" thickTop="1" x14ac:dyDescent="0.3">
      <c r="B15" s="10"/>
      <c r="C15" s="33"/>
    </row>
    <row r="16" spans="1:5" ht="16.8" x14ac:dyDescent="0.3">
      <c r="B16" s="10"/>
      <c r="C16" s="33"/>
    </row>
    <row r="17" spans="2:3" ht="16.8" x14ac:dyDescent="0.3">
      <c r="B17" s="10"/>
      <c r="C17" s="33"/>
    </row>
    <row r="18" spans="2:3" ht="16.8" x14ac:dyDescent="0.3">
      <c r="B18" s="10"/>
      <c r="C18" s="33"/>
    </row>
    <row r="19" spans="2:3" ht="16.8" x14ac:dyDescent="0.3">
      <c r="B19" s="10"/>
      <c r="C19" s="33"/>
    </row>
    <row r="20" spans="2:3" ht="16.8" x14ac:dyDescent="0.3">
      <c r="B20" s="10"/>
      <c r="C20" s="33"/>
    </row>
  </sheetData>
  <sortState xmlns:xlrd2="http://schemas.microsoft.com/office/spreadsheetml/2017/richdata2" ref="E2:E6">
    <sortCondition ref="E2:E6"/>
  </sortState>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1"/>
  <sheetViews>
    <sheetView showGridLines="0" workbookViewId="0"/>
  </sheetViews>
  <sheetFormatPr defaultRowHeight="15.6" x14ac:dyDescent="0.3"/>
  <cols>
    <col min="1" max="1" width="20.5" bestFit="1" customWidth="1"/>
    <col min="2" max="2" width="11.59765625" bestFit="1" customWidth="1"/>
    <col min="3" max="3" width="4.59765625" bestFit="1" customWidth="1"/>
    <col min="4" max="4" width="6.19921875" bestFit="1" customWidth="1"/>
    <col min="5" max="5" width="8.5" bestFit="1" customWidth="1"/>
    <col min="6" max="6" width="9.3984375" bestFit="1" customWidth="1"/>
    <col min="7" max="7" width="4.69921875" bestFit="1" customWidth="1"/>
    <col min="8" max="8" width="8.69921875" bestFit="1" customWidth="1"/>
    <col min="9" max="9" width="5.59765625" bestFit="1" customWidth="1"/>
    <col min="10" max="10" width="6.19921875" bestFit="1" customWidth="1"/>
    <col min="11" max="11" width="18.5" bestFit="1" customWidth="1"/>
    <col min="12" max="12" width="2.69921875" customWidth="1"/>
    <col min="13" max="13" width="8.69921875" bestFit="1" customWidth="1"/>
  </cols>
  <sheetData>
    <row r="1" spans="1:13" ht="23.4" thickBot="1" x14ac:dyDescent="0.35">
      <c r="A1" s="257" t="s">
        <v>243</v>
      </c>
      <c r="B1" s="257"/>
      <c r="C1" s="257"/>
      <c r="D1" s="257"/>
      <c r="E1" s="257"/>
      <c r="F1" s="257"/>
      <c r="G1" s="257"/>
      <c r="H1" s="257"/>
      <c r="I1" s="257"/>
      <c r="J1" s="257"/>
      <c r="K1" s="257"/>
      <c r="L1" s="258"/>
      <c r="M1" s="258"/>
    </row>
    <row r="2" spans="1:13" ht="16.8" thickTop="1" thickBot="1" x14ac:dyDescent="0.35">
      <c r="A2" s="259" t="s">
        <v>244</v>
      </c>
      <c r="B2" s="260" t="s">
        <v>245</v>
      </c>
      <c r="C2" s="260" t="s">
        <v>246</v>
      </c>
      <c r="D2" s="260" t="s">
        <v>247</v>
      </c>
      <c r="E2" s="261" t="s">
        <v>248</v>
      </c>
      <c r="F2" s="260" t="s">
        <v>249</v>
      </c>
      <c r="G2" s="260" t="s">
        <v>250</v>
      </c>
      <c r="H2" s="262" t="s">
        <v>251</v>
      </c>
      <c r="I2" s="263" t="s">
        <v>45</v>
      </c>
      <c r="J2" s="262" t="s">
        <v>46</v>
      </c>
      <c r="K2" s="264" t="s">
        <v>47</v>
      </c>
      <c r="L2" s="258"/>
      <c r="M2" s="265" t="s">
        <v>252</v>
      </c>
    </row>
    <row r="3" spans="1:13" x14ac:dyDescent="0.3">
      <c r="A3" s="416" t="s">
        <v>253</v>
      </c>
      <c r="B3" s="417" t="s">
        <v>254</v>
      </c>
      <c r="C3" s="418">
        <v>0</v>
      </c>
      <c r="D3" s="419" t="s">
        <v>255</v>
      </c>
      <c r="E3" s="419" t="s">
        <v>256</v>
      </c>
      <c r="F3" s="420" t="s">
        <v>257</v>
      </c>
      <c r="G3" s="421">
        <v>1.5</v>
      </c>
      <c r="H3" s="422" t="str">
        <f>CONCATENATE("+",RIGHT('Personal File'!$B$7,1)+RIGHT('Personal File'!$C$10)+D3)</f>
        <v>+6</v>
      </c>
      <c r="I3" s="423">
        <f ca="1">RANDBETWEEN(1,20)</f>
        <v>20</v>
      </c>
      <c r="J3" s="424">
        <f ca="1">I3+H3</f>
        <v>26</v>
      </c>
      <c r="K3" s="425"/>
      <c r="L3" s="258"/>
      <c r="M3" s="270">
        <v>302</v>
      </c>
    </row>
    <row r="4" spans="1:13" x14ac:dyDescent="0.3">
      <c r="A4" s="571" t="s">
        <v>258</v>
      </c>
      <c r="B4" s="572" t="s">
        <v>254</v>
      </c>
      <c r="C4" s="573">
        <v>0</v>
      </c>
      <c r="D4" s="574" t="s">
        <v>255</v>
      </c>
      <c r="E4" s="574" t="s">
        <v>256</v>
      </c>
      <c r="F4" s="575" t="s">
        <v>257</v>
      </c>
      <c r="G4" s="426" t="s">
        <v>259</v>
      </c>
      <c r="H4" s="576" t="str">
        <f>CONCATENATE("+",RIGHT('Personal File'!$B$7,1)+RIGHT('Personal File'!$C$9)+D4-5)</f>
        <v>+-1</v>
      </c>
      <c r="I4" s="427"/>
      <c r="J4" s="577"/>
      <c r="K4" s="578"/>
      <c r="L4" s="258"/>
      <c r="M4" s="569" t="s">
        <v>259</v>
      </c>
    </row>
    <row r="5" spans="1:13" x14ac:dyDescent="0.3">
      <c r="A5" s="416" t="s">
        <v>402</v>
      </c>
      <c r="B5" s="417" t="s">
        <v>404</v>
      </c>
      <c r="C5" s="418">
        <v>0</v>
      </c>
      <c r="D5" s="419" t="s">
        <v>255</v>
      </c>
      <c r="E5" s="419" t="s">
        <v>405</v>
      </c>
      <c r="F5" s="420" t="s">
        <v>403</v>
      </c>
      <c r="G5" s="421">
        <v>1</v>
      </c>
      <c r="H5" s="422" t="str">
        <f>CONCATENATE("+",RIGHT('Personal File'!$B$7,1)+RIGHT('Personal File'!$C$10)+D5)</f>
        <v>+6</v>
      </c>
      <c r="I5" s="423">
        <f ca="1">RANDBETWEEN(1,20)</f>
        <v>20</v>
      </c>
      <c r="J5" s="424">
        <f ca="1">I5+H5</f>
        <v>26</v>
      </c>
      <c r="K5" s="425"/>
      <c r="L5" s="258"/>
      <c r="M5" s="270">
        <v>301</v>
      </c>
    </row>
    <row r="6" spans="1:13" x14ac:dyDescent="0.3">
      <c r="A6" s="571" t="s">
        <v>258</v>
      </c>
      <c r="B6" s="572" t="s">
        <v>404</v>
      </c>
      <c r="C6" s="573">
        <v>0</v>
      </c>
      <c r="D6" s="574" t="s">
        <v>255</v>
      </c>
      <c r="E6" s="574" t="s">
        <v>405</v>
      </c>
      <c r="F6" s="575" t="s">
        <v>403</v>
      </c>
      <c r="G6" s="426" t="s">
        <v>259</v>
      </c>
      <c r="H6" s="576" t="str">
        <f>CONCATENATE("+",RIGHT('Personal File'!$B$7,1)+RIGHT('Personal File'!$C$9)+D6-5)</f>
        <v>+-1</v>
      </c>
      <c r="I6" s="427"/>
      <c r="J6" s="577"/>
      <c r="K6" s="578"/>
      <c r="L6" s="258"/>
      <c r="M6" s="569" t="s">
        <v>259</v>
      </c>
    </row>
    <row r="7" spans="1:13" x14ac:dyDescent="0.3">
      <c r="A7" s="490" t="s">
        <v>260</v>
      </c>
      <c r="B7" s="491" t="s">
        <v>261</v>
      </c>
      <c r="C7" s="492">
        <v>1</v>
      </c>
      <c r="D7" s="493" t="s">
        <v>53</v>
      </c>
      <c r="E7" s="493" t="s">
        <v>256</v>
      </c>
      <c r="F7" s="494" t="s">
        <v>262</v>
      </c>
      <c r="G7" s="495">
        <v>0</v>
      </c>
      <c r="H7" s="496" t="str">
        <f>CONCATENATE("+",RIGHT('Personal File'!$B$7,1)+RIGHT('Personal File'!$C$13)+D7)</f>
        <v>+5</v>
      </c>
      <c r="I7" s="269">
        <f ca="1">RANDBETWEEN(1,20)</f>
        <v>3</v>
      </c>
      <c r="J7" s="504">
        <f ca="1">I7+H7</f>
        <v>8</v>
      </c>
      <c r="K7" s="505"/>
      <c r="L7" s="258"/>
      <c r="M7" s="511" t="s">
        <v>259</v>
      </c>
    </row>
    <row r="8" spans="1:13" ht="16.2" thickBot="1" x14ac:dyDescent="0.35">
      <c r="A8" s="497" t="s">
        <v>263</v>
      </c>
      <c r="B8" s="498" t="s">
        <v>264</v>
      </c>
      <c r="C8" s="499" t="s">
        <v>259</v>
      </c>
      <c r="D8" s="500" t="s">
        <v>53</v>
      </c>
      <c r="E8" s="500" t="s">
        <v>259</v>
      </c>
      <c r="F8" s="501" t="s">
        <v>259</v>
      </c>
      <c r="G8" s="502" t="s">
        <v>259</v>
      </c>
      <c r="H8" s="503" t="str">
        <f>CONCATENATE("+",RIGHT('Personal File'!$B$7,1)+RIGHT('Personal File'!$C$9)+D8)</f>
        <v>+3</v>
      </c>
      <c r="I8" s="271">
        <f ca="1">RANDBETWEEN(1,20)</f>
        <v>8</v>
      </c>
      <c r="J8" s="506">
        <f ca="1">I8+H8</f>
        <v>11</v>
      </c>
      <c r="K8" s="507"/>
      <c r="L8" s="258"/>
      <c r="M8" s="513" t="s">
        <v>259</v>
      </c>
    </row>
    <row r="9" spans="1:13" ht="16.8" thickTop="1" thickBot="1" x14ac:dyDescent="0.35">
      <c r="A9" s="272"/>
      <c r="B9" s="272"/>
      <c r="C9" s="272"/>
      <c r="D9" s="272"/>
      <c r="E9" s="272"/>
      <c r="F9" s="272"/>
      <c r="G9" s="272"/>
      <c r="H9" s="272"/>
      <c r="I9" s="272"/>
      <c r="J9" s="272"/>
      <c r="K9" s="272"/>
      <c r="L9" s="258"/>
      <c r="M9" s="258"/>
    </row>
    <row r="10" spans="1:13" ht="16.8" thickTop="1" thickBot="1" x14ac:dyDescent="0.35">
      <c r="A10" s="259" t="s">
        <v>265</v>
      </c>
      <c r="B10" s="260" t="s">
        <v>266</v>
      </c>
      <c r="C10" s="260" t="s">
        <v>246</v>
      </c>
      <c r="D10" s="260" t="s">
        <v>247</v>
      </c>
      <c r="E10" s="261" t="s">
        <v>248</v>
      </c>
      <c r="F10" s="260" t="s">
        <v>267</v>
      </c>
      <c r="G10" s="260" t="s">
        <v>250</v>
      </c>
      <c r="H10" s="262" t="s">
        <v>251</v>
      </c>
      <c r="I10" s="263" t="s">
        <v>45</v>
      </c>
      <c r="J10" s="262" t="s">
        <v>46</v>
      </c>
      <c r="K10" s="264" t="s">
        <v>47</v>
      </c>
      <c r="L10" s="258"/>
      <c r="M10" s="265" t="s">
        <v>252</v>
      </c>
    </row>
    <row r="11" spans="1:13" x14ac:dyDescent="0.3">
      <c r="A11" s="476" t="s">
        <v>268</v>
      </c>
      <c r="B11" s="477" t="s">
        <v>269</v>
      </c>
      <c r="C11" s="478" t="s">
        <v>259</v>
      </c>
      <c r="D11" s="486" t="s">
        <v>53</v>
      </c>
      <c r="E11" s="479" t="s">
        <v>259</v>
      </c>
      <c r="F11" s="480" t="s">
        <v>357</v>
      </c>
      <c r="G11" s="481" t="s">
        <v>259</v>
      </c>
      <c r="H11" s="482" t="str">
        <f>CONCATENATE("+",RIGHT('Personal File'!$B$7,1)+RIGHT('Personal File'!$C$10)+D11)</f>
        <v>+5</v>
      </c>
      <c r="I11" s="412">
        <f t="shared" ref="I11:I17" ca="1" si="0">RANDBETWEEN(1,20)</f>
        <v>3</v>
      </c>
      <c r="J11" s="482">
        <f t="shared" ref="J11:J17" ca="1" si="1">I11+H11</f>
        <v>8</v>
      </c>
      <c r="K11" s="508" t="s">
        <v>270</v>
      </c>
      <c r="L11" s="258"/>
      <c r="M11" s="510" t="s">
        <v>259</v>
      </c>
    </row>
    <row r="12" spans="1:13" x14ac:dyDescent="0.3">
      <c r="A12" s="483" t="s">
        <v>170</v>
      </c>
      <c r="B12" s="484" t="s">
        <v>259</v>
      </c>
      <c r="C12" s="485" t="s">
        <v>259</v>
      </c>
      <c r="D12" s="486" t="s">
        <v>53</v>
      </c>
      <c r="E12" s="486" t="s">
        <v>259</v>
      </c>
      <c r="F12" s="487" t="s">
        <v>259</v>
      </c>
      <c r="G12" s="488" t="s">
        <v>259</v>
      </c>
      <c r="H12" s="489" t="str">
        <f>CONCATENATE("+",'Personal File'!E3+D12)</f>
        <v>+5</v>
      </c>
      <c r="I12" s="413">
        <f t="shared" ca="1" si="0"/>
        <v>4</v>
      </c>
      <c r="J12" s="489">
        <f t="shared" ca="1" si="1"/>
        <v>9</v>
      </c>
      <c r="K12" s="509"/>
      <c r="L12" s="258"/>
      <c r="M12" s="511" t="s">
        <v>259</v>
      </c>
    </row>
    <row r="13" spans="1:13" x14ac:dyDescent="0.3">
      <c r="A13" s="483" t="s">
        <v>271</v>
      </c>
      <c r="B13" s="484" t="s">
        <v>264</v>
      </c>
      <c r="C13" s="485" t="s">
        <v>259</v>
      </c>
      <c r="D13" s="486" t="s">
        <v>53</v>
      </c>
      <c r="E13" s="486" t="s">
        <v>259</v>
      </c>
      <c r="F13" s="487" t="s">
        <v>264</v>
      </c>
      <c r="G13" s="488" t="s">
        <v>259</v>
      </c>
      <c r="H13" s="489" t="str">
        <f>CONCATENATE("+",RIGHT('Personal File'!$B$7,1)+RIGHT('Personal File'!$C$10)+D13)</f>
        <v>+5</v>
      </c>
      <c r="I13" s="413">
        <f t="shared" ca="1" si="0"/>
        <v>17</v>
      </c>
      <c r="J13" s="489">
        <f t="shared" ca="1" si="1"/>
        <v>22</v>
      </c>
      <c r="K13" s="509"/>
      <c r="L13" s="258"/>
      <c r="M13" s="511" t="s">
        <v>259</v>
      </c>
    </row>
    <row r="14" spans="1:13" ht="16.2" thickBot="1" x14ac:dyDescent="0.35">
      <c r="A14" s="483" t="s">
        <v>272</v>
      </c>
      <c r="B14" s="484" t="s">
        <v>264</v>
      </c>
      <c r="C14" s="485" t="s">
        <v>259</v>
      </c>
      <c r="D14" s="486" t="s">
        <v>53</v>
      </c>
      <c r="E14" s="486" t="s">
        <v>259</v>
      </c>
      <c r="F14" s="487" t="s">
        <v>259</v>
      </c>
      <c r="G14" s="488" t="s">
        <v>259</v>
      </c>
      <c r="H14" s="489" t="str">
        <f>CONCATENATE("+",'Personal File'!E3)</f>
        <v>+5</v>
      </c>
      <c r="I14" s="413">
        <f t="shared" ca="1" si="0"/>
        <v>3</v>
      </c>
      <c r="J14" s="489">
        <f t="shared" ca="1" si="1"/>
        <v>8</v>
      </c>
      <c r="K14" s="509"/>
      <c r="L14" s="258"/>
      <c r="M14" s="512" t="s">
        <v>259</v>
      </c>
    </row>
    <row r="15" spans="1:13" x14ac:dyDescent="0.3">
      <c r="A15" s="416" t="s">
        <v>273</v>
      </c>
      <c r="B15" s="417" t="s">
        <v>264</v>
      </c>
      <c r="C15" s="418">
        <v>0</v>
      </c>
      <c r="D15" s="419" t="s">
        <v>53</v>
      </c>
      <c r="E15" s="419" t="s">
        <v>259</v>
      </c>
      <c r="F15" s="420" t="s">
        <v>274</v>
      </c>
      <c r="G15" s="421" t="s">
        <v>259</v>
      </c>
      <c r="H15" s="422" t="str">
        <f>CONCATENATE("+",RIGHT('Personal File'!$B$7,1)+RIGHT('Personal File'!$C$10)+D15)</f>
        <v>+5</v>
      </c>
      <c r="I15" s="423">
        <f t="shared" ca="1" si="0"/>
        <v>14</v>
      </c>
      <c r="J15" s="424">
        <f t="shared" ref="J15" ca="1" si="2">I15+H15</f>
        <v>19</v>
      </c>
      <c r="K15" s="425"/>
      <c r="L15" s="258"/>
      <c r="M15" s="570" t="s">
        <v>259</v>
      </c>
    </row>
    <row r="16" spans="1:13" x14ac:dyDescent="0.3">
      <c r="A16" s="416" t="s">
        <v>275</v>
      </c>
      <c r="B16" s="417" t="s">
        <v>276</v>
      </c>
      <c r="C16" s="418">
        <v>0</v>
      </c>
      <c r="D16" s="419">
        <v>1</v>
      </c>
      <c r="E16" s="419" t="s">
        <v>256</v>
      </c>
      <c r="F16" s="420" t="s">
        <v>277</v>
      </c>
      <c r="G16" s="421">
        <v>4</v>
      </c>
      <c r="H16" s="422" t="str">
        <f>CONCATENATE("+",RIGHT('Personal File'!$B$7,1)+RIGHT('Personal File'!$C$10)+D16)</f>
        <v>+6</v>
      </c>
      <c r="I16" s="423">
        <f t="shared" ca="1" si="0"/>
        <v>19</v>
      </c>
      <c r="J16" s="424">
        <f t="shared" ca="1" si="1"/>
        <v>25</v>
      </c>
      <c r="K16" s="425"/>
      <c r="L16" s="258"/>
      <c r="M16" s="270">
        <f>335</f>
        <v>335</v>
      </c>
    </row>
    <row r="17" spans="1:13" ht="16.2" thickBot="1" x14ac:dyDescent="0.35">
      <c r="A17" s="469" t="s">
        <v>258</v>
      </c>
      <c r="B17" s="470" t="s">
        <v>276</v>
      </c>
      <c r="C17" s="471">
        <v>0</v>
      </c>
      <c r="D17" s="471">
        <v>1</v>
      </c>
      <c r="E17" s="470" t="s">
        <v>256</v>
      </c>
      <c r="F17" s="471" t="s">
        <v>277</v>
      </c>
      <c r="G17" s="414" t="s">
        <v>259</v>
      </c>
      <c r="H17" s="472" t="str">
        <f>CONCATENATE("+",RIGHT('Personal File'!$B$7,1)+RIGHT('Personal File'!$C$10)+D17-5)</f>
        <v>+1</v>
      </c>
      <c r="I17" s="473">
        <f t="shared" ca="1" si="0"/>
        <v>17</v>
      </c>
      <c r="J17" s="474">
        <f t="shared" ca="1" si="1"/>
        <v>18</v>
      </c>
      <c r="K17" s="475"/>
      <c r="L17" s="258"/>
      <c r="M17" s="415" t="s">
        <v>259</v>
      </c>
    </row>
    <row r="18" spans="1:13" ht="16.8" thickTop="1" thickBot="1" x14ac:dyDescent="0.35">
      <c r="A18" s="272"/>
      <c r="B18" s="272"/>
      <c r="C18" s="272"/>
      <c r="D18" s="274"/>
      <c r="E18" s="274"/>
      <c r="F18" s="272"/>
      <c r="G18" s="275"/>
      <c r="H18" s="275"/>
      <c r="I18" s="272"/>
      <c r="J18" s="275"/>
      <c r="K18" s="272"/>
      <c r="L18" s="258"/>
      <c r="M18" s="258"/>
    </row>
    <row r="19" spans="1:13" ht="16.8" thickTop="1" thickBot="1" x14ac:dyDescent="0.35">
      <c r="A19" s="259" t="s">
        <v>278</v>
      </c>
      <c r="B19" s="260" t="s">
        <v>279</v>
      </c>
      <c r="C19" s="260" t="s">
        <v>280</v>
      </c>
      <c r="D19" s="260" t="s">
        <v>46</v>
      </c>
      <c r="E19" s="260" t="s">
        <v>281</v>
      </c>
      <c r="F19" s="260" t="s">
        <v>282</v>
      </c>
      <c r="G19" s="260" t="s">
        <v>250</v>
      </c>
      <c r="H19" s="276" t="s">
        <v>47</v>
      </c>
      <c r="I19" s="277"/>
      <c r="J19" s="277"/>
      <c r="K19" s="278"/>
      <c r="L19" s="258"/>
      <c r="M19" s="265" t="s">
        <v>252</v>
      </c>
    </row>
    <row r="20" spans="1:13" x14ac:dyDescent="0.3">
      <c r="A20" s="279" t="s">
        <v>283</v>
      </c>
      <c r="B20" s="280">
        <v>4</v>
      </c>
      <c r="C20" s="281">
        <v>6</v>
      </c>
      <c r="D20" s="280">
        <v>0</v>
      </c>
      <c r="E20" s="282">
        <v>0.1</v>
      </c>
      <c r="F20" s="283" t="s">
        <v>284</v>
      </c>
      <c r="G20" s="284">
        <v>12.5</v>
      </c>
      <c r="H20" s="285" t="s">
        <v>285</v>
      </c>
      <c r="I20" s="286"/>
      <c r="J20" s="286"/>
      <c r="K20" s="287"/>
      <c r="L20" s="258"/>
      <c r="M20" s="288">
        <f>1100</f>
        <v>1100</v>
      </c>
    </row>
    <row r="21" spans="1:13" x14ac:dyDescent="0.3">
      <c r="A21" s="289"/>
      <c r="B21" s="267"/>
      <c r="C21" s="290"/>
      <c r="D21" s="267"/>
      <c r="E21" s="291"/>
      <c r="F21" s="292"/>
      <c r="G21" s="268"/>
      <c r="H21" s="293"/>
      <c r="I21" s="294"/>
      <c r="J21" s="294"/>
      <c r="K21" s="295"/>
      <c r="L21" s="258"/>
      <c r="M21" s="266"/>
    </row>
    <row r="22" spans="1:13" x14ac:dyDescent="0.3">
      <c r="A22" s="514" t="s">
        <v>159</v>
      </c>
      <c r="B22" s="515">
        <v>2</v>
      </c>
      <c r="C22" s="516" t="s">
        <v>259</v>
      </c>
      <c r="D22" s="515" t="s">
        <v>259</v>
      </c>
      <c r="E22" s="517" t="s">
        <v>259</v>
      </c>
      <c r="F22" s="518" t="s">
        <v>259</v>
      </c>
      <c r="G22" s="519" t="s">
        <v>259</v>
      </c>
      <c r="H22" s="520"/>
      <c r="I22" s="521"/>
      <c r="J22" s="521"/>
      <c r="K22" s="522"/>
      <c r="L22" s="258"/>
      <c r="M22" s="512" t="s">
        <v>259</v>
      </c>
    </row>
    <row r="23" spans="1:13" ht="16.2" thickBot="1" x14ac:dyDescent="0.35">
      <c r="A23" s="296" t="s">
        <v>286</v>
      </c>
      <c r="B23" s="297">
        <v>2</v>
      </c>
      <c r="C23" s="298" t="s">
        <v>259</v>
      </c>
      <c r="D23" s="297" t="s">
        <v>259</v>
      </c>
      <c r="E23" s="299" t="s">
        <v>259</v>
      </c>
      <c r="F23" s="297" t="s">
        <v>259</v>
      </c>
      <c r="G23" s="300">
        <v>0</v>
      </c>
      <c r="H23" s="301"/>
      <c r="I23" s="302"/>
      <c r="J23" s="302"/>
      <c r="K23" s="303"/>
      <c r="L23" s="258"/>
      <c r="M23" s="304" t="s">
        <v>259</v>
      </c>
    </row>
    <row r="24" spans="1:13" ht="16.8" thickTop="1" thickBot="1" x14ac:dyDescent="0.35">
      <c r="A24" s="272"/>
      <c r="B24" s="272"/>
      <c r="C24" s="272"/>
      <c r="D24" s="272"/>
      <c r="E24" s="272"/>
      <c r="F24" s="272"/>
      <c r="G24" s="272"/>
      <c r="H24" s="272"/>
      <c r="I24" s="272"/>
      <c r="J24" s="272"/>
      <c r="K24" s="272"/>
      <c r="L24" s="258"/>
      <c r="M24" s="258"/>
    </row>
    <row r="25" spans="1:13" ht="16.8" thickTop="1" thickBot="1" x14ac:dyDescent="0.35">
      <c r="A25" s="272"/>
      <c r="B25" s="272"/>
      <c r="C25" s="272"/>
      <c r="D25" s="305" t="s">
        <v>287</v>
      </c>
      <c r="E25" s="306"/>
      <c r="F25" s="276" t="s">
        <v>288</v>
      </c>
      <c r="G25" s="260" t="s">
        <v>250</v>
      </c>
      <c r="H25" s="262" t="s">
        <v>251</v>
      </c>
      <c r="I25" s="276" t="s">
        <v>47</v>
      </c>
      <c r="J25" s="277"/>
      <c r="K25" s="278"/>
      <c r="L25" s="258"/>
      <c r="M25" s="265" t="s">
        <v>252</v>
      </c>
    </row>
    <row r="26" spans="1:13" x14ac:dyDescent="0.3">
      <c r="A26" s="272"/>
      <c r="B26" s="272"/>
      <c r="C26" s="272"/>
      <c r="D26" s="313" t="s">
        <v>289</v>
      </c>
      <c r="E26" s="307"/>
      <c r="F26" s="308">
        <v>20</v>
      </c>
      <c r="G26" s="268">
        <f t="shared" ref="G26" si="3">F26*0.1</f>
        <v>2</v>
      </c>
      <c r="H26" s="309" t="s">
        <v>290</v>
      </c>
      <c r="I26" s="310"/>
      <c r="J26" s="311"/>
      <c r="K26" s="312"/>
      <c r="L26" s="258"/>
      <c r="M26" s="266">
        <v>0</v>
      </c>
    </row>
    <row r="27" spans="1:13" x14ac:dyDescent="0.3">
      <c r="A27" s="272"/>
      <c r="B27" s="272"/>
      <c r="C27" s="272"/>
      <c r="D27" s="313"/>
      <c r="E27" s="307"/>
      <c r="F27" s="308"/>
      <c r="G27" s="268"/>
      <c r="H27" s="309"/>
      <c r="I27" s="310"/>
      <c r="J27" s="311"/>
      <c r="K27" s="312"/>
      <c r="L27" s="258"/>
      <c r="M27" s="266"/>
    </row>
    <row r="28" spans="1:13" ht="16.2" thickBot="1" x14ac:dyDescent="0.35">
      <c r="A28" s="272"/>
      <c r="B28" s="272"/>
      <c r="C28" s="272"/>
      <c r="D28" s="314"/>
      <c r="E28" s="315"/>
      <c r="F28" s="316"/>
      <c r="G28" s="317"/>
      <c r="H28" s="318"/>
      <c r="I28" s="319"/>
      <c r="J28" s="320"/>
      <c r="K28" s="321"/>
      <c r="L28" s="258"/>
      <c r="M28" s="273"/>
    </row>
    <row r="29" spans="1:13" ht="16.8" thickTop="1" thickBot="1" x14ac:dyDescent="0.35">
      <c r="A29" s="272"/>
      <c r="B29" s="272"/>
      <c r="C29" s="272"/>
      <c r="D29" s="272"/>
      <c r="E29" s="272"/>
      <c r="F29" s="272"/>
      <c r="G29" s="272"/>
      <c r="H29" s="272"/>
      <c r="I29" s="272"/>
      <c r="J29" s="272"/>
      <c r="K29" s="272"/>
      <c r="L29" s="258"/>
      <c r="M29" s="258"/>
    </row>
    <row r="30" spans="1:13" ht="16.8" thickTop="1" thickBot="1" x14ac:dyDescent="0.35">
      <c r="A30" s="272"/>
      <c r="B30" s="272"/>
      <c r="C30" s="272"/>
      <c r="D30" s="305" t="s">
        <v>291</v>
      </c>
      <c r="E30" s="277"/>
      <c r="F30" s="277"/>
      <c r="G30" s="322" t="s">
        <v>288</v>
      </c>
      <c r="H30" s="322" t="s">
        <v>8</v>
      </c>
      <c r="I30" s="322" t="s">
        <v>292</v>
      </c>
      <c r="J30" s="323" t="s">
        <v>47</v>
      </c>
      <c r="K30" s="278"/>
      <c r="L30" s="258"/>
      <c r="M30" s="265" t="s">
        <v>252</v>
      </c>
    </row>
    <row r="31" spans="1:13" x14ac:dyDescent="0.3">
      <c r="A31" s="272"/>
      <c r="B31" s="272"/>
      <c r="C31" s="272"/>
      <c r="D31" s="324" t="s">
        <v>293</v>
      </c>
      <c r="E31" s="325"/>
      <c r="F31" s="325"/>
      <c r="G31" s="267">
        <v>1</v>
      </c>
      <c r="H31" s="267">
        <v>0</v>
      </c>
      <c r="I31" s="267">
        <v>1</v>
      </c>
      <c r="J31" s="308"/>
      <c r="K31" s="312"/>
      <c r="L31" s="258"/>
      <c r="M31" s="266">
        <f>G31*12</f>
        <v>12</v>
      </c>
    </row>
    <row r="32" spans="1:13" x14ac:dyDescent="0.3">
      <c r="A32" s="272"/>
      <c r="B32" s="272"/>
      <c r="C32" s="272"/>
      <c r="D32" s="324" t="s">
        <v>294</v>
      </c>
      <c r="E32" s="325"/>
      <c r="F32" s="325"/>
      <c r="G32" s="267">
        <v>1</v>
      </c>
      <c r="H32" s="267">
        <v>0</v>
      </c>
      <c r="I32" s="267">
        <v>1</v>
      </c>
      <c r="J32" s="308"/>
      <c r="K32" s="312"/>
      <c r="L32" s="258"/>
      <c r="M32" s="266">
        <f>G32*12</f>
        <v>12</v>
      </c>
    </row>
    <row r="33" spans="1:13" x14ac:dyDescent="0.3">
      <c r="A33" s="272"/>
      <c r="B33" s="272"/>
      <c r="C33" s="272"/>
      <c r="D33" s="324" t="s">
        <v>396</v>
      </c>
      <c r="E33" s="325"/>
      <c r="F33" s="325"/>
      <c r="G33" s="267">
        <v>1</v>
      </c>
      <c r="H33" s="267">
        <v>2</v>
      </c>
      <c r="I33" s="267">
        <v>4</v>
      </c>
      <c r="J33" s="308"/>
      <c r="K33" s="312"/>
      <c r="L33" s="258"/>
      <c r="M33" s="266">
        <f t="shared" ref="M33:M47" si="4">25*G33*H33*I33</f>
        <v>200</v>
      </c>
    </row>
    <row r="34" spans="1:13" x14ac:dyDescent="0.3">
      <c r="A34" s="272"/>
      <c r="B34" s="272"/>
      <c r="C34" s="272"/>
      <c r="D34" s="324" t="s">
        <v>295</v>
      </c>
      <c r="E34" s="325"/>
      <c r="F34" s="325"/>
      <c r="G34" s="267">
        <v>1</v>
      </c>
      <c r="H34" s="267">
        <v>0</v>
      </c>
      <c r="I34" s="267">
        <v>1</v>
      </c>
      <c r="J34" s="308"/>
      <c r="K34" s="312"/>
      <c r="L34" s="258"/>
      <c r="M34" s="266">
        <f>G34*12</f>
        <v>12</v>
      </c>
    </row>
    <row r="35" spans="1:13" x14ac:dyDescent="0.3">
      <c r="A35" s="272"/>
      <c r="B35" s="272"/>
      <c r="C35" s="272"/>
      <c r="D35" s="324" t="s">
        <v>296</v>
      </c>
      <c r="E35" s="325"/>
      <c r="F35" s="325"/>
      <c r="G35" s="267">
        <v>1</v>
      </c>
      <c r="H35" s="267">
        <v>1</v>
      </c>
      <c r="I35" s="267">
        <v>1</v>
      </c>
      <c r="J35" s="308"/>
      <c r="K35" s="312"/>
      <c r="L35" s="258"/>
      <c r="M35" s="266">
        <f t="shared" si="4"/>
        <v>25</v>
      </c>
    </row>
    <row r="36" spans="1:13" x14ac:dyDescent="0.3">
      <c r="A36" s="272"/>
      <c r="B36" s="272"/>
      <c r="C36" s="272"/>
      <c r="D36" s="324" t="s">
        <v>297</v>
      </c>
      <c r="E36" s="325"/>
      <c r="F36" s="325"/>
      <c r="G36" s="267">
        <v>1</v>
      </c>
      <c r="H36" s="267">
        <v>1</v>
      </c>
      <c r="I36" s="267">
        <v>1</v>
      </c>
      <c r="J36" s="308"/>
      <c r="K36" s="312"/>
      <c r="L36" s="258"/>
      <c r="M36" s="266">
        <f t="shared" si="4"/>
        <v>25</v>
      </c>
    </row>
    <row r="37" spans="1:13" x14ac:dyDescent="0.3">
      <c r="A37" s="272"/>
      <c r="B37" s="272"/>
      <c r="C37" s="272"/>
      <c r="D37" s="324" t="s">
        <v>298</v>
      </c>
      <c r="E37" s="325"/>
      <c r="F37" s="325"/>
      <c r="G37" s="267">
        <v>1</v>
      </c>
      <c r="H37" s="267">
        <v>1</v>
      </c>
      <c r="I37" s="267">
        <v>1</v>
      </c>
      <c r="J37" s="308"/>
      <c r="K37" s="312"/>
      <c r="L37" s="258"/>
      <c r="M37" s="266">
        <f t="shared" si="4"/>
        <v>25</v>
      </c>
    </row>
    <row r="38" spans="1:13" x14ac:dyDescent="0.3">
      <c r="A38" s="272"/>
      <c r="B38" s="272"/>
      <c r="C38" s="272"/>
      <c r="D38" s="324" t="s">
        <v>299</v>
      </c>
      <c r="E38" s="325"/>
      <c r="F38" s="325"/>
      <c r="G38" s="267">
        <v>1</v>
      </c>
      <c r="H38" s="267">
        <v>1</v>
      </c>
      <c r="I38" s="267">
        <v>1</v>
      </c>
      <c r="J38" s="308"/>
      <c r="K38" s="312"/>
      <c r="L38" s="258"/>
      <c r="M38" s="266">
        <f t="shared" si="4"/>
        <v>25</v>
      </c>
    </row>
    <row r="39" spans="1:13" x14ac:dyDescent="0.3">
      <c r="A39" s="272"/>
      <c r="B39" s="272"/>
      <c r="C39" s="272"/>
      <c r="D39" s="324" t="s">
        <v>393</v>
      </c>
      <c r="E39" s="325"/>
      <c r="F39" s="325"/>
      <c r="G39" s="267">
        <v>1</v>
      </c>
      <c r="H39" s="267">
        <v>3</v>
      </c>
      <c r="I39" s="267">
        <v>5</v>
      </c>
      <c r="J39" s="308"/>
      <c r="K39" s="312"/>
      <c r="L39" s="258"/>
      <c r="M39" s="266">
        <f t="shared" si="4"/>
        <v>375</v>
      </c>
    </row>
    <row r="40" spans="1:13" x14ac:dyDescent="0.3">
      <c r="A40" s="272"/>
      <c r="B40" s="272"/>
      <c r="C40" s="272"/>
      <c r="D40" s="324" t="s">
        <v>394</v>
      </c>
      <c r="E40" s="325"/>
      <c r="F40" s="325"/>
      <c r="G40" s="267">
        <v>1</v>
      </c>
      <c r="H40" s="267">
        <v>3</v>
      </c>
      <c r="I40" s="267">
        <v>5</v>
      </c>
      <c r="J40" s="308"/>
      <c r="K40" s="312"/>
      <c r="L40" s="258"/>
      <c r="M40" s="266">
        <f t="shared" si="4"/>
        <v>375</v>
      </c>
    </row>
    <row r="41" spans="1:13" x14ac:dyDescent="0.3">
      <c r="A41" s="272"/>
      <c r="B41" s="272"/>
      <c r="C41" s="272"/>
      <c r="D41" s="324" t="s">
        <v>388</v>
      </c>
      <c r="E41" s="325"/>
      <c r="F41" s="325"/>
      <c r="G41" s="267">
        <v>1</v>
      </c>
      <c r="H41" s="267">
        <v>3</v>
      </c>
      <c r="I41" s="267">
        <v>7</v>
      </c>
      <c r="J41" s="308"/>
      <c r="K41" s="312"/>
      <c r="L41" s="258"/>
      <c r="M41" s="266">
        <f t="shared" ref="M41" si="5">25*G41*H41*I41</f>
        <v>525</v>
      </c>
    </row>
    <row r="42" spans="1:13" x14ac:dyDescent="0.3">
      <c r="A42" s="272"/>
      <c r="B42" s="272"/>
      <c r="C42" s="272"/>
      <c r="D42" s="324" t="s">
        <v>395</v>
      </c>
      <c r="E42" s="325"/>
      <c r="F42" s="325"/>
      <c r="G42" s="267">
        <v>1</v>
      </c>
      <c r="H42" s="267">
        <v>2</v>
      </c>
      <c r="I42" s="267">
        <v>4</v>
      </c>
      <c r="J42" s="308"/>
      <c r="K42" s="312"/>
      <c r="L42" s="258"/>
      <c r="M42" s="266">
        <f t="shared" si="4"/>
        <v>200</v>
      </c>
    </row>
    <row r="43" spans="1:13" x14ac:dyDescent="0.3">
      <c r="A43" s="272"/>
      <c r="B43" s="272"/>
      <c r="C43" s="272"/>
      <c r="D43" s="324" t="s">
        <v>300</v>
      </c>
      <c r="E43" s="325"/>
      <c r="F43" s="325"/>
      <c r="G43" s="267">
        <v>1</v>
      </c>
      <c r="H43" s="267">
        <v>1</v>
      </c>
      <c r="I43" s="267">
        <v>5</v>
      </c>
      <c r="J43" s="308"/>
      <c r="K43" s="312"/>
      <c r="L43" s="258"/>
      <c r="M43" s="266">
        <f t="shared" si="4"/>
        <v>125</v>
      </c>
    </row>
    <row r="44" spans="1:13" x14ac:dyDescent="0.3">
      <c r="A44" s="272"/>
      <c r="B44" s="272"/>
      <c r="C44" s="272"/>
      <c r="D44" s="324" t="s">
        <v>301</v>
      </c>
      <c r="E44" s="325"/>
      <c r="F44" s="325"/>
      <c r="G44" s="267">
        <v>1</v>
      </c>
      <c r="H44" s="267">
        <v>1</v>
      </c>
      <c r="I44" s="267">
        <v>1</v>
      </c>
      <c r="J44" s="308"/>
      <c r="K44" s="312"/>
      <c r="L44" s="258"/>
      <c r="M44" s="266">
        <f t="shared" si="4"/>
        <v>25</v>
      </c>
    </row>
    <row r="45" spans="1:13" x14ac:dyDescent="0.3">
      <c r="A45" s="272"/>
      <c r="B45" s="272"/>
      <c r="C45" s="272"/>
      <c r="D45" s="324" t="s">
        <v>302</v>
      </c>
      <c r="E45" s="325"/>
      <c r="F45" s="325"/>
      <c r="G45" s="267">
        <v>1</v>
      </c>
      <c r="H45" s="267">
        <v>2</v>
      </c>
      <c r="I45" s="267">
        <v>4</v>
      </c>
      <c r="J45" s="308"/>
      <c r="K45" s="312"/>
      <c r="L45" s="258"/>
      <c r="M45" s="266">
        <f t="shared" si="4"/>
        <v>200</v>
      </c>
    </row>
    <row r="46" spans="1:13" x14ac:dyDescent="0.3">
      <c r="A46" s="272"/>
      <c r="B46" s="272"/>
      <c r="C46" s="272"/>
      <c r="D46" s="324" t="s">
        <v>303</v>
      </c>
      <c r="E46" s="325"/>
      <c r="F46" s="325"/>
      <c r="G46" s="267">
        <v>1</v>
      </c>
      <c r="H46" s="267">
        <v>2</v>
      </c>
      <c r="I46" s="267">
        <v>4</v>
      </c>
      <c r="J46" s="308"/>
      <c r="K46" s="312"/>
      <c r="L46" s="258"/>
      <c r="M46" s="266">
        <f t="shared" si="4"/>
        <v>200</v>
      </c>
    </row>
    <row r="47" spans="1:13" x14ac:dyDescent="0.3">
      <c r="A47" s="272"/>
      <c r="B47" s="272"/>
      <c r="C47" s="272"/>
      <c r="D47" s="324" t="s">
        <v>304</v>
      </c>
      <c r="E47" s="325"/>
      <c r="F47" s="325"/>
      <c r="G47" s="267">
        <v>1</v>
      </c>
      <c r="H47" s="267">
        <v>2</v>
      </c>
      <c r="I47" s="267">
        <v>4</v>
      </c>
      <c r="J47" s="308"/>
      <c r="K47" s="312"/>
      <c r="L47" s="258"/>
      <c r="M47" s="266">
        <f t="shared" si="4"/>
        <v>200</v>
      </c>
    </row>
    <row r="48" spans="1:13" x14ac:dyDescent="0.3">
      <c r="A48" s="272"/>
      <c r="B48" s="272"/>
      <c r="C48" s="272"/>
      <c r="D48" s="324" t="s">
        <v>305</v>
      </c>
      <c r="E48" s="325"/>
      <c r="F48" s="325"/>
      <c r="G48" s="267">
        <v>0</v>
      </c>
      <c r="H48" s="267">
        <v>2</v>
      </c>
      <c r="I48" s="267">
        <v>4</v>
      </c>
      <c r="J48" s="308"/>
      <c r="K48" s="312"/>
      <c r="L48" s="258"/>
      <c r="M48" s="266">
        <f t="shared" ref="M48" si="6">25*G48*H48*I48</f>
        <v>0</v>
      </c>
    </row>
    <row r="49" spans="1:13" x14ac:dyDescent="0.3">
      <c r="A49" s="272"/>
      <c r="B49" s="272"/>
      <c r="C49" s="272"/>
      <c r="D49" s="559" t="s">
        <v>306</v>
      </c>
      <c r="E49" s="560"/>
      <c r="F49" s="560"/>
      <c r="G49" s="417">
        <v>4</v>
      </c>
      <c r="H49" s="417">
        <v>1</v>
      </c>
      <c r="I49" s="417">
        <v>1</v>
      </c>
      <c r="J49" s="561"/>
      <c r="K49" s="562"/>
      <c r="L49" s="258"/>
      <c r="M49" s="563">
        <f t="shared" ref="M49:M50" si="7">50*G49*H49*I49</f>
        <v>200</v>
      </c>
    </row>
    <row r="50" spans="1:13" ht="16.2" thickBot="1" x14ac:dyDescent="0.35">
      <c r="A50" s="272"/>
      <c r="B50" s="272"/>
      <c r="C50" s="272"/>
      <c r="D50" s="326" t="s">
        <v>382</v>
      </c>
      <c r="E50" s="327"/>
      <c r="F50" s="327"/>
      <c r="G50" s="328">
        <v>4</v>
      </c>
      <c r="H50" s="328">
        <v>2</v>
      </c>
      <c r="I50" s="328">
        <v>4</v>
      </c>
      <c r="J50" s="316"/>
      <c r="K50" s="321"/>
      <c r="L50" s="258"/>
      <c r="M50" s="273">
        <f t="shared" si="7"/>
        <v>1600</v>
      </c>
    </row>
    <row r="51" spans="1:13" ht="16.2" thickTop="1" x14ac:dyDescent="0.3"/>
  </sheetData>
  <sortState xmlns:xlrd2="http://schemas.microsoft.com/office/spreadsheetml/2017/richdata2" ref="D28:M46">
    <sortCondition ref="H28:H46"/>
    <sortCondition ref="D28:D46"/>
  </sortState>
  <conditionalFormatting sqref="G31:G50">
    <cfRule type="cellIs" dxfId="8" priority="9" operator="equal">
      <formula>0</formula>
    </cfRule>
  </conditionalFormatting>
  <conditionalFormatting sqref="I3:I7 I15:I16">
    <cfRule type="cellIs" dxfId="7" priority="1" operator="equal">
      <formula>19</formula>
    </cfRule>
  </conditionalFormatting>
  <conditionalFormatting sqref="I3:I8">
    <cfRule type="cellIs" dxfId="6" priority="10" operator="equal">
      <formula>20</formula>
    </cfRule>
    <cfRule type="cellIs" dxfId="5" priority="11" operator="equal">
      <formula>1</formula>
    </cfRule>
  </conditionalFormatting>
  <conditionalFormatting sqref="I11:I17">
    <cfRule type="cellIs" dxfId="4" priority="2" operator="equal">
      <formula>20</formula>
    </cfRule>
    <cfRule type="cellIs" dxfId="3" priority="3" operator="equal">
      <formula>1</formula>
    </cfRule>
  </conditionalFormatting>
  <pageMargins left="0.7" right="0.7" top="0.75" bottom="0.75" header="0.3" footer="0.3"/>
  <pageSetup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6"/>
  <sheetViews>
    <sheetView showGridLines="0" zoomScaleNormal="100" workbookViewId="0"/>
  </sheetViews>
  <sheetFormatPr defaultRowHeight="15.6" x14ac:dyDescent="0.3"/>
  <cols>
    <col min="1" max="1" width="23.5" bestFit="1" customWidth="1"/>
    <col min="2" max="2" width="4.69921875" bestFit="1" customWidth="1"/>
    <col min="3" max="3" width="5.3984375" bestFit="1" customWidth="1"/>
    <col min="4" max="5" width="25.5" customWidth="1"/>
    <col min="6" max="6" width="2.69921875" customWidth="1"/>
    <col min="7" max="7" width="8.69921875" bestFit="1" customWidth="1"/>
  </cols>
  <sheetData>
    <row r="1" spans="1:7" ht="23.4" thickBot="1" x14ac:dyDescent="0.35">
      <c r="A1" s="257" t="s">
        <v>307</v>
      </c>
      <c r="B1" s="257"/>
      <c r="C1" s="330"/>
      <c r="D1" s="257"/>
      <c r="E1" s="257"/>
      <c r="F1" s="258"/>
      <c r="G1" s="258"/>
    </row>
    <row r="2" spans="1:7" ht="16.8" thickTop="1" thickBot="1" x14ac:dyDescent="0.35">
      <c r="A2" s="331" t="s">
        <v>308</v>
      </c>
      <c r="B2" s="331" t="s">
        <v>288</v>
      </c>
      <c r="C2" s="332" t="s">
        <v>250</v>
      </c>
      <c r="D2" s="333" t="s">
        <v>309</v>
      </c>
      <c r="E2" s="334" t="s">
        <v>47</v>
      </c>
      <c r="F2" s="258"/>
      <c r="G2" s="335" t="s">
        <v>252</v>
      </c>
    </row>
    <row r="3" spans="1:7" x14ac:dyDescent="0.3">
      <c r="A3" s="409" t="s">
        <v>310</v>
      </c>
      <c r="B3" s="356">
        <v>1</v>
      </c>
      <c r="C3" s="344">
        <v>0</v>
      </c>
      <c r="D3" s="411"/>
      <c r="E3" s="428"/>
      <c r="F3" s="258"/>
      <c r="G3" s="347">
        <v>1000</v>
      </c>
    </row>
    <row r="4" spans="1:7" x14ac:dyDescent="0.3">
      <c r="A4" s="409" t="s">
        <v>311</v>
      </c>
      <c r="B4" s="410">
        <v>1</v>
      </c>
      <c r="C4" s="344" t="s">
        <v>312</v>
      </c>
      <c r="D4" s="411"/>
      <c r="E4" s="428"/>
      <c r="F4" s="258"/>
      <c r="G4" s="358" t="s">
        <v>259</v>
      </c>
    </row>
    <row r="5" spans="1:7" x14ac:dyDescent="0.3">
      <c r="A5" s="342" t="s">
        <v>313</v>
      </c>
      <c r="B5" s="430">
        <v>1</v>
      </c>
      <c r="C5" s="357">
        <f>10/4</f>
        <v>2.5</v>
      </c>
      <c r="D5" s="406"/>
      <c r="E5" s="407"/>
      <c r="F5" s="258"/>
      <c r="G5" s="408">
        <v>8</v>
      </c>
    </row>
    <row r="6" spans="1:7" ht="16.2" thickBot="1" x14ac:dyDescent="0.35">
      <c r="A6" s="349" t="s">
        <v>314</v>
      </c>
      <c r="B6" s="350">
        <v>2</v>
      </c>
      <c r="C6" s="351">
        <f>0.25*B6</f>
        <v>0.5</v>
      </c>
      <c r="D6" s="352"/>
      <c r="E6" s="353"/>
      <c r="F6" s="258"/>
      <c r="G6" s="361"/>
    </row>
    <row r="7" spans="1:7" ht="24" thickTop="1" thickBot="1" x14ac:dyDescent="0.35">
      <c r="A7" s="257" t="s">
        <v>315</v>
      </c>
      <c r="B7" s="257"/>
      <c r="C7" s="354"/>
      <c r="D7" s="257"/>
      <c r="E7" s="355"/>
      <c r="F7" s="258"/>
      <c r="G7" s="258"/>
    </row>
    <row r="8" spans="1:7" ht="16.8" thickTop="1" thickBot="1" x14ac:dyDescent="0.35">
      <c r="A8" s="331" t="s">
        <v>308</v>
      </c>
      <c r="B8" s="331" t="s">
        <v>288</v>
      </c>
      <c r="C8" s="332" t="s">
        <v>250</v>
      </c>
      <c r="D8" s="333" t="s">
        <v>309</v>
      </c>
      <c r="E8" s="334" t="s">
        <v>47</v>
      </c>
      <c r="G8" s="335" t="s">
        <v>252</v>
      </c>
    </row>
    <row r="9" spans="1:7" x14ac:dyDescent="0.3">
      <c r="A9" s="342" t="s">
        <v>316</v>
      </c>
      <c r="B9" s="356">
        <v>1</v>
      </c>
      <c r="C9" s="344">
        <v>5</v>
      </c>
      <c r="D9" s="345"/>
      <c r="E9" s="346"/>
      <c r="F9" s="258"/>
      <c r="G9" s="358"/>
    </row>
    <row r="10" spans="1:7" x14ac:dyDescent="0.3">
      <c r="A10" s="342" t="s">
        <v>317</v>
      </c>
      <c r="B10" s="356">
        <v>1</v>
      </c>
      <c r="C10" s="344">
        <v>44</v>
      </c>
      <c r="D10" s="345"/>
      <c r="E10" s="346"/>
      <c r="F10" s="258"/>
      <c r="G10" s="408">
        <v>44</v>
      </c>
    </row>
    <row r="11" spans="1:7" x14ac:dyDescent="0.3">
      <c r="A11" s="342" t="s">
        <v>318</v>
      </c>
      <c r="B11" s="356">
        <v>0</v>
      </c>
      <c r="C11" s="449">
        <f>B11/100</f>
        <v>0</v>
      </c>
      <c r="D11" s="345"/>
      <c r="E11" s="346"/>
      <c r="F11" s="258"/>
      <c r="G11" s="408">
        <f>B11</f>
        <v>0</v>
      </c>
    </row>
    <row r="12" spans="1:7" x14ac:dyDescent="0.3">
      <c r="A12" s="342" t="s">
        <v>319</v>
      </c>
      <c r="B12" s="356">
        <v>1</v>
      </c>
      <c r="C12" s="344">
        <v>0.5</v>
      </c>
      <c r="D12" s="359"/>
      <c r="E12" s="346"/>
      <c r="F12" s="258"/>
      <c r="G12" s="429"/>
    </row>
    <row r="13" spans="1:7" x14ac:dyDescent="0.3">
      <c r="A13" s="342" t="s">
        <v>397</v>
      </c>
      <c r="B13" s="356">
        <v>1</v>
      </c>
      <c r="C13" s="344">
        <v>1</v>
      </c>
      <c r="D13" s="359"/>
      <c r="E13" s="346"/>
      <c r="F13" s="258"/>
      <c r="G13" s="408">
        <v>50</v>
      </c>
    </row>
    <row r="14" spans="1:7" x14ac:dyDescent="0.3">
      <c r="A14" s="342" t="s">
        <v>320</v>
      </c>
      <c r="B14" s="356">
        <v>1</v>
      </c>
      <c r="C14" s="344">
        <f>B14</f>
        <v>1</v>
      </c>
      <c r="D14" s="345"/>
      <c r="E14" s="346"/>
      <c r="F14" s="258"/>
      <c r="G14" s="429"/>
    </row>
    <row r="15" spans="1:7" x14ac:dyDescent="0.3">
      <c r="A15" s="342" t="s">
        <v>321</v>
      </c>
      <c r="B15" s="356">
        <v>10</v>
      </c>
      <c r="C15" s="344">
        <f>B15*0.5</f>
        <v>5</v>
      </c>
      <c r="D15" s="345"/>
      <c r="E15" s="346"/>
      <c r="F15" s="258"/>
      <c r="G15" s="348"/>
    </row>
    <row r="16" spans="1:7" ht="16.2" thickBot="1" x14ac:dyDescent="0.35">
      <c r="A16" s="349" t="s">
        <v>322</v>
      </c>
      <c r="B16" s="360">
        <v>1</v>
      </c>
      <c r="C16" s="351">
        <v>2</v>
      </c>
      <c r="D16" s="352"/>
      <c r="E16" s="353"/>
      <c r="F16" s="258"/>
      <c r="G16" s="361"/>
    </row>
    <row r="17" spans="1:7" ht="22.8" thickTop="1" thickBot="1" x14ac:dyDescent="0.35">
      <c r="A17" s="433"/>
      <c r="B17" s="433"/>
      <c r="C17" s="433"/>
      <c r="D17" s="435" t="s">
        <v>323</v>
      </c>
      <c r="E17" s="434"/>
      <c r="F17" s="272"/>
      <c r="G17" s="272">
        <v>2000</v>
      </c>
    </row>
    <row r="18" spans="1:7" ht="16.8" thickTop="1" thickBot="1" x14ac:dyDescent="0.35">
      <c r="A18" s="331" t="s">
        <v>308</v>
      </c>
      <c r="B18" s="331" t="s">
        <v>288</v>
      </c>
      <c r="C18" s="332" t="s">
        <v>250</v>
      </c>
      <c r="D18" s="333" t="s">
        <v>309</v>
      </c>
      <c r="E18" s="334" t="s">
        <v>47</v>
      </c>
      <c r="F18" s="272"/>
      <c r="G18" s="335" t="s">
        <v>252</v>
      </c>
    </row>
    <row r="19" spans="1:7" x14ac:dyDescent="0.3">
      <c r="A19" s="436" t="s">
        <v>324</v>
      </c>
      <c r="B19" s="437">
        <v>2</v>
      </c>
      <c r="C19" s="438">
        <v>8</v>
      </c>
      <c r="D19" s="439"/>
      <c r="E19" s="428"/>
      <c r="F19" s="272"/>
      <c r="G19" s="347">
        <f>10*B19</f>
        <v>20</v>
      </c>
    </row>
    <row r="20" spans="1:7" x14ac:dyDescent="0.3">
      <c r="A20" s="436" t="s">
        <v>325</v>
      </c>
      <c r="B20" s="437">
        <v>0</v>
      </c>
      <c r="C20" s="438">
        <v>16</v>
      </c>
      <c r="D20" s="439"/>
      <c r="E20" s="428"/>
      <c r="F20" s="272"/>
      <c r="G20" s="347">
        <f>40*B20</f>
        <v>0</v>
      </c>
    </row>
    <row r="21" spans="1:7" x14ac:dyDescent="0.3">
      <c r="A21" s="436" t="s">
        <v>326</v>
      </c>
      <c r="B21" s="437">
        <v>6</v>
      </c>
      <c r="C21" s="438">
        <v>22</v>
      </c>
      <c r="D21" s="439"/>
      <c r="E21" s="428"/>
      <c r="F21" s="272"/>
      <c r="G21" s="347">
        <f>12*B21</f>
        <v>72</v>
      </c>
    </row>
    <row r="22" spans="1:7" x14ac:dyDescent="0.3">
      <c r="A22" s="440" t="s">
        <v>327</v>
      </c>
      <c r="B22" s="437">
        <v>28</v>
      </c>
      <c r="C22" s="357">
        <v>6</v>
      </c>
      <c r="D22" s="406"/>
      <c r="E22" s="407"/>
      <c r="F22" s="272"/>
      <c r="G22" s="431" t="s">
        <v>328</v>
      </c>
    </row>
    <row r="23" spans="1:7" x14ac:dyDescent="0.3">
      <c r="A23" s="440" t="s">
        <v>329</v>
      </c>
      <c r="B23" s="437">
        <v>2</v>
      </c>
      <c r="C23" s="357">
        <v>10</v>
      </c>
      <c r="D23" s="406"/>
      <c r="E23" s="407"/>
      <c r="F23" s="272"/>
      <c r="G23" s="347">
        <f>20*B23</f>
        <v>40</v>
      </c>
    </row>
    <row r="24" spans="1:7" x14ac:dyDescent="0.3">
      <c r="A24" s="440" t="s">
        <v>330</v>
      </c>
      <c r="B24" s="437" t="s">
        <v>331</v>
      </c>
      <c r="C24" s="357">
        <v>1</v>
      </c>
      <c r="D24" s="406"/>
      <c r="E24" s="407"/>
      <c r="F24" s="272"/>
      <c r="G24" s="431" t="s">
        <v>328</v>
      </c>
    </row>
    <row r="25" spans="1:7" x14ac:dyDescent="0.3">
      <c r="A25" s="440" t="s">
        <v>332</v>
      </c>
      <c r="B25" s="437" t="s">
        <v>331</v>
      </c>
      <c r="C25" s="357">
        <v>2</v>
      </c>
      <c r="D25" s="406"/>
      <c r="E25" s="407"/>
      <c r="F25" s="272"/>
      <c r="G25" s="431" t="s">
        <v>328</v>
      </c>
    </row>
    <row r="26" spans="1:7" ht="16.2" thickBot="1" x14ac:dyDescent="0.35">
      <c r="A26" s="441" t="s">
        <v>333</v>
      </c>
      <c r="B26" s="442" t="s">
        <v>331</v>
      </c>
      <c r="C26" s="351">
        <v>12</v>
      </c>
      <c r="D26" s="443"/>
      <c r="E26" s="353"/>
      <c r="F26" s="272"/>
      <c r="G26" s="444" t="s">
        <v>328</v>
      </c>
    </row>
    <row r="27" spans="1:7" ht="24" thickTop="1" thickBot="1" x14ac:dyDescent="0.35">
      <c r="A27" s="132"/>
      <c r="B27" s="132"/>
      <c r="C27" s="275"/>
      <c r="D27" s="362" t="s">
        <v>407</v>
      </c>
      <c r="E27" s="355"/>
      <c r="F27" s="258"/>
      <c r="G27" s="258"/>
    </row>
    <row r="28" spans="1:7" ht="16.8" thickTop="1" thickBot="1" x14ac:dyDescent="0.35">
      <c r="A28" s="331" t="s">
        <v>308</v>
      </c>
      <c r="B28" s="331" t="s">
        <v>288</v>
      </c>
      <c r="C28" s="332" t="s">
        <v>250</v>
      </c>
      <c r="D28" s="333" t="s">
        <v>309</v>
      </c>
      <c r="E28" s="334" t="s">
        <v>47</v>
      </c>
      <c r="F28" s="258"/>
      <c r="G28" s="335" t="s">
        <v>252</v>
      </c>
    </row>
    <row r="29" spans="1:7" x14ac:dyDescent="0.3">
      <c r="A29" s="336" t="s">
        <v>334</v>
      </c>
      <c r="B29" s="337">
        <v>1</v>
      </c>
      <c r="C29" s="338">
        <v>2.5</v>
      </c>
      <c r="D29" s="339"/>
      <c r="E29" s="340"/>
      <c r="F29" s="258"/>
      <c r="G29" s="341"/>
    </row>
    <row r="30" spans="1:7" x14ac:dyDescent="0.3">
      <c r="A30" s="342" t="s">
        <v>335</v>
      </c>
      <c r="B30" s="343">
        <v>2</v>
      </c>
      <c r="C30" s="344">
        <v>0</v>
      </c>
      <c r="D30" s="345"/>
      <c r="E30" s="346"/>
      <c r="F30" s="258"/>
      <c r="G30" s="358"/>
    </row>
    <row r="31" spans="1:7" x14ac:dyDescent="0.3">
      <c r="A31" s="342" t="s">
        <v>336</v>
      </c>
      <c r="B31" s="343">
        <v>1</v>
      </c>
      <c r="C31" s="344">
        <v>0</v>
      </c>
      <c r="D31" s="345"/>
      <c r="E31" s="346"/>
      <c r="F31" s="258"/>
      <c r="G31" s="358"/>
    </row>
    <row r="32" spans="1:7" x14ac:dyDescent="0.3">
      <c r="A32" s="342" t="s">
        <v>337</v>
      </c>
      <c r="B32" s="343">
        <v>20</v>
      </c>
      <c r="C32" s="344">
        <f>B32*0.1</f>
        <v>2</v>
      </c>
      <c r="D32" s="345"/>
      <c r="E32" s="346"/>
      <c r="F32" s="258"/>
      <c r="G32" s="358"/>
    </row>
    <row r="33" spans="1:7" x14ac:dyDescent="0.3">
      <c r="A33" s="342" t="s">
        <v>338</v>
      </c>
      <c r="B33" s="343">
        <v>5</v>
      </c>
      <c r="C33" s="344">
        <v>0</v>
      </c>
      <c r="D33" s="345"/>
      <c r="E33" s="346"/>
      <c r="F33" s="258"/>
      <c r="G33" s="358"/>
    </row>
    <row r="34" spans="1:7" x14ac:dyDescent="0.3">
      <c r="A34" s="342" t="s">
        <v>339</v>
      </c>
      <c r="B34" s="343">
        <v>1</v>
      </c>
      <c r="C34" s="344">
        <v>0</v>
      </c>
      <c r="D34" s="359"/>
      <c r="E34" s="346"/>
      <c r="F34" s="258"/>
      <c r="G34" s="348"/>
    </row>
    <row r="35" spans="1:7" x14ac:dyDescent="0.3">
      <c r="A35" s="342" t="s">
        <v>340</v>
      </c>
      <c r="B35" s="343">
        <v>1</v>
      </c>
      <c r="C35" s="344">
        <v>0</v>
      </c>
      <c r="D35" s="345"/>
      <c r="E35" s="346"/>
      <c r="F35" s="258"/>
      <c r="G35" s="358"/>
    </row>
    <row r="36" spans="1:7" x14ac:dyDescent="0.3">
      <c r="A36" s="342" t="s">
        <v>341</v>
      </c>
      <c r="B36" s="343">
        <v>1</v>
      </c>
      <c r="C36" s="344">
        <v>0</v>
      </c>
      <c r="D36" s="345"/>
      <c r="E36" s="346"/>
      <c r="F36" s="258"/>
      <c r="G36" s="358"/>
    </row>
    <row r="37" spans="1:7" x14ac:dyDescent="0.3">
      <c r="A37" s="342" t="s">
        <v>342</v>
      </c>
      <c r="B37" s="343">
        <v>1</v>
      </c>
      <c r="C37" s="344">
        <v>7</v>
      </c>
      <c r="D37" s="345"/>
      <c r="E37" s="346"/>
      <c r="F37" s="258"/>
      <c r="G37" s="358"/>
    </row>
    <row r="38" spans="1:7" x14ac:dyDescent="0.3">
      <c r="A38" s="342" t="s">
        <v>343</v>
      </c>
      <c r="B38" s="343">
        <v>1</v>
      </c>
      <c r="C38" s="344">
        <v>0.5</v>
      </c>
      <c r="D38" s="359"/>
      <c r="E38" s="346"/>
      <c r="F38" s="258"/>
      <c r="G38" s="358"/>
    </row>
    <row r="39" spans="1:7" x14ac:dyDescent="0.3">
      <c r="A39" s="342" t="s">
        <v>344</v>
      </c>
      <c r="B39" s="343">
        <v>20</v>
      </c>
      <c r="C39" s="344">
        <f>B39/25</f>
        <v>0.8</v>
      </c>
      <c r="D39" s="345"/>
      <c r="E39" s="346"/>
      <c r="F39" s="258"/>
      <c r="G39" s="358"/>
    </row>
    <row r="40" spans="1:7" x14ac:dyDescent="0.3">
      <c r="A40" s="342" t="s">
        <v>345</v>
      </c>
      <c r="B40" s="343">
        <v>4</v>
      </c>
      <c r="C40" s="344">
        <f>2*B40</f>
        <v>8</v>
      </c>
      <c r="D40" s="345"/>
      <c r="E40" s="346"/>
      <c r="F40" s="258"/>
      <c r="G40" s="348"/>
    </row>
    <row r="41" spans="1:7" ht="16.2" thickBot="1" x14ac:dyDescent="0.35">
      <c r="A41" s="349" t="s">
        <v>322</v>
      </c>
      <c r="B41" s="350">
        <v>1</v>
      </c>
      <c r="C41" s="351">
        <v>2</v>
      </c>
      <c r="D41" s="352"/>
      <c r="E41" s="353"/>
      <c r="F41" s="258"/>
      <c r="G41" s="361"/>
    </row>
    <row r="42" spans="1:7" ht="24" thickTop="1" thickBot="1" x14ac:dyDescent="0.35">
      <c r="A42" s="132" t="s">
        <v>346</v>
      </c>
      <c r="B42" s="132"/>
      <c r="C42" s="275">
        <f>SUM(C29:C41)</f>
        <v>22.8</v>
      </c>
      <c r="D42" s="362" t="s">
        <v>347</v>
      </c>
      <c r="E42" s="355"/>
      <c r="F42" s="258"/>
      <c r="G42" s="363"/>
    </row>
    <row r="43" spans="1:7" ht="16.8" thickTop="1" thickBot="1" x14ac:dyDescent="0.35">
      <c r="A43" s="331" t="s">
        <v>308</v>
      </c>
      <c r="B43" s="331" t="s">
        <v>288</v>
      </c>
      <c r="C43" s="332" t="s">
        <v>250</v>
      </c>
      <c r="D43" s="333" t="s">
        <v>309</v>
      </c>
      <c r="E43" s="334" t="s">
        <v>47</v>
      </c>
      <c r="F43" s="272"/>
      <c r="G43" s="335" t="s">
        <v>252</v>
      </c>
    </row>
    <row r="44" spans="1:7" x14ac:dyDescent="0.3">
      <c r="A44" s="336"/>
      <c r="B44" s="337"/>
      <c r="C44" s="338"/>
      <c r="D44" s="339"/>
      <c r="E44" s="340"/>
      <c r="F44" s="258"/>
      <c r="G44" s="364"/>
    </row>
    <row r="45" spans="1:7" x14ac:dyDescent="0.3">
      <c r="A45" s="342"/>
      <c r="B45" s="343"/>
      <c r="C45" s="344"/>
      <c r="D45" s="345"/>
      <c r="E45" s="346"/>
      <c r="F45" s="258"/>
      <c r="G45" s="365"/>
    </row>
    <row r="46" spans="1:7" x14ac:dyDescent="0.3">
      <c r="A46" s="342"/>
      <c r="B46" s="343"/>
      <c r="C46" s="344"/>
      <c r="D46" s="345"/>
      <c r="E46" s="346"/>
      <c r="F46" s="258"/>
      <c r="G46" s="365"/>
    </row>
    <row r="47" spans="1:7" x14ac:dyDescent="0.3">
      <c r="A47" s="342"/>
      <c r="B47" s="343"/>
      <c r="C47" s="344"/>
      <c r="D47" s="345"/>
      <c r="E47" s="346"/>
      <c r="F47" s="258"/>
      <c r="G47" s="365"/>
    </row>
    <row r="48" spans="1:7" x14ac:dyDescent="0.3">
      <c r="A48" s="342"/>
      <c r="B48" s="343"/>
      <c r="C48" s="344"/>
      <c r="D48" s="345"/>
      <c r="E48" s="346"/>
      <c r="F48" s="258"/>
      <c r="G48" s="365"/>
    </row>
    <row r="49" spans="1:7" x14ac:dyDescent="0.3">
      <c r="A49" s="342"/>
      <c r="B49" s="343"/>
      <c r="C49" s="344"/>
      <c r="D49" s="345"/>
      <c r="E49" s="346"/>
      <c r="F49" s="258"/>
      <c r="G49" s="365"/>
    </row>
    <row r="50" spans="1:7" x14ac:dyDescent="0.3">
      <c r="A50" s="342"/>
      <c r="B50" s="343"/>
      <c r="C50" s="344"/>
      <c r="D50" s="345"/>
      <c r="E50" s="346"/>
      <c r="F50" s="258"/>
      <c r="G50" s="365"/>
    </row>
    <row r="51" spans="1:7" x14ac:dyDescent="0.3">
      <c r="A51" s="342"/>
      <c r="B51" s="343"/>
      <c r="C51" s="344"/>
      <c r="D51" s="345"/>
      <c r="E51" s="346"/>
      <c r="F51" s="258"/>
      <c r="G51" s="365"/>
    </row>
    <row r="52" spans="1:7" x14ac:dyDescent="0.3">
      <c r="A52" s="342"/>
      <c r="B52" s="343"/>
      <c r="C52" s="344"/>
      <c r="D52" s="345"/>
      <c r="E52" s="346"/>
      <c r="F52" s="258"/>
      <c r="G52" s="366"/>
    </row>
    <row r="53" spans="1:7" ht="16.2" thickBot="1" x14ac:dyDescent="0.35">
      <c r="A53" s="349"/>
      <c r="B53" s="350"/>
      <c r="C53" s="351"/>
      <c r="D53" s="352"/>
      <c r="E53" s="353"/>
      <c r="F53" s="258"/>
      <c r="G53" s="367"/>
    </row>
    <row r="54" spans="1:7" ht="16.2" thickTop="1" x14ac:dyDescent="0.3">
      <c r="A54" s="272"/>
      <c r="B54" s="272"/>
      <c r="C54" s="275"/>
      <c r="D54" s="258"/>
      <c r="E54" s="258"/>
      <c r="F54" s="258"/>
      <c r="G54" s="258"/>
    </row>
    <row r="55" spans="1:7" x14ac:dyDescent="0.3">
      <c r="A55" s="272"/>
      <c r="B55" s="272"/>
      <c r="C55" s="275"/>
      <c r="D55" s="258"/>
      <c r="E55" s="132" t="s">
        <v>348</v>
      </c>
      <c r="F55" s="258"/>
      <c r="G55" s="329">
        <f>SUM(Martial!M3:M50,Equipment!G3:G53)</f>
        <v>9633</v>
      </c>
    </row>
    <row r="56" spans="1:7" x14ac:dyDescent="0.3">
      <c r="E56" s="132" t="s">
        <v>387</v>
      </c>
      <c r="G56" s="329">
        <v>9000</v>
      </c>
    </row>
  </sheetData>
  <sortState xmlns:xlrd2="http://schemas.microsoft.com/office/spreadsheetml/2017/richdata2" ref="A19:E25">
    <sortCondition ref="A19:A25"/>
  </sortState>
  <conditionalFormatting sqref="G55:G56">
    <cfRule type="cellIs" dxfId="2" priority="1" operator="lessThan">
      <formula>0</formula>
    </cfRule>
  </conditionalFormatting>
  <pageMargins left="0.7" right="0.7" top="0.75" bottom="0.75" header="0.3" footer="0.3"/>
  <pageSetup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showGridLines="0" zoomScaleNormal="100" workbookViewId="0"/>
  </sheetViews>
  <sheetFormatPr defaultColWidth="13" defaultRowHeight="15.6" x14ac:dyDescent="0.3"/>
  <cols>
    <col min="1" max="1" width="13.19921875" style="401" bestFit="1" customWidth="1"/>
    <col min="2" max="2" width="10.69921875" style="402" customWidth="1"/>
    <col min="3" max="3" width="5.5" style="402" customWidth="1"/>
    <col min="4" max="4" width="13.69921875" style="401" bestFit="1" customWidth="1"/>
    <col min="5" max="5" width="9.59765625" style="402" bestFit="1" customWidth="1"/>
    <col min="6" max="6" width="11.8984375" style="401" customWidth="1"/>
    <col min="7" max="7" width="11.8984375" style="402" customWidth="1"/>
    <col min="8" max="16384" width="13" style="373"/>
  </cols>
  <sheetData>
    <row r="1" spans="1:7" ht="29.4" thickTop="1" thickBot="1" x14ac:dyDescent="0.35">
      <c r="A1" s="566" t="s">
        <v>389</v>
      </c>
      <c r="B1" s="567" t="s">
        <v>390</v>
      </c>
      <c r="C1" s="369"/>
      <c r="D1" s="370"/>
      <c r="E1" s="370"/>
      <c r="F1" s="371"/>
      <c r="G1" s="372" t="s">
        <v>349</v>
      </c>
    </row>
    <row r="2" spans="1:7" ht="17.399999999999999" thickTop="1" x14ac:dyDescent="0.3">
      <c r="A2" s="374" t="s">
        <v>350</v>
      </c>
      <c r="B2" s="375" t="s">
        <v>351</v>
      </c>
      <c r="C2" s="375"/>
      <c r="D2" s="376" t="s">
        <v>352</v>
      </c>
      <c r="E2" s="377" t="s">
        <v>391</v>
      </c>
      <c r="F2" s="376" t="s">
        <v>353</v>
      </c>
      <c r="G2" s="378" t="s">
        <v>354</v>
      </c>
    </row>
    <row r="3" spans="1:7" ht="17.399999999999999" thickBot="1" x14ac:dyDescent="0.35">
      <c r="A3" s="379"/>
      <c r="B3" s="380" t="s">
        <v>355</v>
      </c>
      <c r="C3" s="381"/>
      <c r="D3" s="382" t="s">
        <v>356</v>
      </c>
      <c r="E3" s="383" t="s">
        <v>357</v>
      </c>
      <c r="F3" s="382" t="s">
        <v>358</v>
      </c>
      <c r="G3" s="384" t="s">
        <v>127</v>
      </c>
    </row>
    <row r="4" spans="1:7" ht="17.399999999999999" thickTop="1" x14ac:dyDescent="0.3">
      <c r="A4" s="385" t="s">
        <v>359</v>
      </c>
      <c r="B4" s="386">
        <v>13</v>
      </c>
      <c r="C4" s="387" t="str">
        <f t="shared" ref="C4:C9" si="0">IF(B4&gt;9.9,CONCATENATE("+",ROUNDDOWN((B4-10)/2,0)),ROUNDUP((B4-10)/2,0))</f>
        <v>+1</v>
      </c>
      <c r="D4" s="544" t="s">
        <v>360</v>
      </c>
      <c r="E4" s="545">
        <v>13</v>
      </c>
      <c r="F4" s="546">
        <v>13</v>
      </c>
      <c r="G4" s="388"/>
    </row>
    <row r="5" spans="1:7" ht="16.8" x14ac:dyDescent="0.3">
      <c r="A5" s="547" t="s">
        <v>361</v>
      </c>
      <c r="B5" s="548">
        <v>17</v>
      </c>
      <c r="C5" s="549" t="str">
        <f t="shared" si="0"/>
        <v>+3</v>
      </c>
      <c r="D5" s="550" t="s">
        <v>362</v>
      </c>
      <c r="E5" s="551" t="s">
        <v>363</v>
      </c>
      <c r="F5" s="551" t="s">
        <v>364</v>
      </c>
      <c r="G5" s="389"/>
    </row>
    <row r="6" spans="1:7" ht="16.8" x14ac:dyDescent="0.3">
      <c r="A6" s="552" t="s">
        <v>365</v>
      </c>
      <c r="B6" s="548">
        <v>15</v>
      </c>
      <c r="C6" s="549" t="str">
        <f t="shared" si="0"/>
        <v>+2</v>
      </c>
      <c r="D6" s="544" t="s">
        <v>366</v>
      </c>
      <c r="E6" s="553">
        <v>1</v>
      </c>
      <c r="F6" s="523" t="s">
        <v>367</v>
      </c>
      <c r="G6" s="389"/>
    </row>
    <row r="7" spans="1:7" ht="16.8" x14ac:dyDescent="0.3">
      <c r="A7" s="554" t="s">
        <v>368</v>
      </c>
      <c r="B7" s="548">
        <v>2</v>
      </c>
      <c r="C7" s="549">
        <f t="shared" si="0"/>
        <v>-4</v>
      </c>
      <c r="D7" s="544" t="s">
        <v>369</v>
      </c>
      <c r="E7" s="553">
        <v>5</v>
      </c>
      <c r="F7" s="397" t="s">
        <v>370</v>
      </c>
      <c r="G7" s="389"/>
    </row>
    <row r="8" spans="1:7" ht="16.8" x14ac:dyDescent="0.3">
      <c r="A8" s="555" t="s">
        <v>371</v>
      </c>
      <c r="B8" s="548">
        <v>12</v>
      </c>
      <c r="C8" s="556" t="str">
        <f t="shared" si="0"/>
        <v>+1</v>
      </c>
      <c r="D8" s="557" t="s">
        <v>372</v>
      </c>
      <c r="E8" s="551" t="s">
        <v>373</v>
      </c>
      <c r="F8" s="390"/>
      <c r="G8" s="389"/>
    </row>
    <row r="9" spans="1:7" ht="17.399999999999999" thickBot="1" x14ac:dyDescent="0.35">
      <c r="A9" s="391" t="s">
        <v>374</v>
      </c>
      <c r="B9" s="392">
        <v>6</v>
      </c>
      <c r="C9" s="393">
        <f t="shared" si="0"/>
        <v>-2</v>
      </c>
      <c r="D9" s="558" t="s">
        <v>375</v>
      </c>
      <c r="E9" s="394">
        <v>1</v>
      </c>
      <c r="F9" s="397" t="s">
        <v>376</v>
      </c>
      <c r="G9" s="389"/>
    </row>
    <row r="10" spans="1:7" ht="17.399999999999999" thickTop="1" x14ac:dyDescent="0.3">
      <c r="A10" s="397" t="s">
        <v>377</v>
      </c>
      <c r="B10" s="395"/>
      <c r="C10" s="395"/>
      <c r="D10" s="395"/>
      <c r="E10" s="396"/>
      <c r="F10" s="397" t="s">
        <v>378</v>
      </c>
      <c r="G10" s="389"/>
    </row>
    <row r="11" spans="1:7" ht="16.8" x14ac:dyDescent="0.3">
      <c r="A11" s="397" t="s">
        <v>379</v>
      </c>
      <c r="B11" s="395"/>
      <c r="C11" s="395"/>
      <c r="D11" s="395"/>
      <c r="E11" s="396"/>
      <c r="F11" s="397" t="s">
        <v>380</v>
      </c>
      <c r="G11" s="389"/>
    </row>
    <row r="12" spans="1:7" ht="16.8" x14ac:dyDescent="0.3">
      <c r="A12" s="397" t="s">
        <v>381</v>
      </c>
      <c r="B12" s="395"/>
      <c r="C12" s="395"/>
      <c r="D12" s="395"/>
      <c r="E12" s="396"/>
      <c r="F12" s="395"/>
      <c r="G12" s="396"/>
    </row>
    <row r="13" spans="1:7" ht="17.399999999999999" thickBot="1" x14ac:dyDescent="0.35">
      <c r="A13" s="398"/>
      <c r="B13" s="399"/>
      <c r="C13" s="399"/>
      <c r="D13" s="399"/>
      <c r="E13" s="400"/>
      <c r="F13" s="399"/>
      <c r="G13" s="400"/>
    </row>
    <row r="14"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Personal File</vt:lpstr>
      <vt:lpstr>Skills</vt:lpstr>
      <vt:lpstr>Prayerbook</vt:lpstr>
      <vt:lpstr>Prayers</vt:lpstr>
      <vt:lpstr>Extra</vt:lpstr>
      <vt:lpstr>Feats</vt:lpstr>
      <vt:lpstr>Martial</vt:lpstr>
      <vt:lpstr>Equipment</vt:lpstr>
      <vt:lpstr>Mount</vt:lpstr>
      <vt:lpstr>Mount!Print_Area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Alexis Álvarez</dc:creator>
  <cp:keywords/>
  <dc:description/>
  <cp:lastModifiedBy>Alexis Álvarez</cp:lastModifiedBy>
  <cp:revision/>
  <dcterms:created xsi:type="dcterms:W3CDTF">2017-07-27T14:49:21Z</dcterms:created>
  <dcterms:modified xsi:type="dcterms:W3CDTF">2025-02-22T11:33:08Z</dcterms:modified>
  <cp:category/>
  <cp:contentStatus/>
</cp:coreProperties>
</file>